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0.xml" ContentType="application/vnd.openxmlformats-officedocument.drawing+xml"/>
  <Override PartName="/xl/ctrlProps/ctrlProp1.xml" ContentType="application/vnd.ms-excel.controlproperties+xml"/>
  <Override PartName="/xl/tables/table5.xml" ContentType="application/vnd.openxmlformats-officedocument.spreadsheetml.table+xml"/>
  <Override PartName="/xl/drawings/drawing11.xml" ContentType="application/vnd.openxmlformats-officedocument.drawing+xml"/>
  <Override PartName="/xl/ctrlProps/ctrlProp2.xml" ContentType="application/vnd.ms-excel.controlproperties+xml"/>
  <Override PartName="/xl/drawings/drawing12.xml" ContentType="application/vnd.openxmlformats-officedocument.drawing+xml"/>
  <Override PartName="/xl/ctrlProps/ctrlProp3.xml" ContentType="application/vnd.ms-excel.controlproperties+xml"/>
  <Override PartName="/xl/tables/table6.xml" ContentType="application/vnd.openxmlformats-officedocument.spreadsheetml.table+xml"/>
  <Override PartName="/xl/tables/table7.xml" ContentType="application/vnd.openxmlformats-officedocument.spreadsheetml.table+xml"/>
  <Override PartName="/xl/drawings/drawing13.xml" ContentType="application/vnd.openxmlformats-officedocument.drawing+xml"/>
  <Override PartName="/xl/ctrlProps/ctrlProp4.xml" ContentType="application/vnd.ms-excel.controlproperties+xml"/>
  <Override PartName="/xl/tables/table8.xml" ContentType="application/vnd.openxmlformats-officedocument.spreadsheetml.table+xml"/>
  <Override PartName="/xl/tables/table9.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defaultThemeVersion="166925"/>
  <mc:AlternateContent xmlns:mc="http://schemas.openxmlformats.org/markup-compatibility/2006">
    <mc:Choice Requires="x15">
      <x15ac:absPath xmlns:x15ac="http://schemas.microsoft.com/office/spreadsheetml/2010/11/ac" url="D:\Project Excel\"/>
    </mc:Choice>
  </mc:AlternateContent>
  <xr:revisionPtr revIDLastSave="0" documentId="8_{24FDFC29-FE20-4DFF-B757-9956C5E509F0}" xr6:coauthVersionLast="47" xr6:coauthVersionMax="47" xr10:uidLastSave="{00000000-0000-0000-0000-000000000000}"/>
  <bookViews>
    <workbookView xWindow="-110" yWindow="-110" windowWidth="19420" windowHeight="10300" firstSheet="1" activeTab="6" xr2:uid="{805DCCAD-8C2C-7C40-A5A6-9628222566F5}"/>
  </bookViews>
  <sheets>
    <sheet name="Master" sheetId="1" r:id="rId1"/>
    <sheet name="ADD1" sheetId="6" r:id="rId2"/>
    <sheet name="ADD2" sheetId="9" r:id="rId3"/>
    <sheet name="PivotTable" sheetId="24" r:id="rId4"/>
    <sheet name="PivotChart" sheetId="25" r:id="rId5"/>
    <sheet name="Answer Report 1" sheetId="18" r:id="rId6"/>
    <sheet name="Feasibility Report 1" sheetId="27" r:id="rId7"/>
    <sheet name="Feasibility Report 2" sheetId="28" r:id="rId8"/>
    <sheet name="Linear Programming" sheetId="15" r:id="rId9"/>
    <sheet name="Scenario Summary" sheetId="35" r:id="rId10"/>
    <sheet name="Scenario Summary 2" sheetId="38" r:id="rId11"/>
    <sheet name="Scenario Summary 3" sheetId="39" r:id="rId12"/>
    <sheet name="Financial Solution_DataAnalysis" sheetId="16" r:id="rId13"/>
    <sheet name="Sales Inventory" sheetId="17" r:id="rId14"/>
    <sheet name="Sheet21" sheetId="45" r:id="rId15"/>
    <sheet name="Payment Period" sheetId="21" r:id="rId16"/>
    <sheet name="PV" sheetId="22" r:id="rId17"/>
    <sheet name="ProfessionalWS_Macro" sheetId="23" r:id="rId18"/>
    <sheet name="Automatic Dashboard_PV" sheetId="47" r:id="rId19"/>
    <sheet name="Sheet22" sheetId="46" r:id="rId20"/>
    <sheet name="Sheet24" sheetId="48" r:id="rId21"/>
    <sheet name="Sheet25" sheetId="49" r:id="rId22"/>
    <sheet name="Macro VBA" sheetId="51" r:id="rId23"/>
    <sheet name="Sheet28" sheetId="52" r:id="rId24"/>
    <sheet name="Sheet30" sheetId="54" r:id="rId25"/>
    <sheet name="Answer Report 2" sheetId="59" r:id="rId26"/>
    <sheet name="Final Case" sheetId="20" r:id="rId27"/>
    <sheet name="Blank Sheet" sheetId="60" r:id="rId28"/>
    <sheet name="Scenario Summary 4" sheetId="56" r:id="rId29"/>
  </sheets>
  <definedNames>
    <definedName name="_xlnm._FilterDatabase" localSheetId="26" hidden="1">'Final Case'!$G$3:$L$183</definedName>
    <definedName name="_xlnm._FilterDatabase" localSheetId="22" hidden="1">'Macro VBA'!$B$3:$F$123</definedName>
    <definedName name="_xlnm._FilterDatabase" localSheetId="0" hidden="1">Master!$H$3:$H$124</definedName>
    <definedName name="_xlnm._FilterDatabase" localSheetId="23" hidden="1">Sheet28!$B$2:$F$3</definedName>
    <definedName name="Arrival">'ADD1'!$I$15:$P$17</definedName>
    <definedName name="Barcode">'Final Case'!$Q$9:$R$12</definedName>
    <definedName name="Category">'Final Case'!$Q$15:$R$19</definedName>
    <definedName name="_xlnm.Criteria" localSheetId="26">'Final Case'!$AJ$32:$AJ$33</definedName>
    <definedName name="_xlnm.Criteria" localSheetId="23">Sheet28!$B$2:$B$3</definedName>
    <definedName name="_xlnm.Criteria" localSheetId="24">Sheet30!$B$4:$B$5</definedName>
    <definedName name="Departure">'ADD1'!$I$4:$K$11</definedName>
    <definedName name="_xlnm.Extract" localSheetId="26">'Final Case'!$AP$32:$AU$32</definedName>
    <definedName name="_xlnm.Extract" localSheetId="23">Sheet28!$B$5:$F$5</definedName>
    <definedName name="_xlnm.Extract" localSheetId="24">Sheet30!$B$7:$F$7</definedName>
    <definedName name="Fixedcost2">'Financial Solution_DataAnalysis'!$I$99</definedName>
    <definedName name="Point">'Final Case'!$T$9:$Y$10</definedName>
    <definedName name="Price">'ADD1'!$I$21:$K$67</definedName>
    <definedName name="Price2">'Financial Solution_DataAnalysis'!$I$96</definedName>
    <definedName name="Quantity2">'Financial Solution_DataAnalysis'!$I$97</definedName>
    <definedName name="revenue2">'Financial Solution_DataAnalysis'!$I$101</definedName>
    <definedName name="Slicer_Airline">#N/A</definedName>
    <definedName name="Slicer_Airline1">#N/A</definedName>
    <definedName name="Slicer_Airline2">#N/A</definedName>
    <definedName name="Slicer_Arrival_Date">#N/A</definedName>
    <definedName name="Slicer_Arrival_Date1">#N/A</definedName>
    <definedName name="Slicer_Destination_Aiport__Domestic">#N/A</definedName>
    <definedName name="Slicer_Origin_Airport">#N/A</definedName>
    <definedName name="Slicer_Origin_Airport1">#N/A</definedName>
    <definedName name="Slicer_Origin_Airport2">#N/A</definedName>
    <definedName name="Slicer_Origin_Airport3">#N/A</definedName>
    <definedName name="Slicer_Remarks">#N/A</definedName>
    <definedName name="Slicer_Remarks1">#N/A</definedName>
    <definedName name="Slicer_Total_Payment">#N/A</definedName>
    <definedName name="solver_adj" localSheetId="26" hidden="1">'Final Case'!$AK$21:$AN$24</definedName>
    <definedName name="solver_adj" localSheetId="8" hidden="1">'Linear Programming'!$D$60:$E$61</definedName>
    <definedName name="solver_cvg" localSheetId="26" hidden="1">0.0001</definedName>
    <definedName name="solver_cvg" localSheetId="8" hidden="1">0.0001</definedName>
    <definedName name="solver_drv" localSheetId="26" hidden="1">1</definedName>
    <definedName name="solver_drv" localSheetId="8" hidden="1">1</definedName>
    <definedName name="solver_eng" localSheetId="26" hidden="1">2</definedName>
    <definedName name="solver_eng" localSheetId="12" hidden="1">1</definedName>
    <definedName name="solver_eng" localSheetId="8" hidden="1">2</definedName>
    <definedName name="solver_eng" localSheetId="0" hidden="1">1</definedName>
    <definedName name="solver_itr" localSheetId="26" hidden="1">2147483647</definedName>
    <definedName name="solver_itr" localSheetId="8" hidden="1">2147483647</definedName>
    <definedName name="solver_lhs1" localSheetId="26" hidden="1">'Final Case'!$AK$25</definedName>
    <definedName name="solver_lhs1" localSheetId="8" hidden="1">'Linear Programming'!$D$62</definedName>
    <definedName name="solver_lhs2" localSheetId="26" hidden="1">'Final Case'!$AL$25</definedName>
    <definedName name="solver_lhs2" localSheetId="8" hidden="1">'Linear Programming'!$E$62</definedName>
    <definedName name="solver_lhs3" localSheetId="26" hidden="1">'Final Case'!$AM$25</definedName>
    <definedName name="solver_lhs3" localSheetId="8" hidden="1">'Linear Programming'!$F$60</definedName>
    <definedName name="solver_lhs4" localSheetId="26" hidden="1">'Final Case'!$AN$25</definedName>
    <definedName name="solver_lhs4" localSheetId="8" hidden="1">'Linear Programming'!$F$61</definedName>
    <definedName name="solver_lhs5" localSheetId="26" hidden="1">'Final Case'!$AO$21</definedName>
    <definedName name="solver_lhs6" localSheetId="26" hidden="1">'Final Case'!$AO$22</definedName>
    <definedName name="solver_lhs7" localSheetId="26" hidden="1">'Final Case'!$AO$23</definedName>
    <definedName name="solver_lhs8" localSheetId="26" hidden="1">'Final Case'!$AO$24</definedName>
    <definedName name="solver_lin" localSheetId="26" hidden="1">1</definedName>
    <definedName name="solver_lin" localSheetId="12" hidden="1">2</definedName>
    <definedName name="solver_lin" localSheetId="8" hidden="1">1</definedName>
    <definedName name="solver_lin" localSheetId="0" hidden="1">2</definedName>
    <definedName name="solver_mip" localSheetId="26" hidden="1">2147483647</definedName>
    <definedName name="solver_mip" localSheetId="8" hidden="1">2147483647</definedName>
    <definedName name="solver_mni" localSheetId="26" hidden="1">30</definedName>
    <definedName name="solver_mni" localSheetId="8" hidden="1">30</definedName>
    <definedName name="solver_mrt" localSheetId="26" hidden="1">0.075</definedName>
    <definedName name="solver_mrt" localSheetId="8" hidden="1">0.075</definedName>
    <definedName name="solver_msl" localSheetId="26" hidden="1">2</definedName>
    <definedName name="solver_msl" localSheetId="8" hidden="1">2</definedName>
    <definedName name="solver_neg" localSheetId="26" hidden="1">1</definedName>
    <definedName name="solver_neg" localSheetId="12" hidden="1">1</definedName>
    <definedName name="solver_neg" localSheetId="8" hidden="1">1</definedName>
    <definedName name="solver_neg" localSheetId="0" hidden="1">1</definedName>
    <definedName name="solver_nod" localSheetId="26" hidden="1">2147483647</definedName>
    <definedName name="solver_nod" localSheetId="8" hidden="1">2147483647</definedName>
    <definedName name="solver_num" localSheetId="26" hidden="1">8</definedName>
    <definedName name="solver_num" localSheetId="12" hidden="1">0</definedName>
    <definedName name="solver_num" localSheetId="8" hidden="1">4</definedName>
    <definedName name="solver_num" localSheetId="0" hidden="1">0</definedName>
    <definedName name="solver_opt" localSheetId="26" hidden="1">'Final Case'!$AK$27</definedName>
    <definedName name="solver_opt" localSheetId="12" hidden="1">'Financial Solution_DataAnalysis'!$I$21</definedName>
    <definedName name="solver_opt" localSheetId="8" hidden="1">'Linear Programming'!$D$64</definedName>
    <definedName name="solver_opt" localSheetId="0" hidden="1">Master!#REF!</definedName>
    <definedName name="solver_pre" localSheetId="26" hidden="1">0.000001</definedName>
    <definedName name="solver_pre" localSheetId="8" hidden="1">0.000001</definedName>
    <definedName name="solver_rbv" localSheetId="26" hidden="1">1</definedName>
    <definedName name="solver_rbv" localSheetId="8" hidden="1">2</definedName>
    <definedName name="solver_rel1" localSheetId="26" hidden="1">1</definedName>
    <definedName name="solver_rel1" localSheetId="8" hidden="1">2</definedName>
    <definedName name="solver_rel2" localSheetId="26" hidden="1">1</definedName>
    <definedName name="solver_rel2" localSheetId="8" hidden="1">2</definedName>
    <definedName name="solver_rel3" localSheetId="26" hidden="1">1</definedName>
    <definedName name="solver_rel3" localSheetId="8" hidden="1">1</definedName>
    <definedName name="solver_rel4" localSheetId="26" hidden="1">1</definedName>
    <definedName name="solver_rel4" localSheetId="8" hidden="1">1</definedName>
    <definedName name="solver_rel5" localSheetId="26" hidden="1">1</definedName>
    <definedName name="solver_rel6" localSheetId="26" hidden="1">1</definedName>
    <definedName name="solver_rel7" localSheetId="26" hidden="1">1</definedName>
    <definedName name="solver_rel8" localSheetId="26" hidden="1">1</definedName>
    <definedName name="solver_rhs1" localSheetId="26" hidden="1">'Final Case'!$AK$26</definedName>
    <definedName name="solver_rhs1" localSheetId="8" hidden="1">'Linear Programming'!$D$63</definedName>
    <definedName name="solver_rhs2" localSheetId="26" hidden="1">'Final Case'!$AL$26</definedName>
    <definedName name="solver_rhs2" localSheetId="8" hidden="1">'Linear Programming'!$E$63</definedName>
    <definedName name="solver_rhs3" localSheetId="26" hidden="1">'Final Case'!$AM$26</definedName>
    <definedName name="solver_rhs3" localSheetId="8" hidden="1">'Linear Programming'!$G$60</definedName>
    <definedName name="solver_rhs4" localSheetId="26" hidden="1">'Final Case'!$AN$26</definedName>
    <definedName name="solver_rhs4" localSheetId="8" hidden="1">'Linear Programming'!$G$61</definedName>
    <definedName name="solver_rhs5" localSheetId="26" hidden="1">'Final Case'!$AP$21</definedName>
    <definedName name="solver_rhs6" localSheetId="26" hidden="1">'Final Case'!$AP$22</definedName>
    <definedName name="solver_rhs7" localSheetId="26" hidden="1">'Final Case'!$AP$23</definedName>
    <definedName name="solver_rhs8" localSheetId="26" hidden="1">'Final Case'!$AP$24</definedName>
    <definedName name="solver_rlx" localSheetId="26" hidden="1">1</definedName>
    <definedName name="solver_rlx" localSheetId="8" hidden="1">2</definedName>
    <definedName name="solver_rsd" localSheetId="26" hidden="1">0</definedName>
    <definedName name="solver_rsd" localSheetId="8" hidden="1">0</definedName>
    <definedName name="solver_scl" localSheetId="26" hidden="1">2</definedName>
    <definedName name="solver_scl" localSheetId="8" hidden="1">2</definedName>
    <definedName name="solver_sho" localSheetId="26" hidden="1">2</definedName>
    <definedName name="solver_sho" localSheetId="8" hidden="1">2</definedName>
    <definedName name="solver_ssz" localSheetId="26" hidden="1">100</definedName>
    <definedName name="solver_ssz" localSheetId="8" hidden="1">100</definedName>
    <definedName name="solver_tim" localSheetId="26" hidden="1">2147483647</definedName>
    <definedName name="solver_tim" localSheetId="8" hidden="1">2147483647</definedName>
    <definedName name="solver_tol" localSheetId="26" hidden="1">0.01</definedName>
    <definedName name="solver_tol" localSheetId="8" hidden="1">0.01</definedName>
    <definedName name="solver_typ" localSheetId="26" hidden="1">1</definedName>
    <definedName name="solver_typ" localSheetId="12" hidden="1">1</definedName>
    <definedName name="solver_typ" localSheetId="8" hidden="1">1</definedName>
    <definedName name="solver_typ" localSheetId="0" hidden="1">1</definedName>
    <definedName name="solver_val" localSheetId="26" hidden="1">0</definedName>
    <definedName name="solver_val" localSheetId="12" hidden="1">0</definedName>
    <definedName name="solver_val" localSheetId="8" hidden="1">0</definedName>
    <definedName name="solver_val" localSheetId="0" hidden="1">0</definedName>
    <definedName name="solver_ver" localSheetId="26" hidden="1">2</definedName>
    <definedName name="solver_ver" localSheetId="12" hidden="1">2</definedName>
    <definedName name="solver_ver" localSheetId="8" hidden="1">2</definedName>
    <definedName name="solver_ver" localSheetId="0" hidden="1">2</definedName>
    <definedName name="Ticketsold2">'Financial Solution_DataAnalysis'!$I$98</definedName>
    <definedName name="Varcost2">'Financial Solution_DataAnalysis'!$I$100</definedName>
  </definedNames>
  <calcPr calcId="191029" calcMode="manual"/>
  <pivotCaches>
    <pivotCache cacheId="0" r:id="rId30"/>
    <pivotCache cacheId="1" r:id="rId31"/>
  </pivotCaches>
  <extLst>
    <ext xmlns:x14="http://schemas.microsoft.com/office/spreadsheetml/2009/9/main" uri="{BBE1A952-AA13-448e-AADC-164F8A28A991}">
      <x14:slicerCaches>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C5" i="60" l="1"/>
  <c r="BE5" i="60" s="1"/>
  <c r="BD5" i="60"/>
  <c r="BC6" i="60"/>
  <c r="BE6" i="60" s="1"/>
  <c r="BD6" i="60"/>
  <c r="BC7" i="60"/>
  <c r="BD7" i="60"/>
  <c r="BC8" i="60"/>
  <c r="BD8" i="60"/>
  <c r="BE8" i="60"/>
  <c r="BC9" i="60"/>
  <c r="BD9" i="60"/>
  <c r="BC10" i="60"/>
  <c r="BD10" i="60"/>
  <c r="BC11" i="60"/>
  <c r="BD11" i="60"/>
  <c r="BC12" i="60"/>
  <c r="BD12" i="60"/>
  <c r="BE12" i="60" s="1"/>
  <c r="BC13" i="60"/>
  <c r="BE13" i="60" s="1"/>
  <c r="BD13" i="60"/>
  <c r="BC14" i="60"/>
  <c r="BD14" i="60"/>
  <c r="BC15" i="60"/>
  <c r="BD15" i="60"/>
  <c r="BC16" i="60"/>
  <c r="BD16" i="60"/>
  <c r="BE16" i="60"/>
  <c r="BC17" i="60"/>
  <c r="BD17" i="60"/>
  <c r="BC18" i="60"/>
  <c r="BE18" i="60" s="1"/>
  <c r="BD18" i="60"/>
  <c r="BC19" i="60"/>
  <c r="BD19" i="60"/>
  <c r="BE19" i="60" s="1"/>
  <c r="BC20" i="60"/>
  <c r="BD20" i="60"/>
  <c r="BE20" i="60" s="1"/>
  <c r="BC21" i="60"/>
  <c r="BD21" i="60"/>
  <c r="BC22" i="60"/>
  <c r="BE22" i="60" s="1"/>
  <c r="BD22" i="60"/>
  <c r="BC23" i="60"/>
  <c r="BD23" i="60"/>
  <c r="BC24" i="60"/>
  <c r="BE24" i="60" s="1"/>
  <c r="BD24" i="60"/>
  <c r="BC25" i="60"/>
  <c r="BE25" i="60" s="1"/>
  <c r="BD25" i="60"/>
  <c r="BC26" i="60"/>
  <c r="BD26" i="60"/>
  <c r="BC27" i="60"/>
  <c r="BD27" i="60"/>
  <c r="BC28" i="60"/>
  <c r="BD28" i="60"/>
  <c r="BE28" i="60"/>
  <c r="BC29" i="60"/>
  <c r="BE29" i="60" s="1"/>
  <c r="BD29" i="60"/>
  <c r="BC30" i="60"/>
  <c r="BE30" i="60" s="1"/>
  <c r="BD30" i="60"/>
  <c r="BC31" i="60"/>
  <c r="BE31" i="60" s="1"/>
  <c r="BD31" i="60"/>
  <c r="BC32" i="60"/>
  <c r="BD32" i="60"/>
  <c r="BE32" i="60" s="1"/>
  <c r="BC33" i="60"/>
  <c r="BD33" i="60"/>
  <c r="BC34" i="60"/>
  <c r="BD34" i="60"/>
  <c r="BC35" i="60"/>
  <c r="BD35" i="60"/>
  <c r="BC36" i="60"/>
  <c r="BE36" i="60" s="1"/>
  <c r="BD36" i="60"/>
  <c r="BC37" i="60"/>
  <c r="BE37" i="60" s="1"/>
  <c r="BD37" i="60"/>
  <c r="BC38" i="60"/>
  <c r="BE38" i="60" s="1"/>
  <c r="BD38" i="60"/>
  <c r="BC39" i="60"/>
  <c r="BD39" i="60"/>
  <c r="BC40" i="60"/>
  <c r="BD40" i="60"/>
  <c r="BE40" i="60"/>
  <c r="BC41" i="60"/>
  <c r="BD41" i="60"/>
  <c r="BC42" i="60"/>
  <c r="BD42" i="60"/>
  <c r="BC43" i="60"/>
  <c r="BD43" i="60"/>
  <c r="BC44" i="60"/>
  <c r="BE44" i="60" s="1"/>
  <c r="BD44" i="60"/>
  <c r="BC45" i="60"/>
  <c r="BE45" i="60" s="1"/>
  <c r="BD45" i="60"/>
  <c r="BC46" i="60"/>
  <c r="BD46" i="60"/>
  <c r="BC47" i="60"/>
  <c r="BE47" i="60" s="1"/>
  <c r="BD47" i="60"/>
  <c r="BC48" i="60"/>
  <c r="BD48" i="60"/>
  <c r="BE48" i="60"/>
  <c r="BC49" i="60"/>
  <c r="BD49" i="60"/>
  <c r="BC50" i="60"/>
  <c r="BE50" i="60" s="1"/>
  <c r="BD50" i="60"/>
  <c r="BC51" i="60"/>
  <c r="BD51" i="60"/>
  <c r="BE51" i="60" s="1"/>
  <c r="BC52" i="60"/>
  <c r="BD52" i="60"/>
  <c r="BE52" i="60" s="1"/>
  <c r="BC53" i="60"/>
  <c r="BD53" i="60"/>
  <c r="BC54" i="60"/>
  <c r="BE54" i="60" s="1"/>
  <c r="BD54" i="60"/>
  <c r="BC55" i="60"/>
  <c r="BD55" i="60"/>
  <c r="BC56" i="60"/>
  <c r="BE56" i="60" s="1"/>
  <c r="BD56" i="60"/>
  <c r="BC57" i="60"/>
  <c r="BE57" i="60" s="1"/>
  <c r="BD57" i="60"/>
  <c r="BC58" i="60"/>
  <c r="BD58" i="60"/>
  <c r="BC59" i="60"/>
  <c r="BD59" i="60"/>
  <c r="BE59" i="60" s="1"/>
  <c r="BC60" i="60"/>
  <c r="BD60" i="60"/>
  <c r="BE60" i="60"/>
  <c r="BC61" i="60"/>
  <c r="BE61" i="60" s="1"/>
  <c r="BD61" i="60"/>
  <c r="BC62" i="60"/>
  <c r="BE62" i="60" s="1"/>
  <c r="BD62" i="60"/>
  <c r="BC63" i="60"/>
  <c r="BD63" i="60"/>
  <c r="BC64" i="60"/>
  <c r="BD64" i="60"/>
  <c r="BE64" i="60" s="1"/>
  <c r="BC65" i="60"/>
  <c r="BD65" i="60"/>
  <c r="BC66" i="60"/>
  <c r="BD66" i="60"/>
  <c r="BC67" i="60"/>
  <c r="BD67" i="60"/>
  <c r="BC68" i="60"/>
  <c r="BE68" i="60" s="1"/>
  <c r="BD68" i="60"/>
  <c r="BC69" i="60"/>
  <c r="BE69" i="60" s="1"/>
  <c r="BD69" i="60"/>
  <c r="BC70" i="60"/>
  <c r="BE70" i="60" s="1"/>
  <c r="BD70" i="60"/>
  <c r="BC71" i="60"/>
  <c r="BD71" i="60"/>
  <c r="BC72" i="60"/>
  <c r="BD72" i="60"/>
  <c r="BE72" i="60"/>
  <c r="BC73" i="60"/>
  <c r="BD73" i="60"/>
  <c r="BC74" i="60"/>
  <c r="BE74" i="60" s="1"/>
  <c r="BD74" i="60"/>
  <c r="BC75" i="60"/>
  <c r="BD75" i="60"/>
  <c r="BC76" i="60"/>
  <c r="BE76" i="60" s="1"/>
  <c r="BD76" i="60"/>
  <c r="BC77" i="60"/>
  <c r="BE77" i="60" s="1"/>
  <c r="BD77" i="60"/>
  <c r="BC78" i="60"/>
  <c r="BD78" i="60"/>
  <c r="BC79" i="60"/>
  <c r="BE79" i="60" s="1"/>
  <c r="BD79" i="60"/>
  <c r="BC80" i="60"/>
  <c r="BD80" i="60"/>
  <c r="BE80" i="60"/>
  <c r="BC81" i="60"/>
  <c r="BE81" i="60" s="1"/>
  <c r="BD81" i="60"/>
  <c r="BC82" i="60"/>
  <c r="BE82" i="60" s="1"/>
  <c r="BD82" i="60"/>
  <c r="BC83" i="60"/>
  <c r="BD83" i="60"/>
  <c r="BC84" i="60"/>
  <c r="BD84" i="60"/>
  <c r="BE84" i="60" s="1"/>
  <c r="BC85" i="60"/>
  <c r="BD85" i="60"/>
  <c r="BC86" i="60"/>
  <c r="BE86" i="60" s="1"/>
  <c r="BD86" i="60"/>
  <c r="BC87" i="60"/>
  <c r="BD87" i="60"/>
  <c r="BC88" i="60"/>
  <c r="BE88" i="60" s="1"/>
  <c r="BD88" i="60"/>
  <c r="BC89" i="60"/>
  <c r="BE89" i="60" s="1"/>
  <c r="BD89" i="60"/>
  <c r="BC90" i="60"/>
  <c r="BD90" i="60"/>
  <c r="BC91" i="60"/>
  <c r="BD91" i="60"/>
  <c r="BE91" i="60" s="1"/>
  <c r="BC92" i="60"/>
  <c r="BD92" i="60"/>
  <c r="BE92" i="60"/>
  <c r="BC93" i="60"/>
  <c r="BE93" i="60" s="1"/>
  <c r="BD93" i="60"/>
  <c r="BC94" i="60"/>
  <c r="BD94" i="60"/>
  <c r="BC95" i="60"/>
  <c r="BE95" i="60" s="1"/>
  <c r="BD95" i="60"/>
  <c r="BC96" i="60"/>
  <c r="BE96" i="60" s="1"/>
  <c r="BD96" i="60"/>
  <c r="BC97" i="60"/>
  <c r="BE97" i="60" s="1"/>
  <c r="BD97" i="60"/>
  <c r="BC98" i="60"/>
  <c r="BD98" i="60"/>
  <c r="BC99" i="60"/>
  <c r="BD99" i="60"/>
  <c r="BE99" i="60" s="1"/>
  <c r="BC100" i="60"/>
  <c r="BD100" i="60"/>
  <c r="BE100" i="60"/>
  <c r="BC101" i="60"/>
  <c r="BD101" i="60"/>
  <c r="BC102" i="60"/>
  <c r="BD102" i="60"/>
  <c r="BC103" i="60"/>
  <c r="BE103" i="60" s="1"/>
  <c r="BD103" i="60"/>
  <c r="BC104" i="60"/>
  <c r="BD104" i="60"/>
  <c r="BE104" i="60"/>
  <c r="BC105" i="60"/>
  <c r="BE105" i="60" s="1"/>
  <c r="BD105" i="60"/>
  <c r="BC106" i="60"/>
  <c r="BD106" i="60"/>
  <c r="BC107" i="60"/>
  <c r="BD107" i="60"/>
  <c r="BE107" i="60" s="1"/>
  <c r="BC108" i="60"/>
  <c r="BD108" i="60"/>
  <c r="BE108" i="60" s="1"/>
  <c r="BC109" i="60"/>
  <c r="BD109" i="60"/>
  <c r="BC110" i="60"/>
  <c r="BD110" i="60"/>
  <c r="BC111" i="60"/>
  <c r="BD111" i="60"/>
  <c r="BE111" i="60"/>
  <c r="BC112" i="60"/>
  <c r="BD112" i="60"/>
  <c r="BE112" i="60"/>
  <c r="BC113" i="60"/>
  <c r="BE113" i="60" s="1"/>
  <c r="BD113" i="60"/>
  <c r="BC114" i="60"/>
  <c r="BD114" i="60"/>
  <c r="BC115" i="60"/>
  <c r="BD115" i="60"/>
  <c r="BC116" i="60"/>
  <c r="BD116" i="60"/>
  <c r="BE116" i="60" s="1"/>
  <c r="BC117" i="60"/>
  <c r="BD117" i="60"/>
  <c r="BC118" i="60"/>
  <c r="BD118" i="60"/>
  <c r="BC119" i="60"/>
  <c r="BD119" i="60"/>
  <c r="BE119" i="60"/>
  <c r="BC120" i="60"/>
  <c r="BD120" i="60"/>
  <c r="BE120" i="60"/>
  <c r="BC121" i="60"/>
  <c r="BD121" i="60"/>
  <c r="BC122" i="60"/>
  <c r="BD122" i="60"/>
  <c r="BC123" i="60"/>
  <c r="BD123" i="60"/>
  <c r="BC124" i="60"/>
  <c r="BE124" i="60" s="1"/>
  <c r="BD124" i="60"/>
  <c r="BC125" i="60"/>
  <c r="BE125" i="60" s="1"/>
  <c r="BD125" i="60"/>
  <c r="BC126" i="60"/>
  <c r="BD126" i="60"/>
  <c r="BC127" i="60"/>
  <c r="BD127" i="60"/>
  <c r="BE127" i="60"/>
  <c r="BC128" i="60"/>
  <c r="BD128" i="60"/>
  <c r="BE128" i="60" s="1"/>
  <c r="BC129" i="60"/>
  <c r="BD129" i="60"/>
  <c r="BC130" i="60"/>
  <c r="BD130" i="60"/>
  <c r="BE130" i="60"/>
  <c r="BC131" i="60"/>
  <c r="BE131" i="60" s="1"/>
  <c r="BD131" i="60"/>
  <c r="BC132" i="60"/>
  <c r="BD132" i="60"/>
  <c r="BC133" i="60"/>
  <c r="BD133" i="60"/>
  <c r="BC134" i="60"/>
  <c r="BE134" i="60" s="1"/>
  <c r="BD134" i="60"/>
  <c r="BC135" i="60"/>
  <c r="BD135" i="60"/>
  <c r="BC136" i="60"/>
  <c r="BD136" i="60"/>
  <c r="BE136" i="60" s="1"/>
  <c r="BC137" i="60"/>
  <c r="BD137" i="60"/>
  <c r="BC138" i="60"/>
  <c r="BD138" i="60"/>
  <c r="BC139" i="60"/>
  <c r="BD139" i="60"/>
  <c r="BE139" i="60"/>
  <c r="BC140" i="60"/>
  <c r="BD140" i="60"/>
  <c r="BE140" i="60"/>
  <c r="BC141" i="60"/>
  <c r="BD141" i="60"/>
  <c r="BC142" i="60"/>
  <c r="BD142" i="60"/>
  <c r="BE142" i="60"/>
  <c r="BC143" i="60"/>
  <c r="BD143" i="60"/>
  <c r="BE143" i="60"/>
  <c r="BC144" i="60"/>
  <c r="BD144" i="60"/>
  <c r="BC145" i="60"/>
  <c r="BD145" i="60"/>
  <c r="BC146" i="60"/>
  <c r="BE146" i="60" s="1"/>
  <c r="BD146" i="60"/>
  <c r="BC147" i="60"/>
  <c r="BD147" i="60"/>
  <c r="BE147" i="60"/>
  <c r="BC148" i="60"/>
  <c r="BE148" i="60" s="1"/>
  <c r="BD148" i="60"/>
  <c r="BC149" i="60"/>
  <c r="BD149" i="60"/>
  <c r="BC150" i="60"/>
  <c r="BD150" i="60"/>
  <c r="BC151" i="60"/>
  <c r="BD151" i="60"/>
  <c r="BE151" i="60" s="1"/>
  <c r="BC152" i="60"/>
  <c r="BD152" i="60"/>
  <c r="BE152" i="60"/>
  <c r="BC153" i="60"/>
  <c r="BD153" i="60"/>
  <c r="BC154" i="60"/>
  <c r="BE154" i="60" s="1"/>
  <c r="BD154" i="60"/>
  <c r="BC155" i="60"/>
  <c r="BE155" i="60" s="1"/>
  <c r="BD155" i="60"/>
  <c r="BC156" i="60"/>
  <c r="BE156" i="60" s="1"/>
  <c r="BD156" i="60"/>
  <c r="BC157" i="60"/>
  <c r="BE157" i="60" s="1"/>
  <c r="BD157" i="60"/>
  <c r="BC158" i="60"/>
  <c r="BE158" i="60" s="1"/>
  <c r="BD158" i="60"/>
  <c r="BC159" i="60"/>
  <c r="BE159" i="60" s="1"/>
  <c r="BD159" i="60"/>
  <c r="BC160" i="60"/>
  <c r="BE160" i="60" s="1"/>
  <c r="BD160" i="60"/>
  <c r="BC161" i="60"/>
  <c r="BD161" i="60"/>
  <c r="BC162" i="60"/>
  <c r="BD162" i="60"/>
  <c r="BE162" i="60" s="1"/>
  <c r="BC163" i="60"/>
  <c r="BD163" i="60"/>
  <c r="BE163" i="60" s="1"/>
  <c r="BC164" i="60"/>
  <c r="BE164" i="60" s="1"/>
  <c r="BD164" i="60"/>
  <c r="BC165" i="60"/>
  <c r="BD165" i="60"/>
  <c r="BC166" i="60"/>
  <c r="BE166" i="60" s="1"/>
  <c r="BD166" i="60"/>
  <c r="BC167" i="60"/>
  <c r="BD167" i="60"/>
  <c r="BC168" i="60"/>
  <c r="BE168" i="60" s="1"/>
  <c r="BD168" i="60"/>
  <c r="BC169" i="60"/>
  <c r="BD169" i="60"/>
  <c r="BC170" i="60"/>
  <c r="BD170" i="60"/>
  <c r="BC171" i="60"/>
  <c r="BE171" i="60" s="1"/>
  <c r="BD171" i="60"/>
  <c r="BC172" i="60"/>
  <c r="BD172" i="60"/>
  <c r="BE172" i="60" s="1"/>
  <c r="BC173" i="60"/>
  <c r="BD173" i="60"/>
  <c r="BC174" i="60"/>
  <c r="BE174" i="60" s="1"/>
  <c r="BD174" i="60"/>
  <c r="BC175" i="60"/>
  <c r="BD175" i="60"/>
  <c r="BE175" i="60" s="1"/>
  <c r="BC176" i="60"/>
  <c r="BD176" i="60"/>
  <c r="BC177" i="60"/>
  <c r="BD177" i="60"/>
  <c r="BC178" i="60"/>
  <c r="BD178" i="60"/>
  <c r="BE178" i="60"/>
  <c r="BC179" i="60"/>
  <c r="BD179" i="60"/>
  <c r="BE179" i="60"/>
  <c r="BC180" i="60"/>
  <c r="BD180" i="60"/>
  <c r="BC181" i="60"/>
  <c r="BD181" i="60"/>
  <c r="BC182" i="60"/>
  <c r="BE182" i="60" s="1"/>
  <c r="BD182" i="60"/>
  <c r="BC183" i="60"/>
  <c r="BD183" i="60"/>
  <c r="BE183" i="60" s="1"/>
  <c r="BC4" i="60"/>
  <c r="BE4" i="60" s="1"/>
  <c r="BD4" i="60"/>
  <c r="AG28" i="60"/>
  <c r="AG23" i="60"/>
  <c r="O79" i="60"/>
  <c r="O95" i="60"/>
  <c r="O127" i="60"/>
  <c r="O159" i="60"/>
  <c r="BA189" i="60"/>
  <c r="BA188" i="60"/>
  <c r="BA187" i="60"/>
  <c r="BA186" i="60"/>
  <c r="BB184" i="60"/>
  <c r="K184" i="60"/>
  <c r="BH183" i="60"/>
  <c r="L183" i="60"/>
  <c r="O183" i="60" s="1"/>
  <c r="BH182" i="60"/>
  <c r="L182" i="60"/>
  <c r="O182" i="60" s="1"/>
  <c r="BH181" i="60"/>
  <c r="L181" i="60"/>
  <c r="O181" i="60" s="1"/>
  <c r="BH180" i="60"/>
  <c r="L180" i="60"/>
  <c r="O180" i="60" s="1"/>
  <c r="BH179" i="60"/>
  <c r="L179" i="60"/>
  <c r="O179" i="60" s="1"/>
  <c r="BH178" i="60"/>
  <c r="L178" i="60"/>
  <c r="O178" i="60" s="1"/>
  <c r="BH177" i="60"/>
  <c r="L177" i="60"/>
  <c r="O177" i="60" s="1"/>
  <c r="BH176" i="60"/>
  <c r="L176" i="60"/>
  <c r="O176" i="60" s="1"/>
  <c r="BH175" i="60"/>
  <c r="L175" i="60"/>
  <c r="O175" i="60" s="1"/>
  <c r="BH174" i="60"/>
  <c r="L174" i="60"/>
  <c r="O174" i="60" s="1"/>
  <c r="BH173" i="60"/>
  <c r="L173" i="60"/>
  <c r="O173" i="60" s="1"/>
  <c r="BH172" i="60"/>
  <c r="L172" i="60"/>
  <c r="O172" i="60" s="1"/>
  <c r="BH171" i="60"/>
  <c r="L171" i="60"/>
  <c r="O171" i="60" s="1"/>
  <c r="BH170" i="60"/>
  <c r="L170" i="60"/>
  <c r="O170" i="60" s="1"/>
  <c r="BH169" i="60"/>
  <c r="L169" i="60"/>
  <c r="O169" i="60" s="1"/>
  <c r="BH168" i="60"/>
  <c r="L168" i="60"/>
  <c r="O168" i="60" s="1"/>
  <c r="BH167" i="60"/>
  <c r="L167" i="60"/>
  <c r="O167" i="60" s="1"/>
  <c r="BH166" i="60"/>
  <c r="L166" i="60"/>
  <c r="O166" i="60" s="1"/>
  <c r="BH165" i="60"/>
  <c r="L165" i="60"/>
  <c r="O165" i="60" s="1"/>
  <c r="BH164" i="60"/>
  <c r="L164" i="60"/>
  <c r="O164" i="60" s="1"/>
  <c r="BH163" i="60"/>
  <c r="L163" i="60"/>
  <c r="O163" i="60" s="1"/>
  <c r="BH162" i="60"/>
  <c r="L162" i="60"/>
  <c r="O162" i="60" s="1"/>
  <c r="BH161" i="60"/>
  <c r="L161" i="60"/>
  <c r="O161" i="60" s="1"/>
  <c r="BH160" i="60"/>
  <c r="L160" i="60"/>
  <c r="O160" i="60" s="1"/>
  <c r="BH159" i="60"/>
  <c r="L159" i="60"/>
  <c r="BH158" i="60"/>
  <c r="L158" i="60"/>
  <c r="O158" i="60" s="1"/>
  <c r="BH157" i="60"/>
  <c r="L157" i="60"/>
  <c r="O157" i="60" s="1"/>
  <c r="BH156" i="60"/>
  <c r="L156" i="60"/>
  <c r="O156" i="60" s="1"/>
  <c r="BH155" i="60"/>
  <c r="L155" i="60"/>
  <c r="O155" i="60" s="1"/>
  <c r="BH154" i="60"/>
  <c r="L154" i="60"/>
  <c r="O154" i="60" s="1"/>
  <c r="BH153" i="60"/>
  <c r="L153" i="60"/>
  <c r="O153" i="60" s="1"/>
  <c r="BH152" i="60"/>
  <c r="L152" i="60"/>
  <c r="O152" i="60" s="1"/>
  <c r="BH151" i="60"/>
  <c r="L151" i="60"/>
  <c r="O151" i="60" s="1"/>
  <c r="BH150" i="60"/>
  <c r="L150" i="60"/>
  <c r="O150" i="60" s="1"/>
  <c r="BH149" i="60"/>
  <c r="L149" i="60"/>
  <c r="O149" i="60" s="1"/>
  <c r="BH148" i="60"/>
  <c r="L148" i="60"/>
  <c r="O148" i="60" s="1"/>
  <c r="BH147" i="60"/>
  <c r="L147" i="60"/>
  <c r="O147" i="60" s="1"/>
  <c r="BH146" i="60"/>
  <c r="L146" i="60"/>
  <c r="O146" i="60" s="1"/>
  <c r="BH145" i="60"/>
  <c r="L145" i="60"/>
  <c r="O145" i="60" s="1"/>
  <c r="BH144" i="60"/>
  <c r="L144" i="60"/>
  <c r="O144" i="60" s="1"/>
  <c r="BH143" i="60"/>
  <c r="L143" i="60"/>
  <c r="O143" i="60" s="1"/>
  <c r="BH142" i="60"/>
  <c r="L142" i="60"/>
  <c r="O142" i="60" s="1"/>
  <c r="BH141" i="60"/>
  <c r="L141" i="60"/>
  <c r="O141" i="60" s="1"/>
  <c r="BH140" i="60"/>
  <c r="L140" i="60"/>
  <c r="O140" i="60" s="1"/>
  <c r="BH139" i="60"/>
  <c r="L139" i="60"/>
  <c r="O139" i="60" s="1"/>
  <c r="BH138" i="60"/>
  <c r="L138" i="60"/>
  <c r="O138" i="60" s="1"/>
  <c r="BH137" i="60"/>
  <c r="L137" i="60"/>
  <c r="O137" i="60" s="1"/>
  <c r="BH136" i="60"/>
  <c r="L136" i="60"/>
  <c r="O136" i="60" s="1"/>
  <c r="BH135" i="60"/>
  <c r="L135" i="60"/>
  <c r="O135" i="60" s="1"/>
  <c r="BH134" i="60"/>
  <c r="L134" i="60"/>
  <c r="O134" i="60" s="1"/>
  <c r="BH133" i="60"/>
  <c r="L133" i="60"/>
  <c r="O133" i="60" s="1"/>
  <c r="BH132" i="60"/>
  <c r="L132" i="60"/>
  <c r="O132" i="60" s="1"/>
  <c r="BH131" i="60"/>
  <c r="L131" i="60"/>
  <c r="O131" i="60" s="1"/>
  <c r="BH130" i="60"/>
  <c r="L130" i="60"/>
  <c r="O130" i="60" s="1"/>
  <c r="BH129" i="60"/>
  <c r="L129" i="60"/>
  <c r="O129" i="60" s="1"/>
  <c r="BH128" i="60"/>
  <c r="L128" i="60"/>
  <c r="O128" i="60" s="1"/>
  <c r="BH127" i="60"/>
  <c r="L127" i="60"/>
  <c r="BH126" i="60"/>
  <c r="L126" i="60"/>
  <c r="O126" i="60" s="1"/>
  <c r="BH125" i="60"/>
  <c r="L125" i="60"/>
  <c r="O125" i="60" s="1"/>
  <c r="BH124" i="60"/>
  <c r="L124" i="60"/>
  <c r="O124" i="60" s="1"/>
  <c r="BH123" i="60"/>
  <c r="L123" i="60"/>
  <c r="O123" i="60" s="1"/>
  <c r="BH122" i="60"/>
  <c r="L122" i="60"/>
  <c r="O122" i="60" s="1"/>
  <c r="BH121" i="60"/>
  <c r="L121" i="60"/>
  <c r="O121" i="60" s="1"/>
  <c r="BH120" i="60"/>
  <c r="L120" i="60"/>
  <c r="O120" i="60" s="1"/>
  <c r="BH119" i="60"/>
  <c r="L119" i="60"/>
  <c r="O119" i="60" s="1"/>
  <c r="BH118" i="60"/>
  <c r="L118" i="60"/>
  <c r="O118" i="60" s="1"/>
  <c r="BH117" i="60"/>
  <c r="L117" i="60"/>
  <c r="O117" i="60" s="1"/>
  <c r="BH116" i="60"/>
  <c r="L116" i="60"/>
  <c r="O116" i="60" s="1"/>
  <c r="BH115" i="60"/>
  <c r="L115" i="60"/>
  <c r="O115" i="60" s="1"/>
  <c r="BH114" i="60"/>
  <c r="L114" i="60"/>
  <c r="O114" i="60" s="1"/>
  <c r="BH113" i="60"/>
  <c r="L113" i="60"/>
  <c r="O113" i="60" s="1"/>
  <c r="BH112" i="60"/>
  <c r="L112" i="60"/>
  <c r="O112" i="60" s="1"/>
  <c r="BH111" i="60"/>
  <c r="L111" i="60"/>
  <c r="O111" i="60" s="1"/>
  <c r="BH110" i="60"/>
  <c r="L110" i="60"/>
  <c r="O110" i="60" s="1"/>
  <c r="BH109" i="60"/>
  <c r="L109" i="60"/>
  <c r="O109" i="60" s="1"/>
  <c r="BH108" i="60"/>
  <c r="L108" i="60"/>
  <c r="O108" i="60" s="1"/>
  <c r="BH107" i="60"/>
  <c r="L107" i="60"/>
  <c r="O107" i="60" s="1"/>
  <c r="BH106" i="60"/>
  <c r="L106" i="60"/>
  <c r="O106" i="60" s="1"/>
  <c r="BH105" i="60"/>
  <c r="L105" i="60"/>
  <c r="O105" i="60" s="1"/>
  <c r="BH104" i="60"/>
  <c r="L104" i="60"/>
  <c r="O104" i="60" s="1"/>
  <c r="BH103" i="60"/>
  <c r="L103" i="60"/>
  <c r="O103" i="60" s="1"/>
  <c r="BH102" i="60"/>
  <c r="L102" i="60"/>
  <c r="O102" i="60" s="1"/>
  <c r="BH101" i="60"/>
  <c r="L101" i="60"/>
  <c r="O101" i="60" s="1"/>
  <c r="BH100" i="60"/>
  <c r="L100" i="60"/>
  <c r="O100" i="60" s="1"/>
  <c r="BH99" i="60"/>
  <c r="L99" i="60"/>
  <c r="O99" i="60" s="1"/>
  <c r="BH98" i="60"/>
  <c r="L98" i="60"/>
  <c r="O98" i="60" s="1"/>
  <c r="BH97" i="60"/>
  <c r="L97" i="60"/>
  <c r="O97" i="60" s="1"/>
  <c r="BH96" i="60"/>
  <c r="L96" i="60"/>
  <c r="O96" i="60" s="1"/>
  <c r="BH95" i="60"/>
  <c r="L95" i="60"/>
  <c r="BH94" i="60"/>
  <c r="L94" i="60"/>
  <c r="O94" i="60" s="1"/>
  <c r="BH93" i="60"/>
  <c r="L93" i="60"/>
  <c r="O93" i="60" s="1"/>
  <c r="BH92" i="60"/>
  <c r="L92" i="60"/>
  <c r="O92" i="60" s="1"/>
  <c r="BH91" i="60"/>
  <c r="L91" i="60"/>
  <c r="O91" i="60" s="1"/>
  <c r="BH90" i="60"/>
  <c r="L90" i="60"/>
  <c r="O90" i="60" s="1"/>
  <c r="BH89" i="60"/>
  <c r="L89" i="60"/>
  <c r="O89" i="60" s="1"/>
  <c r="BH88" i="60"/>
  <c r="L88" i="60"/>
  <c r="O88" i="60" s="1"/>
  <c r="BH87" i="60"/>
  <c r="L87" i="60"/>
  <c r="O87" i="60" s="1"/>
  <c r="BH86" i="60"/>
  <c r="L86" i="60"/>
  <c r="O86" i="60" s="1"/>
  <c r="BH85" i="60"/>
  <c r="L85" i="60"/>
  <c r="O85" i="60" s="1"/>
  <c r="BH84" i="60"/>
  <c r="L84" i="60"/>
  <c r="O84" i="60" s="1"/>
  <c r="BH83" i="60"/>
  <c r="L83" i="60"/>
  <c r="O83" i="60" s="1"/>
  <c r="BH82" i="60"/>
  <c r="L82" i="60"/>
  <c r="O82" i="60" s="1"/>
  <c r="BH81" i="60"/>
  <c r="L81" i="60"/>
  <c r="O81" i="60" s="1"/>
  <c r="BH80" i="60"/>
  <c r="L80" i="60"/>
  <c r="O80" i="60" s="1"/>
  <c r="BH79" i="60"/>
  <c r="L79" i="60"/>
  <c r="BH78" i="60"/>
  <c r="L78" i="60"/>
  <c r="O78" i="60" s="1"/>
  <c r="BH77" i="60"/>
  <c r="L77" i="60"/>
  <c r="O77" i="60" s="1"/>
  <c r="BH76" i="60"/>
  <c r="L76" i="60"/>
  <c r="O76" i="60" s="1"/>
  <c r="BH75" i="60"/>
  <c r="L75" i="60"/>
  <c r="O75" i="60" s="1"/>
  <c r="BH74" i="60"/>
  <c r="L74" i="60"/>
  <c r="O74" i="60" s="1"/>
  <c r="BH73" i="60"/>
  <c r="L73" i="60"/>
  <c r="O73" i="60" s="1"/>
  <c r="BH72" i="60"/>
  <c r="L72" i="60"/>
  <c r="O72" i="60" s="1"/>
  <c r="BH71" i="60"/>
  <c r="L71" i="60"/>
  <c r="O71" i="60" s="1"/>
  <c r="BH70" i="60"/>
  <c r="L70" i="60"/>
  <c r="O70" i="60" s="1"/>
  <c r="BH69" i="60"/>
  <c r="L69" i="60"/>
  <c r="O69" i="60" s="1"/>
  <c r="BH68" i="60"/>
  <c r="L68" i="60"/>
  <c r="O68" i="60" s="1"/>
  <c r="BH67" i="60"/>
  <c r="L67" i="60"/>
  <c r="O67" i="60" s="1"/>
  <c r="BH66" i="60"/>
  <c r="L66" i="60"/>
  <c r="O66" i="60" s="1"/>
  <c r="BH65" i="60"/>
  <c r="L65" i="60"/>
  <c r="O65" i="60" s="1"/>
  <c r="BH64" i="60"/>
  <c r="L64" i="60"/>
  <c r="O64" i="60" s="1"/>
  <c r="BH63" i="60"/>
  <c r="L63" i="60"/>
  <c r="O63" i="60" s="1"/>
  <c r="BH62" i="60"/>
  <c r="L62" i="60"/>
  <c r="O62" i="60" s="1"/>
  <c r="BH61" i="60"/>
  <c r="L61" i="60"/>
  <c r="O61" i="60" s="1"/>
  <c r="BH60" i="60"/>
  <c r="L60" i="60"/>
  <c r="O60" i="60" s="1"/>
  <c r="BH59" i="60"/>
  <c r="L59" i="60"/>
  <c r="O59" i="60" s="1"/>
  <c r="BH58" i="60"/>
  <c r="L58" i="60"/>
  <c r="O58" i="60" s="1"/>
  <c r="BH57" i="60"/>
  <c r="L57" i="60"/>
  <c r="O57" i="60" s="1"/>
  <c r="BH56" i="60"/>
  <c r="L56" i="60"/>
  <c r="O56" i="60" s="1"/>
  <c r="BH55" i="60"/>
  <c r="L55" i="60"/>
  <c r="O55" i="60" s="1"/>
  <c r="BH54" i="60"/>
  <c r="L54" i="60"/>
  <c r="O54" i="60" s="1"/>
  <c r="BH53" i="60"/>
  <c r="L53" i="60"/>
  <c r="O53" i="60" s="1"/>
  <c r="BH52" i="60"/>
  <c r="L52" i="60"/>
  <c r="O52" i="60" s="1"/>
  <c r="BH51" i="60"/>
  <c r="L51" i="60"/>
  <c r="O51" i="60" s="1"/>
  <c r="BH50" i="60"/>
  <c r="L50" i="60"/>
  <c r="O50" i="60" s="1"/>
  <c r="BH49" i="60"/>
  <c r="L49" i="60"/>
  <c r="O49" i="60" s="1"/>
  <c r="BH48" i="60"/>
  <c r="L48" i="60"/>
  <c r="O48" i="60" s="1"/>
  <c r="BH47" i="60"/>
  <c r="L47" i="60"/>
  <c r="O47" i="60" s="1"/>
  <c r="BH46" i="60"/>
  <c r="L46" i="60"/>
  <c r="O46" i="60" s="1"/>
  <c r="BH45" i="60"/>
  <c r="L45" i="60"/>
  <c r="O45" i="60" s="1"/>
  <c r="BH44" i="60"/>
  <c r="AM44" i="60"/>
  <c r="L44" i="60"/>
  <c r="O44" i="60" s="1"/>
  <c r="BH43" i="60"/>
  <c r="L43" i="60"/>
  <c r="O43" i="60" s="1"/>
  <c r="BH42" i="60"/>
  <c r="V42" i="60"/>
  <c r="L42" i="60"/>
  <c r="O42" i="60" s="1"/>
  <c r="BH41" i="60"/>
  <c r="V41" i="60"/>
  <c r="L41" i="60"/>
  <c r="O41" i="60" s="1"/>
  <c r="BH40" i="60"/>
  <c r="AL40" i="60"/>
  <c r="V40" i="60"/>
  <c r="L40" i="60"/>
  <c r="O40" i="60" s="1"/>
  <c r="BH39" i="60"/>
  <c r="AL39" i="60"/>
  <c r="V39" i="60"/>
  <c r="L39" i="60"/>
  <c r="O39" i="60" s="1"/>
  <c r="BH38" i="60"/>
  <c r="L38" i="60"/>
  <c r="O38" i="60" s="1"/>
  <c r="BH37" i="60"/>
  <c r="L37" i="60"/>
  <c r="O37" i="60" s="1"/>
  <c r="BH36" i="60"/>
  <c r="L36" i="60"/>
  <c r="O36" i="60" s="1"/>
  <c r="BH35" i="60"/>
  <c r="L35" i="60"/>
  <c r="O35" i="60" s="1"/>
  <c r="BH34" i="60"/>
  <c r="L34" i="60"/>
  <c r="O34" i="60" s="1"/>
  <c r="BH33" i="60"/>
  <c r="L33" i="60"/>
  <c r="O33" i="60" s="1"/>
  <c r="BH32" i="60"/>
  <c r="L32" i="60"/>
  <c r="O32" i="60" s="1"/>
  <c r="BH31" i="60"/>
  <c r="L31" i="60"/>
  <c r="O31" i="60" s="1"/>
  <c r="BH30" i="60"/>
  <c r="AD30" i="60"/>
  <c r="L30" i="60"/>
  <c r="O30" i="60" s="1"/>
  <c r="BH29" i="60"/>
  <c r="L29" i="60"/>
  <c r="O29" i="60" s="1"/>
  <c r="BH28" i="60"/>
  <c r="L28" i="60"/>
  <c r="O28" i="60" s="1"/>
  <c r="BH27" i="60"/>
  <c r="L27" i="60"/>
  <c r="O27" i="60" s="1"/>
  <c r="BH26" i="60"/>
  <c r="L26" i="60"/>
  <c r="O26" i="60" s="1"/>
  <c r="BH25" i="60"/>
  <c r="AD25" i="60"/>
  <c r="L25" i="60"/>
  <c r="O25" i="60" s="1"/>
  <c r="BH24" i="60"/>
  <c r="AD24" i="60"/>
  <c r="L24" i="60"/>
  <c r="O24" i="60" s="1"/>
  <c r="BH23" i="60"/>
  <c r="L23" i="60"/>
  <c r="O23" i="60" s="1"/>
  <c r="BH22" i="60"/>
  <c r="L22" i="60"/>
  <c r="O22" i="60" s="1"/>
  <c r="BH21" i="60"/>
  <c r="L21" i="60"/>
  <c r="O21" i="60" s="1"/>
  <c r="BH20" i="60"/>
  <c r="L20" i="60"/>
  <c r="O20" i="60" s="1"/>
  <c r="BH19" i="60"/>
  <c r="L19" i="60"/>
  <c r="O19" i="60" s="1"/>
  <c r="BH18" i="60"/>
  <c r="L18" i="60"/>
  <c r="O18" i="60" s="1"/>
  <c r="BH17" i="60"/>
  <c r="L17" i="60"/>
  <c r="O17" i="60" s="1"/>
  <c r="BH16" i="60"/>
  <c r="AD16" i="60"/>
  <c r="AD17" i="60" s="1"/>
  <c r="L16" i="60"/>
  <c r="O16" i="60" s="1"/>
  <c r="BH15" i="60"/>
  <c r="L15" i="60"/>
  <c r="O15" i="60" s="1"/>
  <c r="BH14" i="60"/>
  <c r="L14" i="60"/>
  <c r="O14" i="60" s="1"/>
  <c r="BH13" i="60"/>
  <c r="L13" i="60"/>
  <c r="O13" i="60" s="1"/>
  <c r="BH12" i="60"/>
  <c r="L12" i="60"/>
  <c r="O12" i="60" s="1"/>
  <c r="BH11" i="60"/>
  <c r="L11" i="60"/>
  <c r="O11" i="60" s="1"/>
  <c r="BH10" i="60"/>
  <c r="L10" i="60"/>
  <c r="O10" i="60" s="1"/>
  <c r="BH9" i="60"/>
  <c r="L9" i="60"/>
  <c r="O9" i="60" s="1"/>
  <c r="BH8" i="60"/>
  <c r="L8" i="60"/>
  <c r="O8" i="60" s="1"/>
  <c r="BH7" i="60"/>
  <c r="L7" i="60"/>
  <c r="O7" i="60" s="1"/>
  <c r="BH6" i="60"/>
  <c r="L6" i="60"/>
  <c r="O6" i="60" s="1"/>
  <c r="BH5" i="60"/>
  <c r="L5" i="60"/>
  <c r="O5" i="60" s="1"/>
  <c r="BH4" i="60"/>
  <c r="L4" i="60"/>
  <c r="O4" i="60" s="1"/>
  <c r="BI183" i="20"/>
  <c r="BI182" i="20"/>
  <c r="BI181" i="20"/>
  <c r="BI180" i="20"/>
  <c r="BI179" i="20"/>
  <c r="BI178" i="20"/>
  <c r="BI177" i="20"/>
  <c r="BI176" i="20"/>
  <c r="BI175" i="20"/>
  <c r="BI174" i="20"/>
  <c r="BI173" i="20"/>
  <c r="BI172" i="20"/>
  <c r="BI171" i="20"/>
  <c r="BI170" i="20"/>
  <c r="BI169" i="20"/>
  <c r="BI168" i="20"/>
  <c r="BI167" i="20"/>
  <c r="BI166" i="20"/>
  <c r="BI165" i="20"/>
  <c r="BI164" i="20"/>
  <c r="BI163" i="20"/>
  <c r="BI162" i="20"/>
  <c r="BI161" i="20"/>
  <c r="BI160" i="20"/>
  <c r="BI159" i="20"/>
  <c r="BI158" i="20"/>
  <c r="BI157" i="20"/>
  <c r="BI156" i="20"/>
  <c r="BI155" i="20"/>
  <c r="BI154" i="20"/>
  <c r="BI153" i="20"/>
  <c r="BI152" i="20"/>
  <c r="BI151" i="20"/>
  <c r="BI150" i="20"/>
  <c r="BI149" i="20"/>
  <c r="BI148" i="20"/>
  <c r="BI147" i="20"/>
  <c r="BI146" i="20"/>
  <c r="BI145" i="20"/>
  <c r="BI144" i="20"/>
  <c r="BI143" i="20"/>
  <c r="BI142" i="20"/>
  <c r="BI141" i="20"/>
  <c r="BI140" i="20"/>
  <c r="BI139" i="20"/>
  <c r="BI138" i="20"/>
  <c r="BI137" i="20"/>
  <c r="BI136" i="20"/>
  <c r="BI135" i="20"/>
  <c r="BI134" i="20"/>
  <c r="BI133" i="20"/>
  <c r="BI132" i="20"/>
  <c r="BI131" i="20"/>
  <c r="BI130" i="20"/>
  <c r="BI129" i="20"/>
  <c r="BI128" i="20"/>
  <c r="BI127" i="20"/>
  <c r="BI126" i="20"/>
  <c r="BI125" i="20"/>
  <c r="BI124" i="20"/>
  <c r="BI123" i="20"/>
  <c r="BI122" i="20"/>
  <c r="BI121" i="20"/>
  <c r="BI120" i="20"/>
  <c r="BI119" i="20"/>
  <c r="BI118" i="20"/>
  <c r="BI117" i="20"/>
  <c r="BI116" i="20"/>
  <c r="BI115" i="20"/>
  <c r="BI114" i="20"/>
  <c r="BI113" i="20"/>
  <c r="BI112" i="20"/>
  <c r="BI111" i="20"/>
  <c r="BI110" i="20"/>
  <c r="BI109" i="20"/>
  <c r="BI108" i="20"/>
  <c r="BI107" i="20"/>
  <c r="BI106" i="20"/>
  <c r="BI105" i="20"/>
  <c r="BI104" i="20"/>
  <c r="BI103" i="20"/>
  <c r="BI102" i="20"/>
  <c r="BI101" i="20"/>
  <c r="BI100" i="20"/>
  <c r="BI99" i="20"/>
  <c r="BI98" i="20"/>
  <c r="BI97" i="20"/>
  <c r="BI96" i="20"/>
  <c r="BI95" i="20"/>
  <c r="BI94" i="20"/>
  <c r="BI93" i="20"/>
  <c r="BI92" i="20"/>
  <c r="BI91" i="20"/>
  <c r="BI90" i="20"/>
  <c r="BI89" i="20"/>
  <c r="BI88" i="20"/>
  <c r="BI84" i="20"/>
  <c r="BI83" i="20"/>
  <c r="BI82" i="20"/>
  <c r="BI81" i="20"/>
  <c r="BI80" i="20"/>
  <c r="BI79" i="20"/>
  <c r="BI78" i="20"/>
  <c r="BI77" i="20"/>
  <c r="BI76" i="20"/>
  <c r="BI75" i="20"/>
  <c r="BI74" i="20"/>
  <c r="BI73" i="20"/>
  <c r="BI72" i="20"/>
  <c r="BI71" i="20"/>
  <c r="BI70" i="20"/>
  <c r="BI69" i="20"/>
  <c r="BI68" i="20"/>
  <c r="BI67" i="20"/>
  <c r="BI66" i="20"/>
  <c r="BI65" i="20"/>
  <c r="BI64" i="20"/>
  <c r="BI63" i="20"/>
  <c r="BI62" i="20"/>
  <c r="BI61" i="20"/>
  <c r="BI60" i="20"/>
  <c r="BI59" i="20"/>
  <c r="BI58" i="20"/>
  <c r="BI57" i="20"/>
  <c r="BI56" i="20"/>
  <c r="BI55" i="20"/>
  <c r="BI54" i="20"/>
  <c r="BI53" i="20"/>
  <c r="BI52" i="20"/>
  <c r="BI51" i="20"/>
  <c r="BI50" i="20"/>
  <c r="BI49" i="20"/>
  <c r="BI48" i="20"/>
  <c r="BI47" i="20"/>
  <c r="BI46" i="20"/>
  <c r="BI45" i="20"/>
  <c r="BI44" i="20"/>
  <c r="BI43" i="20"/>
  <c r="BI42" i="20"/>
  <c r="BI41" i="20"/>
  <c r="BI40" i="20"/>
  <c r="BI39" i="20"/>
  <c r="BI38" i="20"/>
  <c r="BI37" i="20"/>
  <c r="BI36" i="20"/>
  <c r="BI35" i="20"/>
  <c r="BI34" i="20"/>
  <c r="BI33" i="20"/>
  <c r="BI32" i="20"/>
  <c r="BI31" i="20"/>
  <c r="BI30" i="20"/>
  <c r="BI29" i="20"/>
  <c r="BI28" i="20"/>
  <c r="BI27" i="20"/>
  <c r="BI26" i="20"/>
  <c r="BI25" i="20"/>
  <c r="BI24" i="20"/>
  <c r="BI23" i="20"/>
  <c r="BI22" i="20"/>
  <c r="BI21" i="20"/>
  <c r="BI20" i="20"/>
  <c r="BI19" i="20"/>
  <c r="BI18" i="20"/>
  <c r="BI17" i="20"/>
  <c r="BI16" i="20"/>
  <c r="BI15" i="20"/>
  <c r="BI14" i="20"/>
  <c r="BI13" i="20"/>
  <c r="BI12" i="20"/>
  <c r="BI11" i="20"/>
  <c r="BI10" i="20"/>
  <c r="BI9" i="20"/>
  <c r="BI8" i="20"/>
  <c r="BJ8" i="20" s="1"/>
  <c r="BI5" i="20"/>
  <c r="BI6" i="20"/>
  <c r="BI7" i="20"/>
  <c r="BI85" i="20"/>
  <c r="BI86" i="20"/>
  <c r="BI87" i="20"/>
  <c r="BI4" i="20"/>
  <c r="BA189" i="20"/>
  <c r="BA188" i="20"/>
  <c r="BA187" i="20"/>
  <c r="BA186" i="20"/>
  <c r="BB184" i="20"/>
  <c r="BH181" i="20"/>
  <c r="BJ181" i="20" s="1"/>
  <c r="BH178" i="20"/>
  <c r="BH173" i="20"/>
  <c r="BJ173" i="20" s="1"/>
  <c r="BH170" i="20"/>
  <c r="BH157" i="20"/>
  <c r="BJ157" i="20" s="1"/>
  <c r="BH149" i="20"/>
  <c r="BJ149" i="20" s="1"/>
  <c r="BH4" i="20"/>
  <c r="BD183" i="20"/>
  <c r="BC183" i="20"/>
  <c r="BE183" i="20" s="1"/>
  <c r="BH183" i="20"/>
  <c r="BJ183" i="20" s="1"/>
  <c r="BD182" i="20"/>
  <c r="BC182" i="20"/>
  <c r="BE182" i="20" s="1"/>
  <c r="BH182" i="20"/>
  <c r="BD181" i="20"/>
  <c r="BC181" i="20"/>
  <c r="BE181" i="20" s="1"/>
  <c r="BD180" i="20"/>
  <c r="BC180" i="20"/>
  <c r="BH180" i="20"/>
  <c r="BD179" i="20"/>
  <c r="BE179" i="20" s="1"/>
  <c r="BC179" i="20"/>
  <c r="BH179" i="20"/>
  <c r="BD178" i="20"/>
  <c r="BE178" i="20" s="1"/>
  <c r="BC178" i="20"/>
  <c r="BD177" i="20"/>
  <c r="BC177" i="20"/>
  <c r="BE177" i="20" s="1"/>
  <c r="BH177" i="20"/>
  <c r="BJ177" i="20" s="1"/>
  <c r="BD176" i="20"/>
  <c r="BC176" i="20"/>
  <c r="BH176" i="20"/>
  <c r="BD175" i="20"/>
  <c r="BC175" i="20"/>
  <c r="BH175" i="20"/>
  <c r="BD174" i="20"/>
  <c r="BC174" i="20"/>
  <c r="BE174" i="20" s="1"/>
  <c r="BH174" i="20"/>
  <c r="BD173" i="20"/>
  <c r="BC173" i="20"/>
  <c r="BD172" i="20"/>
  <c r="BC172" i="20"/>
  <c r="BH172" i="20"/>
  <c r="BJ172" i="20" s="1"/>
  <c r="BD171" i="20"/>
  <c r="BC171" i="20"/>
  <c r="BE171" i="20" s="1"/>
  <c r="BH171" i="20"/>
  <c r="BD170" i="20"/>
  <c r="BC170" i="20"/>
  <c r="BE169" i="20"/>
  <c r="BD169" i="20"/>
  <c r="BC169" i="20"/>
  <c r="BH169" i="20"/>
  <c r="BJ169" i="20" s="1"/>
  <c r="BE168" i="20"/>
  <c r="BD168" i="20"/>
  <c r="BC168" i="20"/>
  <c r="BH168" i="20"/>
  <c r="BJ168" i="20" s="1"/>
  <c r="BE167" i="20"/>
  <c r="BD167" i="20"/>
  <c r="BC167" i="20"/>
  <c r="BH167" i="20"/>
  <c r="BJ167" i="20" s="1"/>
  <c r="BE166" i="20"/>
  <c r="BD166" i="20"/>
  <c r="BC166" i="20"/>
  <c r="BH166" i="20"/>
  <c r="BE165" i="20"/>
  <c r="BD165" i="20"/>
  <c r="BC165" i="20"/>
  <c r="BH165" i="20"/>
  <c r="BJ165" i="20" s="1"/>
  <c r="BE164" i="20"/>
  <c r="BD164" i="20"/>
  <c r="BC164" i="20"/>
  <c r="BH164" i="20"/>
  <c r="BJ164" i="20" s="1"/>
  <c r="BE163" i="20"/>
  <c r="BD163" i="20"/>
  <c r="BC163" i="20"/>
  <c r="BH163" i="20"/>
  <c r="BJ163" i="20" s="1"/>
  <c r="BE162" i="20"/>
  <c r="BD162" i="20"/>
  <c r="BC162" i="20"/>
  <c r="BH162" i="20"/>
  <c r="BE161" i="20"/>
  <c r="BD161" i="20"/>
  <c r="BC161" i="20"/>
  <c r="BH161" i="20"/>
  <c r="BJ161" i="20" s="1"/>
  <c r="BE160" i="20"/>
  <c r="BD160" i="20"/>
  <c r="BC160" i="20"/>
  <c r="BH160" i="20"/>
  <c r="BJ160" i="20" s="1"/>
  <c r="BE159" i="20"/>
  <c r="BD159" i="20"/>
  <c r="BC159" i="20"/>
  <c r="BH159" i="20"/>
  <c r="BJ159" i="20" s="1"/>
  <c r="BE158" i="20"/>
  <c r="BD158" i="20"/>
  <c r="BC158" i="20"/>
  <c r="BH158" i="20"/>
  <c r="BE157" i="20"/>
  <c r="BD157" i="20"/>
  <c r="BC157" i="20"/>
  <c r="BD156" i="20"/>
  <c r="BC156" i="20"/>
  <c r="BH156" i="20"/>
  <c r="BD155" i="20"/>
  <c r="BE155" i="20" s="1"/>
  <c r="BC155" i="20"/>
  <c r="BH155" i="20"/>
  <c r="BD154" i="20"/>
  <c r="BE154" i="20" s="1"/>
  <c r="BC154" i="20"/>
  <c r="BH154" i="20"/>
  <c r="BD153" i="20"/>
  <c r="BE153" i="20" s="1"/>
  <c r="BC153" i="20"/>
  <c r="BH153" i="20"/>
  <c r="BJ153" i="20" s="1"/>
  <c r="BD152" i="20"/>
  <c r="BC152" i="20"/>
  <c r="BH152" i="20"/>
  <c r="BD151" i="20"/>
  <c r="BC151" i="20"/>
  <c r="BH151" i="20"/>
  <c r="BD150" i="20"/>
  <c r="BE150" i="20" s="1"/>
  <c r="BC150" i="20"/>
  <c r="BH150" i="20"/>
  <c r="BD149" i="20"/>
  <c r="BE149" i="20" s="1"/>
  <c r="BC149" i="20"/>
  <c r="BD148" i="20"/>
  <c r="BC148" i="20"/>
  <c r="BE148" i="20" s="1"/>
  <c r="BH148" i="20"/>
  <c r="BD147" i="20"/>
  <c r="BC147" i="20"/>
  <c r="BH147" i="20"/>
  <c r="BJ147" i="20" s="1"/>
  <c r="BD146" i="20"/>
  <c r="BC146" i="20"/>
  <c r="BH146" i="20"/>
  <c r="BD145" i="20"/>
  <c r="BC145" i="20"/>
  <c r="BE145" i="20" s="1"/>
  <c r="BH145" i="20"/>
  <c r="BJ145" i="20" s="1"/>
  <c r="BD144" i="20"/>
  <c r="BC144" i="20"/>
  <c r="BH144" i="20"/>
  <c r="BD143" i="20"/>
  <c r="BC143" i="20"/>
  <c r="BH143" i="20"/>
  <c r="BJ143" i="20" s="1"/>
  <c r="BD142" i="20"/>
  <c r="BC142" i="20"/>
  <c r="BH142" i="20"/>
  <c r="BD141" i="20"/>
  <c r="BC141" i="20"/>
  <c r="BE141" i="20" s="1"/>
  <c r="BH141" i="20"/>
  <c r="BJ141" i="20" s="1"/>
  <c r="BD140" i="20"/>
  <c r="BC140" i="20"/>
  <c r="BE140" i="20" s="1"/>
  <c r="BH140" i="20"/>
  <c r="BD139" i="20"/>
  <c r="BC139" i="20"/>
  <c r="BH139" i="20"/>
  <c r="BJ139" i="20" s="1"/>
  <c r="BD138" i="20"/>
  <c r="BC138" i="20"/>
  <c r="BH138" i="20"/>
  <c r="BD137" i="20"/>
  <c r="BC137" i="20"/>
  <c r="BE137" i="20" s="1"/>
  <c r="BH137" i="20"/>
  <c r="BJ137" i="20" s="1"/>
  <c r="BD136" i="20"/>
  <c r="BC136" i="20"/>
  <c r="BH136" i="20"/>
  <c r="BD135" i="20"/>
  <c r="BC135" i="20"/>
  <c r="BH135" i="20"/>
  <c r="BJ135" i="20" s="1"/>
  <c r="BD134" i="20"/>
  <c r="BC134" i="20"/>
  <c r="BH134" i="20"/>
  <c r="BD133" i="20"/>
  <c r="BC133" i="20"/>
  <c r="BE133" i="20" s="1"/>
  <c r="BH133" i="20"/>
  <c r="BD132" i="20"/>
  <c r="BC132" i="20"/>
  <c r="BE132" i="20" s="1"/>
  <c r="BH132" i="20"/>
  <c r="BD131" i="20"/>
  <c r="BC131" i="20"/>
  <c r="BH131" i="20"/>
  <c r="BD130" i="20"/>
  <c r="BC130" i="20"/>
  <c r="BH130" i="20"/>
  <c r="BD129" i="20"/>
  <c r="BC129" i="20"/>
  <c r="BE129" i="20" s="1"/>
  <c r="BH129" i="20"/>
  <c r="BD128" i="20"/>
  <c r="BC128" i="20"/>
  <c r="BH128" i="20"/>
  <c r="BD127" i="20"/>
  <c r="BC127" i="20"/>
  <c r="BH127" i="20"/>
  <c r="BD126" i="20"/>
  <c r="BC126" i="20"/>
  <c r="BH126" i="20"/>
  <c r="BD125" i="20"/>
  <c r="BC125" i="20"/>
  <c r="BE125" i="20" s="1"/>
  <c r="BH125" i="20"/>
  <c r="BD124" i="20"/>
  <c r="BC124" i="20"/>
  <c r="BE124" i="20" s="1"/>
  <c r="BH124" i="20"/>
  <c r="BD123" i="20"/>
  <c r="BC123" i="20"/>
  <c r="BH123" i="20"/>
  <c r="BD122" i="20"/>
  <c r="BC122" i="20"/>
  <c r="BH122" i="20"/>
  <c r="BD121" i="20"/>
  <c r="BC121" i="20"/>
  <c r="BE121" i="20" s="1"/>
  <c r="BH121" i="20"/>
  <c r="BD120" i="20"/>
  <c r="BC120" i="20"/>
  <c r="BH120" i="20"/>
  <c r="BD119" i="20"/>
  <c r="BC119" i="20"/>
  <c r="BH119" i="20"/>
  <c r="BD118" i="20"/>
  <c r="BC118" i="20"/>
  <c r="BH118" i="20"/>
  <c r="BD117" i="20"/>
  <c r="BC117" i="20"/>
  <c r="BE117" i="20" s="1"/>
  <c r="BH117" i="20"/>
  <c r="BD116" i="20"/>
  <c r="BC116" i="20"/>
  <c r="BE116" i="20" s="1"/>
  <c r="BH116" i="20"/>
  <c r="BD115" i="20"/>
  <c r="BC115" i="20"/>
  <c r="BH115" i="20"/>
  <c r="BD114" i="20"/>
  <c r="BC114" i="20"/>
  <c r="BH114" i="20"/>
  <c r="BD113" i="20"/>
  <c r="BC113" i="20"/>
  <c r="BE113" i="20" s="1"/>
  <c r="BH113" i="20"/>
  <c r="BD112" i="20"/>
  <c r="BC112" i="20"/>
  <c r="BH112" i="20"/>
  <c r="BD111" i="20"/>
  <c r="BC111" i="20"/>
  <c r="BH111" i="20"/>
  <c r="BD110" i="20"/>
  <c r="BC110" i="20"/>
  <c r="BH110" i="20"/>
  <c r="BD109" i="20"/>
  <c r="BC109" i="20"/>
  <c r="BE109" i="20" s="1"/>
  <c r="BH109" i="20"/>
  <c r="BD108" i="20"/>
  <c r="BC108" i="20"/>
  <c r="BE108" i="20" s="1"/>
  <c r="BH108" i="20"/>
  <c r="BD107" i="20"/>
  <c r="BC107" i="20"/>
  <c r="BH107" i="20"/>
  <c r="BD106" i="20"/>
  <c r="BC106" i="20"/>
  <c r="BH106" i="20"/>
  <c r="BD105" i="20"/>
  <c r="BC105" i="20"/>
  <c r="BE105" i="20" s="1"/>
  <c r="BH105" i="20"/>
  <c r="BD104" i="20"/>
  <c r="BC104" i="20"/>
  <c r="BH104" i="20"/>
  <c r="BD103" i="20"/>
  <c r="BC103" i="20"/>
  <c r="BH103" i="20"/>
  <c r="BD102" i="20"/>
  <c r="BC102" i="20"/>
  <c r="BH102" i="20"/>
  <c r="BD101" i="20"/>
  <c r="BC101" i="20"/>
  <c r="BE101" i="20" s="1"/>
  <c r="BH101" i="20"/>
  <c r="BD100" i="20"/>
  <c r="BC100" i="20"/>
  <c r="BE100" i="20" s="1"/>
  <c r="BH100" i="20"/>
  <c r="BD99" i="20"/>
  <c r="BC99" i="20"/>
  <c r="BH99" i="20"/>
  <c r="BD98" i="20"/>
  <c r="BC98" i="20"/>
  <c r="BH98" i="20"/>
  <c r="BD97" i="20"/>
  <c r="BC97" i="20"/>
  <c r="BE97" i="20" s="1"/>
  <c r="BH97" i="20"/>
  <c r="BD96" i="20"/>
  <c r="BC96" i="20"/>
  <c r="BH96" i="20"/>
  <c r="BD95" i="20"/>
  <c r="BC95" i="20"/>
  <c r="BH95" i="20"/>
  <c r="BD94" i="20"/>
  <c r="BC94" i="20"/>
  <c r="BH94" i="20"/>
  <c r="BD93" i="20"/>
  <c r="BC93" i="20"/>
  <c r="BE93" i="20" s="1"/>
  <c r="BH93" i="20"/>
  <c r="BD92" i="20"/>
  <c r="BC92" i="20"/>
  <c r="BE92" i="20" s="1"/>
  <c r="BH92" i="20"/>
  <c r="BD91" i="20"/>
  <c r="BC91" i="20"/>
  <c r="BH91" i="20"/>
  <c r="BD90" i="20"/>
  <c r="BC90" i="20"/>
  <c r="BD89" i="20"/>
  <c r="BC89" i="20"/>
  <c r="BE89" i="20" s="1"/>
  <c r="BH88" i="20"/>
  <c r="BD88" i="20"/>
  <c r="BC88" i="20"/>
  <c r="BD87" i="20"/>
  <c r="BC87" i="20"/>
  <c r="BE87" i="20" s="1"/>
  <c r="BH87" i="20"/>
  <c r="BD86" i="20"/>
  <c r="BC86" i="20"/>
  <c r="BE86" i="20" s="1"/>
  <c r="BH86" i="20"/>
  <c r="BD85" i="20"/>
  <c r="BC85" i="20"/>
  <c r="BH85" i="20"/>
  <c r="BD84" i="20"/>
  <c r="BC84" i="20"/>
  <c r="BH84" i="20"/>
  <c r="BD83" i="20"/>
  <c r="BC83" i="20"/>
  <c r="BE83" i="20" s="1"/>
  <c r="BH83" i="20"/>
  <c r="BD82" i="20"/>
  <c r="BC82" i="20"/>
  <c r="BH82" i="20"/>
  <c r="BD81" i="20"/>
  <c r="BC81" i="20"/>
  <c r="BH81" i="20"/>
  <c r="BD80" i="20"/>
  <c r="BC80" i="20"/>
  <c r="BH80" i="20"/>
  <c r="BD79" i="20"/>
  <c r="BC79" i="20"/>
  <c r="BE79" i="20" s="1"/>
  <c r="BH79" i="20"/>
  <c r="BD78" i="20"/>
  <c r="BC78" i="20"/>
  <c r="BE78" i="20" s="1"/>
  <c r="BH78" i="20"/>
  <c r="BD77" i="20"/>
  <c r="BC77" i="20"/>
  <c r="BH77" i="20"/>
  <c r="BD76" i="20"/>
  <c r="BC76" i="20"/>
  <c r="BH76" i="20"/>
  <c r="BD75" i="20"/>
  <c r="BC75" i="20"/>
  <c r="BE75" i="20" s="1"/>
  <c r="BH75" i="20"/>
  <c r="BD74" i="20"/>
  <c r="BC74" i="20"/>
  <c r="BH74" i="20"/>
  <c r="BD73" i="20"/>
  <c r="BC73" i="20"/>
  <c r="BH73" i="20"/>
  <c r="BD72" i="20"/>
  <c r="BC72" i="20"/>
  <c r="BH72" i="20"/>
  <c r="BD71" i="20"/>
  <c r="BC71" i="20"/>
  <c r="BE71" i="20" s="1"/>
  <c r="BH71" i="20"/>
  <c r="BD70" i="20"/>
  <c r="BC70" i="20"/>
  <c r="BE70" i="20" s="1"/>
  <c r="BH70" i="20"/>
  <c r="BD69" i="20"/>
  <c r="BC69" i="20"/>
  <c r="BH69" i="20"/>
  <c r="BD68" i="20"/>
  <c r="BC68" i="20"/>
  <c r="BH68" i="20"/>
  <c r="BD67" i="20"/>
  <c r="BC67" i="20"/>
  <c r="BE67" i="20" s="1"/>
  <c r="BH67" i="20"/>
  <c r="BD66" i="20"/>
  <c r="BC66" i="20"/>
  <c r="BH66" i="20"/>
  <c r="BD65" i="20"/>
  <c r="BC65" i="20"/>
  <c r="BH65" i="20"/>
  <c r="BJ65" i="20" s="1"/>
  <c r="BD64" i="20"/>
  <c r="BC64" i="20"/>
  <c r="BH64" i="20"/>
  <c r="BD63" i="20"/>
  <c r="BC63" i="20"/>
  <c r="BE63" i="20" s="1"/>
  <c r="BH63" i="20"/>
  <c r="BJ63" i="20" s="1"/>
  <c r="BD62" i="20"/>
  <c r="BC62" i="20"/>
  <c r="BE62" i="20" s="1"/>
  <c r="BH62" i="20"/>
  <c r="BJ62" i="20" s="1"/>
  <c r="BD61" i="20"/>
  <c r="BC61" i="20"/>
  <c r="BH61" i="20"/>
  <c r="BJ61" i="20" s="1"/>
  <c r="BD60" i="20"/>
  <c r="BC60" i="20"/>
  <c r="BH60" i="20"/>
  <c r="BD59" i="20"/>
  <c r="BC59" i="20"/>
  <c r="BE59" i="20" s="1"/>
  <c r="BH59" i="20"/>
  <c r="BJ59" i="20" s="1"/>
  <c r="BD58" i="20"/>
  <c r="BC58" i="20"/>
  <c r="BH58" i="20"/>
  <c r="BJ58" i="20" s="1"/>
  <c r="BD57" i="20"/>
  <c r="BC57" i="20"/>
  <c r="BH57" i="20"/>
  <c r="BJ57" i="20" s="1"/>
  <c r="BD56" i="20"/>
  <c r="BC56" i="20"/>
  <c r="BH56" i="20"/>
  <c r="BD55" i="20"/>
  <c r="BC55" i="20"/>
  <c r="BE55" i="20" s="1"/>
  <c r="BH55" i="20"/>
  <c r="BJ55" i="20" s="1"/>
  <c r="BD54" i="20"/>
  <c r="BC54" i="20"/>
  <c r="BE54" i="20" s="1"/>
  <c r="BH54" i="20"/>
  <c r="BJ54" i="20" s="1"/>
  <c r="BD53" i="20"/>
  <c r="BC53" i="20"/>
  <c r="BH53" i="20"/>
  <c r="BJ53" i="20" s="1"/>
  <c r="BD52" i="20"/>
  <c r="BC52" i="20"/>
  <c r="BH52" i="20"/>
  <c r="BD51" i="20"/>
  <c r="BC51" i="20"/>
  <c r="BE51" i="20" s="1"/>
  <c r="BH51" i="20"/>
  <c r="BJ51" i="20" s="1"/>
  <c r="BD50" i="20"/>
  <c r="BC50" i="20"/>
  <c r="BH50" i="20"/>
  <c r="BJ50" i="20" s="1"/>
  <c r="BD49" i="20"/>
  <c r="BC49" i="20"/>
  <c r="BH49" i="20"/>
  <c r="BJ49" i="20" s="1"/>
  <c r="BD48" i="20"/>
  <c r="BC48" i="20"/>
  <c r="BH48" i="20"/>
  <c r="BD47" i="20"/>
  <c r="BC47" i="20"/>
  <c r="BE47" i="20" s="1"/>
  <c r="BH47" i="20"/>
  <c r="BJ47" i="20" s="1"/>
  <c r="BD46" i="20"/>
  <c r="BC46" i="20"/>
  <c r="BE46" i="20" s="1"/>
  <c r="BH46" i="20"/>
  <c r="BJ46" i="20" s="1"/>
  <c r="BD45" i="20"/>
  <c r="BC45" i="20"/>
  <c r="BH45" i="20"/>
  <c r="BJ45" i="20" s="1"/>
  <c r="BD44" i="20"/>
  <c r="BC44" i="20"/>
  <c r="BH44" i="20"/>
  <c r="BD43" i="20"/>
  <c r="BC43" i="20"/>
  <c r="BE43" i="20" s="1"/>
  <c r="BH43" i="20"/>
  <c r="BJ43" i="20" s="1"/>
  <c r="BD42" i="20"/>
  <c r="BC42" i="20"/>
  <c r="BH42" i="20"/>
  <c r="BJ42" i="20" s="1"/>
  <c r="BD41" i="20"/>
  <c r="BC41" i="20"/>
  <c r="BH41" i="20"/>
  <c r="BJ41" i="20" s="1"/>
  <c r="BD40" i="20"/>
  <c r="BC40" i="20"/>
  <c r="BH40" i="20"/>
  <c r="BD39" i="20"/>
  <c r="BC39" i="20"/>
  <c r="BE39" i="20" s="1"/>
  <c r="BH39" i="20"/>
  <c r="BJ39" i="20" s="1"/>
  <c r="BD38" i="20"/>
  <c r="BC38" i="20"/>
  <c r="BE38" i="20" s="1"/>
  <c r="BH38" i="20"/>
  <c r="BJ38" i="20" s="1"/>
  <c r="BD37" i="20"/>
  <c r="BC37" i="20"/>
  <c r="BH37" i="20"/>
  <c r="BJ37" i="20" s="1"/>
  <c r="BD36" i="20"/>
  <c r="BC36" i="20"/>
  <c r="BH36" i="20"/>
  <c r="BD35" i="20"/>
  <c r="BC35" i="20"/>
  <c r="BE35" i="20" s="1"/>
  <c r="BH35" i="20"/>
  <c r="BJ35" i="20" s="1"/>
  <c r="BD34" i="20"/>
  <c r="BC34" i="20"/>
  <c r="BE34" i="20" s="1"/>
  <c r="BH34" i="20"/>
  <c r="BJ34" i="20" s="1"/>
  <c r="BD33" i="20"/>
  <c r="BC33" i="20"/>
  <c r="BH33" i="20"/>
  <c r="BJ33" i="20" s="1"/>
  <c r="BD32" i="20"/>
  <c r="BC32" i="20"/>
  <c r="BH32" i="20"/>
  <c r="BD31" i="20"/>
  <c r="BC31" i="20"/>
  <c r="BE31" i="20" s="1"/>
  <c r="BH31" i="20"/>
  <c r="BJ31" i="20" s="1"/>
  <c r="BD30" i="20"/>
  <c r="BC30" i="20"/>
  <c r="BE30" i="20" s="1"/>
  <c r="BH30" i="20"/>
  <c r="BJ30" i="20" s="1"/>
  <c r="BD29" i="20"/>
  <c r="BC29" i="20"/>
  <c r="BH29" i="20"/>
  <c r="BJ29" i="20" s="1"/>
  <c r="BD28" i="20"/>
  <c r="BC28" i="20"/>
  <c r="BH28" i="20"/>
  <c r="BD27" i="20"/>
  <c r="BC27" i="20"/>
  <c r="BE27" i="20" s="1"/>
  <c r="BH27" i="20"/>
  <c r="BJ27" i="20" s="1"/>
  <c r="BD26" i="20"/>
  <c r="BC26" i="20"/>
  <c r="BE26" i="20" s="1"/>
  <c r="BH26" i="20"/>
  <c r="BJ26" i="20" s="1"/>
  <c r="BD25" i="20"/>
  <c r="BC25" i="20"/>
  <c r="BH25" i="20"/>
  <c r="BJ25" i="20" s="1"/>
  <c r="BD24" i="20"/>
  <c r="BC24" i="20"/>
  <c r="BH24" i="20"/>
  <c r="BD23" i="20"/>
  <c r="BC23" i="20"/>
  <c r="BE23" i="20" s="1"/>
  <c r="BH23" i="20"/>
  <c r="BJ23" i="20" s="1"/>
  <c r="BD22" i="20"/>
  <c r="BC22" i="20"/>
  <c r="BE22" i="20" s="1"/>
  <c r="BH22" i="20"/>
  <c r="BJ22" i="20" s="1"/>
  <c r="BD21" i="20"/>
  <c r="BC21" i="20"/>
  <c r="BH21" i="20"/>
  <c r="BJ21" i="20" s="1"/>
  <c r="BD20" i="20"/>
  <c r="BC20" i="20"/>
  <c r="BH20" i="20"/>
  <c r="BD19" i="20"/>
  <c r="BC19" i="20"/>
  <c r="BE19" i="20" s="1"/>
  <c r="BH19" i="20"/>
  <c r="BJ19" i="20" s="1"/>
  <c r="BD18" i="20"/>
  <c r="BC18" i="20"/>
  <c r="BE18" i="20" s="1"/>
  <c r="BH18" i="20"/>
  <c r="BJ18" i="20" s="1"/>
  <c r="BD17" i="20"/>
  <c r="BC17" i="20"/>
  <c r="BH17" i="20"/>
  <c r="BJ17" i="20" s="1"/>
  <c r="BD16" i="20"/>
  <c r="BC16" i="20"/>
  <c r="BH16" i="20"/>
  <c r="BD15" i="20"/>
  <c r="BC15" i="20"/>
  <c r="BE15" i="20" s="1"/>
  <c r="BH15" i="20"/>
  <c r="BJ15" i="20" s="1"/>
  <c r="BD14" i="20"/>
  <c r="BC14" i="20"/>
  <c r="BE14" i="20" s="1"/>
  <c r="BH14" i="20"/>
  <c r="BJ14" i="20" s="1"/>
  <c r="BD13" i="20"/>
  <c r="BC13" i="20"/>
  <c r="BH13" i="20"/>
  <c r="BJ13" i="20" s="1"/>
  <c r="BD12" i="20"/>
  <c r="BC12" i="20"/>
  <c r="BH12" i="20"/>
  <c r="BD11" i="20"/>
  <c r="BC11" i="20"/>
  <c r="BE11" i="20" s="1"/>
  <c r="BH11" i="20"/>
  <c r="BJ11" i="20" s="1"/>
  <c r="BD10" i="20"/>
  <c r="BC10" i="20"/>
  <c r="BE10" i="20" s="1"/>
  <c r="BH10" i="20"/>
  <c r="BJ10" i="20" s="1"/>
  <c r="BD9" i="20"/>
  <c r="BC9" i="20"/>
  <c r="BH9" i="20"/>
  <c r="BJ9" i="20" s="1"/>
  <c r="BD8" i="20"/>
  <c r="BC8" i="20"/>
  <c r="BH8" i="20"/>
  <c r="BD7" i="20"/>
  <c r="BC7" i="20"/>
  <c r="BE7" i="20" s="1"/>
  <c r="BH7" i="20"/>
  <c r="BD6" i="20"/>
  <c r="BC6" i="20"/>
  <c r="BE6" i="20" s="1"/>
  <c r="BH6" i="20"/>
  <c r="BJ6" i="20" s="1"/>
  <c r="BD5" i="20"/>
  <c r="BC5" i="20"/>
  <c r="BH5" i="20"/>
  <c r="BD4" i="20"/>
  <c r="BC4" i="20"/>
  <c r="H9" i="20"/>
  <c r="AL40" i="20"/>
  <c r="AL62" i="20" s="1"/>
  <c r="AL39" i="20"/>
  <c r="AM44" i="20"/>
  <c r="AN25" i="20"/>
  <c r="AM25" i="20"/>
  <c r="AL25" i="20"/>
  <c r="AK25" i="20"/>
  <c r="AK27" i="20"/>
  <c r="AO24" i="20"/>
  <c r="AO23" i="20"/>
  <c r="AO22" i="20"/>
  <c r="AO21" i="20"/>
  <c r="D64" i="15"/>
  <c r="AG28" i="20"/>
  <c r="AG23" i="20"/>
  <c r="AD30" i="20"/>
  <c r="AD24" i="20"/>
  <c r="AD25" i="20" s="1"/>
  <c r="AD16" i="20"/>
  <c r="AD17" i="20" s="1"/>
  <c r="K184" i="20"/>
  <c r="M183" i="20"/>
  <c r="M182" i="20"/>
  <c r="M181" i="20"/>
  <c r="M180" i="20"/>
  <c r="M179" i="20"/>
  <c r="M178" i="20"/>
  <c r="M177" i="20"/>
  <c r="M176" i="20"/>
  <c r="M175" i="20"/>
  <c r="M174" i="20"/>
  <c r="M173" i="20"/>
  <c r="M172" i="20"/>
  <c r="M171" i="20"/>
  <c r="M170" i="20"/>
  <c r="M169" i="20"/>
  <c r="M168" i="20"/>
  <c r="M167" i="20"/>
  <c r="M166" i="20"/>
  <c r="M165" i="20"/>
  <c r="M164" i="20"/>
  <c r="M163" i="20"/>
  <c r="M162" i="20"/>
  <c r="M161" i="20"/>
  <c r="M159" i="20"/>
  <c r="M158" i="20"/>
  <c r="M157" i="20"/>
  <c r="M156" i="20"/>
  <c r="M155" i="20"/>
  <c r="M154" i="20"/>
  <c r="M153" i="20"/>
  <c r="M152" i="20"/>
  <c r="M151" i="20"/>
  <c r="M150" i="20"/>
  <c r="M149" i="20"/>
  <c r="M148" i="20"/>
  <c r="M147" i="20"/>
  <c r="M146" i="20"/>
  <c r="M145" i="20"/>
  <c r="M144" i="20"/>
  <c r="M143" i="20"/>
  <c r="M142" i="20"/>
  <c r="M141" i="20"/>
  <c r="M140" i="20"/>
  <c r="M139" i="20"/>
  <c r="M138" i="20"/>
  <c r="M137" i="20"/>
  <c r="M136" i="20"/>
  <c r="M135" i="20"/>
  <c r="M134" i="20"/>
  <c r="M133" i="20"/>
  <c r="M132" i="20"/>
  <c r="M131" i="20"/>
  <c r="M130" i="20"/>
  <c r="M129" i="20"/>
  <c r="M128" i="20"/>
  <c r="M127" i="20"/>
  <c r="M126" i="20"/>
  <c r="M125" i="20"/>
  <c r="M124" i="20"/>
  <c r="M123" i="20"/>
  <c r="M122" i="20"/>
  <c r="M121" i="20"/>
  <c r="M120" i="20"/>
  <c r="M119" i="20"/>
  <c r="M118" i="20"/>
  <c r="M117" i="20"/>
  <c r="M116" i="20"/>
  <c r="M115" i="20"/>
  <c r="M114" i="20"/>
  <c r="M113" i="20"/>
  <c r="M112" i="20"/>
  <c r="M111" i="20"/>
  <c r="M110" i="20"/>
  <c r="M109" i="20"/>
  <c r="M108" i="20"/>
  <c r="M107" i="20"/>
  <c r="M106" i="20"/>
  <c r="M105" i="20"/>
  <c r="M104" i="20"/>
  <c r="M103" i="20"/>
  <c r="M102" i="20"/>
  <c r="M101" i="20"/>
  <c r="M100" i="20"/>
  <c r="M99" i="20"/>
  <c r="M98" i="20"/>
  <c r="M97" i="20"/>
  <c r="M96" i="20"/>
  <c r="M95" i="20"/>
  <c r="M94" i="20"/>
  <c r="M93" i="20"/>
  <c r="M92" i="20"/>
  <c r="M91" i="20"/>
  <c r="M90" i="20"/>
  <c r="M89" i="20"/>
  <c r="M88" i="20"/>
  <c r="M87" i="20"/>
  <c r="M86" i="20"/>
  <c r="M85" i="20"/>
  <c r="M84" i="20"/>
  <c r="M83" i="20"/>
  <c r="M82" i="20"/>
  <c r="M81" i="20"/>
  <c r="M80" i="20"/>
  <c r="M79" i="20"/>
  <c r="M78" i="20"/>
  <c r="M77" i="20"/>
  <c r="M76" i="20"/>
  <c r="M75" i="20"/>
  <c r="M74" i="20"/>
  <c r="M73" i="20"/>
  <c r="M72" i="20"/>
  <c r="M71" i="20"/>
  <c r="M70" i="20"/>
  <c r="M69" i="20"/>
  <c r="M68" i="20"/>
  <c r="M67" i="20"/>
  <c r="M66" i="20"/>
  <c r="M65" i="20"/>
  <c r="M64" i="20"/>
  <c r="M63" i="20"/>
  <c r="M62" i="20"/>
  <c r="M61" i="20"/>
  <c r="M60" i="20"/>
  <c r="M59" i="20"/>
  <c r="M58" i="20"/>
  <c r="M57" i="20"/>
  <c r="M56" i="20"/>
  <c r="M55" i="20"/>
  <c r="M54" i="20"/>
  <c r="M53" i="20"/>
  <c r="M52" i="20"/>
  <c r="M51" i="20"/>
  <c r="M50" i="20"/>
  <c r="M49" i="20"/>
  <c r="M48" i="20"/>
  <c r="M47" i="20"/>
  <c r="M46" i="20"/>
  <c r="M45" i="20"/>
  <c r="M44" i="20"/>
  <c r="M43" i="20"/>
  <c r="M42" i="20"/>
  <c r="M41" i="20"/>
  <c r="M40" i="20"/>
  <c r="M39" i="20"/>
  <c r="M38" i="20"/>
  <c r="M37" i="20"/>
  <c r="M36" i="20"/>
  <c r="M35" i="20"/>
  <c r="M33" i="20"/>
  <c r="M34" i="20"/>
  <c r="M32" i="20"/>
  <c r="M31" i="20"/>
  <c r="M30" i="20"/>
  <c r="M29" i="20"/>
  <c r="M28" i="20"/>
  <c r="M27" i="20"/>
  <c r="M26" i="20"/>
  <c r="M25" i="20"/>
  <c r="M24" i="20"/>
  <c r="M23" i="20"/>
  <c r="M22" i="20"/>
  <c r="M21" i="20"/>
  <c r="M20" i="20"/>
  <c r="M19" i="20"/>
  <c r="M18" i="20"/>
  <c r="M17" i="20"/>
  <c r="M16" i="20"/>
  <c r="M15" i="20"/>
  <c r="M14" i="20"/>
  <c r="M13" i="20"/>
  <c r="M12" i="20"/>
  <c r="M11" i="20"/>
  <c r="M10" i="20"/>
  <c r="M9" i="20"/>
  <c r="M8" i="20"/>
  <c r="M7" i="20"/>
  <c r="M6" i="20"/>
  <c r="M5" i="20"/>
  <c r="M160" i="20"/>
  <c r="M4" i="20"/>
  <c r="L183" i="20"/>
  <c r="L182" i="20"/>
  <c r="O182" i="20" s="1"/>
  <c r="L181" i="20"/>
  <c r="O181" i="20" s="1"/>
  <c r="L180" i="20"/>
  <c r="L179" i="20"/>
  <c r="O179" i="20" s="1"/>
  <c r="L178" i="20"/>
  <c r="L177" i="20"/>
  <c r="L176" i="20"/>
  <c r="O176" i="20" s="1"/>
  <c r="L175" i="20"/>
  <c r="O175" i="20" s="1"/>
  <c r="L174" i="20"/>
  <c r="O174" i="20" s="1"/>
  <c r="L173" i="20"/>
  <c r="O173" i="20" s="1"/>
  <c r="L172" i="20"/>
  <c r="L171" i="20"/>
  <c r="O171" i="20" s="1"/>
  <c r="L170" i="20"/>
  <c r="L169" i="20"/>
  <c r="L168" i="20"/>
  <c r="O168" i="20" s="1"/>
  <c r="L167" i="20"/>
  <c r="O167" i="20" s="1"/>
  <c r="L166" i="20"/>
  <c r="O166" i="20" s="1"/>
  <c r="L165" i="20"/>
  <c r="O165" i="20" s="1"/>
  <c r="L164" i="20"/>
  <c r="L163" i="20"/>
  <c r="O163" i="20" s="1"/>
  <c r="L162" i="20"/>
  <c r="L161" i="20"/>
  <c r="L160" i="20"/>
  <c r="L159" i="20"/>
  <c r="L158" i="20"/>
  <c r="L157" i="20"/>
  <c r="L156" i="20"/>
  <c r="L155" i="20"/>
  <c r="L154" i="20"/>
  <c r="L153" i="20"/>
  <c r="L152" i="20"/>
  <c r="L151" i="20"/>
  <c r="L150" i="20"/>
  <c r="L149" i="20"/>
  <c r="L148" i="20"/>
  <c r="L147" i="20"/>
  <c r="L146" i="20"/>
  <c r="L145" i="20"/>
  <c r="L144" i="20"/>
  <c r="L143" i="20"/>
  <c r="L142" i="20"/>
  <c r="L141" i="20"/>
  <c r="L140" i="20"/>
  <c r="L139" i="20"/>
  <c r="L138" i="20"/>
  <c r="L137" i="20"/>
  <c r="L136" i="20"/>
  <c r="L135" i="20"/>
  <c r="L134" i="20"/>
  <c r="L133" i="20"/>
  <c r="L132" i="20"/>
  <c r="L131" i="20"/>
  <c r="L130" i="20"/>
  <c r="L129" i="20"/>
  <c r="L128" i="20"/>
  <c r="L127" i="20"/>
  <c r="L126" i="20"/>
  <c r="L125" i="20"/>
  <c r="L124" i="20"/>
  <c r="L123" i="20"/>
  <c r="L122" i="20"/>
  <c r="L121"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7" i="20"/>
  <c r="O47" i="20" s="1"/>
  <c r="L48"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H183" i="20"/>
  <c r="H182" i="20"/>
  <c r="H181" i="20"/>
  <c r="H180" i="20"/>
  <c r="H179" i="20"/>
  <c r="H176" i="20"/>
  <c r="H175" i="20"/>
  <c r="H174" i="20"/>
  <c r="H173" i="20"/>
  <c r="H172" i="20"/>
  <c r="H171" i="20"/>
  <c r="H170" i="20"/>
  <c r="H169" i="20"/>
  <c r="H168" i="20"/>
  <c r="H167" i="20"/>
  <c r="H166" i="20"/>
  <c r="H165" i="20"/>
  <c r="H162" i="20"/>
  <c r="H161" i="20"/>
  <c r="H160" i="20"/>
  <c r="H159" i="20"/>
  <c r="H158" i="20"/>
  <c r="H157" i="20"/>
  <c r="H156" i="20"/>
  <c r="H155" i="20"/>
  <c r="H154" i="20"/>
  <c r="H152" i="20"/>
  <c r="H151" i="20"/>
  <c r="H150" i="20"/>
  <c r="H149" i="20"/>
  <c r="H148" i="20"/>
  <c r="H147" i="20"/>
  <c r="H146" i="20"/>
  <c r="H145" i="20"/>
  <c r="H143" i="20"/>
  <c r="H142" i="20"/>
  <c r="H141" i="20"/>
  <c r="H140" i="20"/>
  <c r="H139" i="20"/>
  <c r="H138" i="20"/>
  <c r="H137" i="20"/>
  <c r="H136" i="20"/>
  <c r="H135" i="20"/>
  <c r="H134" i="20"/>
  <c r="H133" i="20"/>
  <c r="H132" i="20"/>
  <c r="H123" i="20"/>
  <c r="H122" i="20"/>
  <c r="H121" i="20"/>
  <c r="H120" i="20"/>
  <c r="H119" i="20"/>
  <c r="H118" i="20"/>
  <c r="H117" i="20"/>
  <c r="H116" i="20"/>
  <c r="H115" i="20"/>
  <c r="H114" i="20"/>
  <c r="H113" i="20"/>
  <c r="H112" i="20"/>
  <c r="H108" i="20"/>
  <c r="H107" i="20"/>
  <c r="H106" i="20"/>
  <c r="H105" i="20"/>
  <c r="H104" i="20"/>
  <c r="H103" i="20"/>
  <c r="H102" i="20"/>
  <c r="H101" i="20"/>
  <c r="H99" i="20"/>
  <c r="H97" i="20"/>
  <c r="H96" i="20"/>
  <c r="H94" i="20"/>
  <c r="H93" i="20"/>
  <c r="H92" i="20"/>
  <c r="H91" i="20"/>
  <c r="H90" i="20"/>
  <c r="H89" i="20"/>
  <c r="H84" i="20"/>
  <c r="H83" i="20"/>
  <c r="H82" i="20"/>
  <c r="H81" i="20"/>
  <c r="H80" i="20"/>
  <c r="H79" i="20"/>
  <c r="H78" i="20"/>
  <c r="H77" i="20"/>
  <c r="H76" i="20"/>
  <c r="H75" i="20"/>
  <c r="H74" i="20"/>
  <c r="H73" i="20"/>
  <c r="H72" i="20"/>
  <c r="H71" i="20"/>
  <c r="H70" i="20"/>
  <c r="H69" i="20"/>
  <c r="H68" i="20"/>
  <c r="H67" i="20"/>
  <c r="H66" i="20"/>
  <c r="H65" i="20"/>
  <c r="H64" i="20"/>
  <c r="H63" i="20"/>
  <c r="H62" i="20"/>
  <c r="H61" i="20"/>
  <c r="H60" i="20"/>
  <c r="H59" i="20"/>
  <c r="H58" i="20"/>
  <c r="H57" i="20"/>
  <c r="H56" i="20"/>
  <c r="H55" i="20"/>
  <c r="H54" i="20"/>
  <c r="H53" i="20"/>
  <c r="H52" i="20"/>
  <c r="H51" i="20"/>
  <c r="H50" i="20"/>
  <c r="H49" i="20"/>
  <c r="H48" i="20"/>
  <c r="H47" i="20"/>
  <c r="H46" i="20"/>
  <c r="H41" i="20"/>
  <c r="H40" i="20"/>
  <c r="H39" i="20"/>
  <c r="H38" i="20"/>
  <c r="H37" i="20"/>
  <c r="H36" i="20"/>
  <c r="H35" i="20"/>
  <c r="H34" i="20"/>
  <c r="H33" i="20"/>
  <c r="H32" i="20"/>
  <c r="H31" i="20"/>
  <c r="H30" i="20"/>
  <c r="H29" i="20"/>
  <c r="H28" i="20"/>
  <c r="H27" i="20"/>
  <c r="H26" i="20"/>
  <c r="H25" i="20"/>
  <c r="H24" i="20"/>
  <c r="H23" i="20"/>
  <c r="H22" i="20"/>
  <c r="H21" i="20"/>
  <c r="H20" i="20"/>
  <c r="H19" i="20"/>
  <c r="H18" i="20"/>
  <c r="H17" i="20"/>
  <c r="H16" i="20"/>
  <c r="H15" i="20"/>
  <c r="H14" i="20"/>
  <c r="H13" i="20"/>
  <c r="H12" i="20"/>
  <c r="H11" i="20"/>
  <c r="H10" i="20"/>
  <c r="H8" i="20"/>
  <c r="H7" i="20"/>
  <c r="H6" i="20"/>
  <c r="H5" i="20"/>
  <c r="H42" i="20"/>
  <c r="H43" i="20"/>
  <c r="H44" i="20"/>
  <c r="H45" i="20"/>
  <c r="H85" i="20"/>
  <c r="H86" i="20"/>
  <c r="H87" i="20"/>
  <c r="H88" i="20"/>
  <c r="H95" i="20"/>
  <c r="H98" i="20"/>
  <c r="H100" i="20"/>
  <c r="H109" i="20"/>
  <c r="H110" i="20"/>
  <c r="H111" i="20"/>
  <c r="H124" i="20"/>
  <c r="H125" i="20"/>
  <c r="H126" i="20"/>
  <c r="H127" i="20"/>
  <c r="H128" i="20"/>
  <c r="H129" i="20"/>
  <c r="H130" i="20"/>
  <c r="H131" i="20"/>
  <c r="H144" i="20"/>
  <c r="H153" i="20"/>
  <c r="H163" i="20"/>
  <c r="H164" i="20"/>
  <c r="H177" i="20"/>
  <c r="H178" i="20"/>
  <c r="H4" i="20"/>
  <c r="N181" i="20"/>
  <c r="N72" i="20"/>
  <c r="N71" i="20"/>
  <c r="N70" i="20"/>
  <c r="N69" i="20"/>
  <c r="N68" i="20"/>
  <c r="N67" i="20"/>
  <c r="N66" i="20"/>
  <c r="N65" i="20"/>
  <c r="N64" i="20"/>
  <c r="N63" i="20"/>
  <c r="N62" i="20"/>
  <c r="N61" i="20"/>
  <c r="N60" i="20"/>
  <c r="N59" i="20"/>
  <c r="N58" i="20"/>
  <c r="N57" i="20"/>
  <c r="N56" i="20"/>
  <c r="N55" i="20"/>
  <c r="N54" i="20"/>
  <c r="N53" i="20"/>
  <c r="N52" i="20"/>
  <c r="N51" i="20"/>
  <c r="N50" i="20"/>
  <c r="N49" i="20"/>
  <c r="N48" i="20"/>
  <c r="N47" i="20"/>
  <c r="N46" i="20"/>
  <c r="N45" i="20"/>
  <c r="N44" i="20"/>
  <c r="N43" i="20"/>
  <c r="N42" i="20"/>
  <c r="N41" i="20"/>
  <c r="N40" i="20"/>
  <c r="N39" i="20"/>
  <c r="N38" i="20"/>
  <c r="N37" i="20"/>
  <c r="N36" i="20"/>
  <c r="N35" i="20"/>
  <c r="N34" i="20"/>
  <c r="N33" i="20"/>
  <c r="N32" i="20"/>
  <c r="N31" i="20"/>
  <c r="N30" i="20"/>
  <c r="N29" i="20"/>
  <c r="N28" i="20"/>
  <c r="N27" i="20"/>
  <c r="N26" i="20"/>
  <c r="N25" i="20"/>
  <c r="N24" i="20"/>
  <c r="N23" i="20"/>
  <c r="N22" i="20"/>
  <c r="N21" i="20"/>
  <c r="N20" i="20"/>
  <c r="N19" i="20"/>
  <c r="N18" i="20"/>
  <c r="N17" i="20"/>
  <c r="N16" i="20"/>
  <c r="N15" i="20"/>
  <c r="N14" i="20"/>
  <c r="N13" i="20"/>
  <c r="N12" i="20"/>
  <c r="N11" i="20"/>
  <c r="N10" i="20"/>
  <c r="N9" i="20"/>
  <c r="N8" i="20"/>
  <c r="N7" i="20"/>
  <c r="N6" i="20"/>
  <c r="N5" i="20"/>
  <c r="N73" i="20"/>
  <c r="N74" i="20"/>
  <c r="N75" i="20"/>
  <c r="N76" i="20"/>
  <c r="N77" i="20"/>
  <c r="N78" i="20"/>
  <c r="N79" i="20"/>
  <c r="N80" i="20"/>
  <c r="N81" i="20"/>
  <c r="N82" i="20"/>
  <c r="N83" i="20"/>
  <c r="N84" i="20"/>
  <c r="N85" i="20"/>
  <c r="N86" i="20"/>
  <c r="N87" i="20"/>
  <c r="N88" i="20"/>
  <c r="N89" i="20"/>
  <c r="N90" i="20"/>
  <c r="N91" i="20"/>
  <c r="N92" i="20"/>
  <c r="N93" i="20"/>
  <c r="N94" i="20"/>
  <c r="N95" i="20"/>
  <c r="N96" i="20"/>
  <c r="N97" i="20"/>
  <c r="N98" i="20"/>
  <c r="N99" i="20"/>
  <c r="N100" i="20"/>
  <c r="N101" i="20"/>
  <c r="N102" i="20"/>
  <c r="N103" i="20"/>
  <c r="N104" i="20"/>
  <c r="N105" i="20"/>
  <c r="N106" i="20"/>
  <c r="N107" i="20"/>
  <c r="N108" i="20"/>
  <c r="N109" i="20"/>
  <c r="N110" i="20"/>
  <c r="N111" i="20"/>
  <c r="N112" i="20"/>
  <c r="N113" i="20"/>
  <c r="N114" i="20"/>
  <c r="N115" i="20"/>
  <c r="N116" i="20"/>
  <c r="N117" i="20"/>
  <c r="N118" i="20"/>
  <c r="N119" i="20"/>
  <c r="N120" i="20"/>
  <c r="N121" i="20"/>
  <c r="N122" i="20"/>
  <c r="N123" i="20"/>
  <c r="N124" i="20"/>
  <c r="N125" i="20"/>
  <c r="N126" i="20"/>
  <c r="N127" i="20"/>
  <c r="N128" i="20"/>
  <c r="N129" i="20"/>
  <c r="N130" i="20"/>
  <c r="N131" i="20"/>
  <c r="N132" i="20"/>
  <c r="N133" i="20"/>
  <c r="N134" i="20"/>
  <c r="N135" i="20"/>
  <c r="N136" i="20"/>
  <c r="N137" i="20"/>
  <c r="N138" i="20"/>
  <c r="N139" i="20"/>
  <c r="N140" i="20"/>
  <c r="N141" i="20"/>
  <c r="N142" i="20"/>
  <c r="N143" i="20"/>
  <c r="N144" i="20"/>
  <c r="N145" i="20"/>
  <c r="N146" i="20"/>
  <c r="N147" i="20"/>
  <c r="N148" i="20"/>
  <c r="N149" i="20"/>
  <c r="N150" i="20"/>
  <c r="N151" i="20"/>
  <c r="N152" i="20"/>
  <c r="N153" i="20"/>
  <c r="N154" i="20"/>
  <c r="N155" i="20"/>
  <c r="N156" i="20"/>
  <c r="N157" i="20"/>
  <c r="N158" i="20"/>
  <c r="N159" i="20"/>
  <c r="N160" i="20"/>
  <c r="N161" i="20"/>
  <c r="N162" i="20"/>
  <c r="N163" i="20"/>
  <c r="N164" i="20"/>
  <c r="N165" i="20"/>
  <c r="N166" i="20"/>
  <c r="N167" i="20"/>
  <c r="N168" i="20"/>
  <c r="N169" i="20"/>
  <c r="N170" i="20"/>
  <c r="N171" i="20"/>
  <c r="N172" i="20"/>
  <c r="N173" i="20"/>
  <c r="N174" i="20"/>
  <c r="N175" i="20"/>
  <c r="N176" i="20"/>
  <c r="N177" i="20"/>
  <c r="N178" i="20"/>
  <c r="N179" i="20"/>
  <c r="N180" i="20"/>
  <c r="N182" i="20"/>
  <c r="N183" i="20"/>
  <c r="N4" i="20"/>
  <c r="J182" i="20"/>
  <c r="J181" i="20"/>
  <c r="J180" i="20"/>
  <c r="J179" i="20"/>
  <c r="J178" i="20"/>
  <c r="J177" i="20"/>
  <c r="J176" i="20"/>
  <c r="J175" i="20"/>
  <c r="J174" i="20"/>
  <c r="J173" i="20"/>
  <c r="J172" i="20"/>
  <c r="J171" i="20"/>
  <c r="J170" i="20"/>
  <c r="J169" i="20"/>
  <c r="J168" i="20"/>
  <c r="J167" i="20"/>
  <c r="J166" i="20"/>
  <c r="J165" i="20"/>
  <c r="J164" i="20"/>
  <c r="J163" i="20"/>
  <c r="J162" i="20"/>
  <c r="J161" i="20"/>
  <c r="J160" i="20"/>
  <c r="J159" i="20"/>
  <c r="J158" i="20"/>
  <c r="J157" i="20"/>
  <c r="J156" i="20"/>
  <c r="J155" i="20"/>
  <c r="J154" i="20"/>
  <c r="J153" i="20"/>
  <c r="J152" i="20"/>
  <c r="J151" i="20"/>
  <c r="J150" i="20"/>
  <c r="J149" i="20"/>
  <c r="J148" i="20"/>
  <c r="J147" i="20"/>
  <c r="J146" i="20"/>
  <c r="J145" i="20"/>
  <c r="J144" i="20"/>
  <c r="J143" i="20"/>
  <c r="J142" i="20"/>
  <c r="J141" i="20"/>
  <c r="J140" i="20"/>
  <c r="J139" i="20"/>
  <c r="J138" i="20"/>
  <c r="J137" i="20"/>
  <c r="J136" i="20"/>
  <c r="J135" i="20"/>
  <c r="J134" i="20"/>
  <c r="J133" i="20"/>
  <c r="J132" i="20"/>
  <c r="J131" i="20"/>
  <c r="J130" i="20"/>
  <c r="J129" i="20"/>
  <c r="J128" i="20"/>
  <c r="J127" i="20"/>
  <c r="J126" i="20"/>
  <c r="J125" i="20"/>
  <c r="J124" i="20"/>
  <c r="J123" i="20"/>
  <c r="J122" i="20"/>
  <c r="J121" i="20"/>
  <c r="J120" i="20"/>
  <c r="J119" i="20"/>
  <c r="J118" i="20"/>
  <c r="J117" i="20"/>
  <c r="J116" i="20"/>
  <c r="J115" i="20"/>
  <c r="J114" i="20"/>
  <c r="J113" i="20"/>
  <c r="J112" i="20"/>
  <c r="J111" i="20"/>
  <c r="J110" i="20"/>
  <c r="J109" i="20"/>
  <c r="J108" i="20"/>
  <c r="J107" i="20"/>
  <c r="J106" i="20"/>
  <c r="J105" i="20"/>
  <c r="J104" i="20"/>
  <c r="J103" i="20"/>
  <c r="J102" i="20"/>
  <c r="J101" i="20"/>
  <c r="J100" i="20"/>
  <c r="J99" i="20"/>
  <c r="J98" i="20"/>
  <c r="J97" i="20"/>
  <c r="J96" i="20"/>
  <c r="J95" i="20"/>
  <c r="J94" i="20"/>
  <c r="J93" i="20"/>
  <c r="J92" i="20"/>
  <c r="J91" i="20"/>
  <c r="J90" i="20"/>
  <c r="J89" i="20"/>
  <c r="J88" i="20"/>
  <c r="J87" i="20"/>
  <c r="J86" i="20"/>
  <c r="J85" i="20"/>
  <c r="J84" i="20"/>
  <c r="J83" i="20"/>
  <c r="J82" i="20"/>
  <c r="J81" i="20"/>
  <c r="J80" i="20"/>
  <c r="J79" i="20"/>
  <c r="J78" i="20"/>
  <c r="J77" i="20"/>
  <c r="J76" i="20"/>
  <c r="J75" i="20"/>
  <c r="J74" i="20"/>
  <c r="J73" i="20"/>
  <c r="J72" i="20"/>
  <c r="J71" i="20"/>
  <c r="J70" i="20"/>
  <c r="J69" i="20"/>
  <c r="J68" i="20"/>
  <c r="J67" i="20"/>
  <c r="J66" i="20"/>
  <c r="J65" i="20"/>
  <c r="J64" i="20"/>
  <c r="J63" i="20"/>
  <c r="J62" i="20"/>
  <c r="J61" i="20"/>
  <c r="J60" i="20"/>
  <c r="J59" i="20"/>
  <c r="J58" i="20"/>
  <c r="J57" i="20"/>
  <c r="J56" i="20"/>
  <c r="J55" i="20"/>
  <c r="J54" i="20"/>
  <c r="J53" i="20"/>
  <c r="J52" i="20"/>
  <c r="J51" i="20"/>
  <c r="J50" i="20"/>
  <c r="J49" i="20"/>
  <c r="J48" i="20"/>
  <c r="J47" i="20"/>
  <c r="J46" i="20"/>
  <c r="J45" i="20"/>
  <c r="J44" i="20"/>
  <c r="J43" i="20"/>
  <c r="J42" i="20"/>
  <c r="J41" i="20"/>
  <c r="J40" i="20"/>
  <c r="J39" i="20"/>
  <c r="J38" i="20"/>
  <c r="J37" i="20"/>
  <c r="J36" i="20"/>
  <c r="J35" i="20"/>
  <c r="J34" i="20"/>
  <c r="J33" i="20"/>
  <c r="J32" i="20"/>
  <c r="J31" i="20"/>
  <c r="J30" i="20"/>
  <c r="J29" i="20"/>
  <c r="J28" i="20"/>
  <c r="J27" i="20"/>
  <c r="J26" i="20"/>
  <c r="J25" i="20"/>
  <c r="J24" i="20"/>
  <c r="J23" i="20"/>
  <c r="J22" i="20"/>
  <c r="J21" i="20"/>
  <c r="J20" i="20"/>
  <c r="J19" i="20"/>
  <c r="J18" i="20"/>
  <c r="J17" i="20"/>
  <c r="J16" i="20"/>
  <c r="J14" i="20"/>
  <c r="J13" i="20"/>
  <c r="J15" i="20"/>
  <c r="J183" i="20"/>
  <c r="J12" i="20"/>
  <c r="J11" i="20"/>
  <c r="J10" i="20"/>
  <c r="J9" i="20"/>
  <c r="J8" i="20"/>
  <c r="J7" i="20"/>
  <c r="J5" i="20"/>
  <c r="J6" i="20"/>
  <c r="J4" i="20"/>
  <c r="H43" i="48"/>
  <c r="H11" i="48"/>
  <c r="H44" i="48"/>
  <c r="H45" i="48"/>
  <c r="H35" i="48"/>
  <c r="H41" i="48"/>
  <c r="H36" i="48"/>
  <c r="H37" i="48"/>
  <c r="H38" i="48"/>
  <c r="H30" i="48"/>
  <c r="H40" i="48"/>
  <c r="H46" i="48"/>
  <c r="H32" i="48"/>
  <c r="H29" i="48"/>
  <c r="H48" i="48"/>
  <c r="H39" i="48"/>
  <c r="H42" i="48"/>
  <c r="H33" i="48"/>
  <c r="H28" i="48"/>
  <c r="H31" i="48"/>
  <c r="H34" i="48"/>
  <c r="H10" i="48"/>
  <c r="H27" i="48"/>
  <c r="H47" i="48"/>
  <c r="O145" i="20" l="1"/>
  <c r="O153" i="20"/>
  <c r="O161" i="20"/>
  <c r="O169" i="20"/>
  <c r="O177" i="20"/>
  <c r="BJ5" i="20"/>
  <c r="BE42" i="20"/>
  <c r="BE50" i="20"/>
  <c r="BE58" i="20"/>
  <c r="BE66" i="20"/>
  <c r="BE74" i="20"/>
  <c r="BE82" i="20"/>
  <c r="BE96" i="20"/>
  <c r="BE104" i="20"/>
  <c r="BE112" i="20"/>
  <c r="BE120" i="20"/>
  <c r="BE128" i="20"/>
  <c r="BE136" i="20"/>
  <c r="BE144" i="20"/>
  <c r="BJ150" i="20"/>
  <c r="BE152" i="20"/>
  <c r="BJ158" i="20"/>
  <c r="BJ162" i="20"/>
  <c r="BJ166" i="20"/>
  <c r="BE170" i="20"/>
  <c r="BE173" i="20"/>
  <c r="BJ12" i="20"/>
  <c r="BJ20" i="20"/>
  <c r="BJ36" i="20"/>
  <c r="BJ44" i="20"/>
  <c r="BJ52" i="20"/>
  <c r="BJ60" i="20"/>
  <c r="BE176" i="60"/>
  <c r="BE173" i="60"/>
  <c r="BE170" i="60"/>
  <c r="BE150" i="60"/>
  <c r="BE117" i="60"/>
  <c r="BE65" i="60"/>
  <c r="BE58" i="60"/>
  <c r="BE33" i="60"/>
  <c r="BE26" i="60"/>
  <c r="BE15" i="60"/>
  <c r="O34" i="20"/>
  <c r="O162" i="20"/>
  <c r="O170" i="20"/>
  <c r="O178" i="20"/>
  <c r="BE5" i="20"/>
  <c r="BE13" i="20"/>
  <c r="BE21" i="20"/>
  <c r="BE29" i="20"/>
  <c r="BE37" i="20"/>
  <c r="BE45" i="20"/>
  <c r="BE53" i="20"/>
  <c r="BE61" i="20"/>
  <c r="BE69" i="20"/>
  <c r="BE77" i="20"/>
  <c r="BE85" i="20"/>
  <c r="BE88" i="20"/>
  <c r="BE91" i="20"/>
  <c r="BE99" i="20"/>
  <c r="BE107" i="20"/>
  <c r="BE115" i="20"/>
  <c r="BE123" i="20"/>
  <c r="BE131" i="20"/>
  <c r="BJ134" i="20"/>
  <c r="BE139" i="20"/>
  <c r="BJ142" i="20"/>
  <c r="BE147" i="20"/>
  <c r="BE176" i="20"/>
  <c r="BJ182" i="20"/>
  <c r="BJ4" i="20"/>
  <c r="BJ7" i="20"/>
  <c r="BJ136" i="20"/>
  <c r="BJ144" i="20"/>
  <c r="BJ152" i="20"/>
  <c r="BJ176" i="20"/>
  <c r="BE123" i="60"/>
  <c r="BE11" i="60"/>
  <c r="BJ174" i="20"/>
  <c r="BE7" i="60"/>
  <c r="O4" i="20"/>
  <c r="O164" i="20"/>
  <c r="O172" i="20"/>
  <c r="O180" i="20"/>
  <c r="AG30" i="60"/>
  <c r="BE132" i="60"/>
  <c r="BE129" i="60"/>
  <c r="BE109" i="60"/>
  <c r="BE85" i="60"/>
  <c r="BE78" i="60"/>
  <c r="BE53" i="60"/>
  <c r="BE46" i="60"/>
  <c r="BE21" i="60"/>
  <c r="BE14" i="60"/>
  <c r="O5" i="20"/>
  <c r="O149" i="20"/>
  <c r="O157" i="20"/>
  <c r="BJ154" i="20"/>
  <c r="BE156" i="20"/>
  <c r="BJ170" i="20"/>
  <c r="BJ16" i="20"/>
  <c r="BJ24" i="20"/>
  <c r="BJ32" i="20"/>
  <c r="BJ40" i="20"/>
  <c r="BJ48" i="20"/>
  <c r="BJ56" i="20"/>
  <c r="AD32" i="60"/>
  <c r="BE135" i="60"/>
  <c r="BE115" i="60"/>
  <c r="BE63" i="60"/>
  <c r="BE49" i="60"/>
  <c r="BE42" i="60"/>
  <c r="BE17" i="60"/>
  <c r="BE10" i="60"/>
  <c r="BE9" i="20"/>
  <c r="BE17" i="20"/>
  <c r="BE25" i="20"/>
  <c r="BE33" i="20"/>
  <c r="BE41" i="20"/>
  <c r="BE49" i="20"/>
  <c r="BE57" i="20"/>
  <c r="BE65" i="20"/>
  <c r="BE73" i="20"/>
  <c r="BE81" i="20"/>
  <c r="BE95" i="20"/>
  <c r="BE103" i="20"/>
  <c r="BE111" i="20"/>
  <c r="BE119" i="20"/>
  <c r="BE127" i="20"/>
  <c r="BE135" i="20"/>
  <c r="BJ138" i="20"/>
  <c r="BE143" i="20"/>
  <c r="BJ146" i="20"/>
  <c r="BE151" i="20"/>
  <c r="BE180" i="20"/>
  <c r="BJ140" i="20"/>
  <c r="BJ148" i="20"/>
  <c r="BJ156" i="20"/>
  <c r="BJ180" i="20"/>
  <c r="O183" i="20"/>
  <c r="BE172" i="20"/>
  <c r="BJ178" i="20"/>
  <c r="BE180" i="60"/>
  <c r="BE167" i="60"/>
  <c r="BE144" i="60"/>
  <c r="BE141" i="60"/>
  <c r="BE138" i="60"/>
  <c r="BE121" i="60"/>
  <c r="BE101" i="60"/>
  <c r="BE73" i="60"/>
  <c r="BE66" i="60"/>
  <c r="BE41" i="60"/>
  <c r="BE34" i="60"/>
  <c r="BE23" i="60"/>
  <c r="BE9" i="60"/>
  <c r="O185" i="60"/>
  <c r="BE169" i="60"/>
  <c r="BE153" i="60"/>
  <c r="BE137" i="60"/>
  <c r="BE122" i="60"/>
  <c r="BE114" i="60"/>
  <c r="BE106" i="60"/>
  <c r="BE98" i="60"/>
  <c r="BE90" i="60"/>
  <c r="BE83" i="60"/>
  <c r="BE67" i="60"/>
  <c r="BE35" i="60"/>
  <c r="O184" i="60"/>
  <c r="BE177" i="60"/>
  <c r="BE161" i="60"/>
  <c r="BE145" i="60"/>
  <c r="BE126" i="60"/>
  <c r="BE118" i="60"/>
  <c r="BE110" i="60"/>
  <c r="BE102" i="60"/>
  <c r="BE94" i="60"/>
  <c r="BE75" i="60"/>
  <c r="BE43" i="60"/>
  <c r="BE27" i="60"/>
  <c r="BE181" i="60"/>
  <c r="BE165" i="60"/>
  <c r="BE149" i="60"/>
  <c r="BE133" i="60"/>
  <c r="BE87" i="60"/>
  <c r="BE71" i="60"/>
  <c r="BE55" i="60"/>
  <c r="BE39" i="60"/>
  <c r="BJ28" i="20"/>
  <c r="BJ151" i="20"/>
  <c r="BJ155" i="20"/>
  <c r="BJ175" i="20"/>
  <c r="BJ179" i="20"/>
  <c r="BE110" i="20"/>
  <c r="BE114" i="20"/>
  <c r="BE118" i="20"/>
  <c r="BE122" i="20"/>
  <c r="BE126" i="20"/>
  <c r="BE130" i="20"/>
  <c r="BE134" i="20"/>
  <c r="BE138" i="20"/>
  <c r="BE142" i="20"/>
  <c r="BE146" i="20"/>
  <c r="BJ171" i="20"/>
  <c r="BE175" i="20"/>
  <c r="O11" i="20"/>
  <c r="O15" i="20"/>
  <c r="O19" i="20"/>
  <c r="O23" i="20"/>
  <c r="O27" i="20"/>
  <c r="O31" i="20"/>
  <c r="O35" i="20"/>
  <c r="O39" i="20"/>
  <c r="O43" i="20"/>
  <c r="O51" i="20"/>
  <c r="O55" i="20"/>
  <c r="O59" i="20"/>
  <c r="O63" i="20"/>
  <c r="O67" i="20"/>
  <c r="BE4" i="20"/>
  <c r="BE8" i="20"/>
  <c r="BE12" i="20"/>
  <c r="BE16" i="20"/>
  <c r="BE20" i="20"/>
  <c r="BE184" i="20" s="1"/>
  <c r="BE24" i="20"/>
  <c r="BE28" i="20"/>
  <c r="BE32" i="20"/>
  <c r="BE36" i="20"/>
  <c r="BE40" i="20"/>
  <c r="BE44" i="20"/>
  <c r="BE48" i="20"/>
  <c r="BE52" i="20"/>
  <c r="BE56" i="20"/>
  <c r="BE60" i="20"/>
  <c r="BE64" i="20"/>
  <c r="BE68" i="20"/>
  <c r="BE72" i="20"/>
  <c r="BE76" i="20"/>
  <c r="BE80" i="20"/>
  <c r="BE84" i="20"/>
  <c r="BE90" i="20"/>
  <c r="BE94" i="20"/>
  <c r="BE98" i="20"/>
  <c r="BE102" i="20"/>
  <c r="BE106" i="20"/>
  <c r="O71" i="20"/>
  <c r="O75" i="20"/>
  <c r="O79" i="20"/>
  <c r="O83" i="20"/>
  <c r="O87" i="20"/>
  <c r="O91" i="20"/>
  <c r="O95" i="20"/>
  <c r="O99" i="20"/>
  <c r="O103" i="20"/>
  <c r="O107" i="20"/>
  <c r="O111" i="20"/>
  <c r="O115" i="20"/>
  <c r="O119" i="20"/>
  <c r="O123" i="20"/>
  <c r="O127" i="20"/>
  <c r="O131" i="20"/>
  <c r="O135" i="20"/>
  <c r="O139" i="20"/>
  <c r="O143" i="20"/>
  <c r="O147" i="20"/>
  <c r="AK64" i="20"/>
  <c r="AK49" i="20"/>
  <c r="AL54" i="20"/>
  <c r="AK61" i="20"/>
  <c r="AK45" i="20"/>
  <c r="AL50" i="20"/>
  <c r="AK53" i="20"/>
  <c r="BE185" i="20"/>
  <c r="AL46" i="20"/>
  <c r="AK57" i="20"/>
  <c r="BH89" i="20"/>
  <c r="BH90" i="20"/>
  <c r="BJ102" i="20"/>
  <c r="AL58" i="20"/>
  <c r="BJ133" i="20"/>
  <c r="O151" i="20"/>
  <c r="O155" i="20"/>
  <c r="O159" i="20"/>
  <c r="BJ64" i="20"/>
  <c r="BJ69" i="20"/>
  <c r="BJ73" i="20"/>
  <c r="BJ77" i="20"/>
  <c r="BJ66" i="20"/>
  <c r="BJ70" i="20"/>
  <c r="BJ74" i="20"/>
  <c r="BJ78" i="20"/>
  <c r="BJ82" i="20"/>
  <c r="BJ86" i="20"/>
  <c r="BJ94" i="20"/>
  <c r="BJ98" i="20"/>
  <c r="BJ106" i="20"/>
  <c r="BJ67" i="20"/>
  <c r="BJ71" i="20"/>
  <c r="BJ75" i="20"/>
  <c r="BJ79" i="20"/>
  <c r="BJ83" i="20"/>
  <c r="BJ87" i="20"/>
  <c r="BJ91" i="20"/>
  <c r="BJ95" i="20"/>
  <c r="BJ99" i="20"/>
  <c r="BJ103" i="20"/>
  <c r="BJ107" i="20"/>
  <c r="BJ111" i="20"/>
  <c r="BJ115" i="20"/>
  <c r="BJ119" i="20"/>
  <c r="BJ123" i="20"/>
  <c r="BJ127" i="20"/>
  <c r="BJ131" i="20"/>
  <c r="BJ68" i="20"/>
  <c r="BJ72" i="20"/>
  <c r="BJ76" i="20"/>
  <c r="BJ80" i="20"/>
  <c r="BJ84" i="20"/>
  <c r="BJ88" i="20"/>
  <c r="BJ92" i="20"/>
  <c r="BJ96" i="20"/>
  <c r="BJ100" i="20"/>
  <c r="BJ104" i="20"/>
  <c r="BJ108" i="20"/>
  <c r="BJ112" i="20"/>
  <c r="BJ116" i="20"/>
  <c r="BJ120" i="20"/>
  <c r="BJ124" i="20"/>
  <c r="BJ128" i="20"/>
  <c r="BJ132" i="20"/>
  <c r="BJ81" i="20"/>
  <c r="BJ85" i="20"/>
  <c r="BJ93" i="20"/>
  <c r="BJ97" i="20"/>
  <c r="BJ101" i="20"/>
  <c r="BJ105" i="20"/>
  <c r="BJ109" i="20"/>
  <c r="BJ113" i="20"/>
  <c r="BJ117" i="20"/>
  <c r="BJ121" i="20"/>
  <c r="BJ125" i="20"/>
  <c r="BJ129" i="20"/>
  <c r="BJ110" i="20"/>
  <c r="BJ114" i="20"/>
  <c r="BJ118" i="20"/>
  <c r="BJ122" i="20"/>
  <c r="BJ126" i="20"/>
  <c r="BJ130" i="20"/>
  <c r="AD32" i="20"/>
  <c r="AL47" i="20"/>
  <c r="AL51" i="20"/>
  <c r="AL55" i="20"/>
  <c r="AL59" i="20"/>
  <c r="AL63" i="20"/>
  <c r="AK46" i="20"/>
  <c r="AK50" i="20"/>
  <c r="AK54" i="20"/>
  <c r="AK58" i="20"/>
  <c r="AK62" i="20"/>
  <c r="O33" i="20"/>
  <c r="AL48" i="20"/>
  <c r="AL52" i="20"/>
  <c r="AL56" i="20"/>
  <c r="AL60" i="20"/>
  <c r="AL64" i="20"/>
  <c r="AK47" i="20"/>
  <c r="AK51" i="20"/>
  <c r="AK55" i="20"/>
  <c r="AK59" i="20"/>
  <c r="AK63" i="20"/>
  <c r="O6" i="20"/>
  <c r="O10" i="20"/>
  <c r="O14" i="20"/>
  <c r="O18" i="20"/>
  <c r="O22" i="20"/>
  <c r="O26" i="20"/>
  <c r="O30" i="20"/>
  <c r="O38" i="20"/>
  <c r="O42" i="20"/>
  <c r="O46" i="20"/>
  <c r="O50" i="20"/>
  <c r="O54" i="20"/>
  <c r="O58" i="20"/>
  <c r="O62" i="20"/>
  <c r="O66" i="20"/>
  <c r="O70" i="20"/>
  <c r="O74" i="20"/>
  <c r="O78" i="20"/>
  <c r="O82" i="20"/>
  <c r="O86" i="20"/>
  <c r="O90" i="20"/>
  <c r="O94" i="20"/>
  <c r="O98" i="20"/>
  <c r="O102" i="20"/>
  <c r="O106" i="20"/>
  <c r="O110" i="20"/>
  <c r="O114" i="20"/>
  <c r="O118" i="20"/>
  <c r="O122" i="20"/>
  <c r="O126" i="20"/>
  <c r="O130" i="20"/>
  <c r="O134" i="20"/>
  <c r="O138" i="20"/>
  <c r="O142" i="20"/>
  <c r="O146" i="20"/>
  <c r="O150" i="20"/>
  <c r="O154" i="20"/>
  <c r="O158" i="20"/>
  <c r="AL49" i="20"/>
  <c r="AL53" i="20"/>
  <c r="AL57" i="20"/>
  <c r="AL61" i="20"/>
  <c r="AL45" i="20"/>
  <c r="AM45" i="20" s="1"/>
  <c r="AM46" i="20" s="1"/>
  <c r="AM47" i="20" s="1"/>
  <c r="AK48" i="20"/>
  <c r="AK52" i="20"/>
  <c r="AK56" i="20"/>
  <c r="AK60" i="20"/>
  <c r="V40" i="20"/>
  <c r="V42" i="20"/>
  <c r="V39" i="20"/>
  <c r="V41" i="20"/>
  <c r="AG30" i="20"/>
  <c r="O48" i="20"/>
  <c r="O8" i="20"/>
  <c r="O12" i="20"/>
  <c r="O16" i="20"/>
  <c r="O20" i="20"/>
  <c r="O24" i="20"/>
  <c r="O28" i="20"/>
  <c r="O32" i="20"/>
  <c r="O36" i="20"/>
  <c r="O40" i="20"/>
  <c r="O44" i="20"/>
  <c r="O52" i="20"/>
  <c r="O56" i="20"/>
  <c r="O60" i="20"/>
  <c r="O64" i="20"/>
  <c r="O68" i="20"/>
  <c r="O72" i="20"/>
  <c r="O76" i="20"/>
  <c r="O80" i="20"/>
  <c r="O84" i="20"/>
  <c r="O88" i="20"/>
  <c r="O92" i="20"/>
  <c r="O96" i="20"/>
  <c r="O100" i="20"/>
  <c r="O104" i="20"/>
  <c r="O108" i="20"/>
  <c r="O112" i="20"/>
  <c r="O116" i="20"/>
  <c r="O120" i="20"/>
  <c r="O124" i="20"/>
  <c r="O128" i="20"/>
  <c r="O132" i="20"/>
  <c r="O136" i="20"/>
  <c r="O140" i="20"/>
  <c r="O144" i="20"/>
  <c r="O148" i="20"/>
  <c r="O152" i="20"/>
  <c r="O156" i="20"/>
  <c r="O160" i="20"/>
  <c r="O7" i="20"/>
  <c r="O9" i="20"/>
  <c r="O13" i="20"/>
  <c r="O17" i="20"/>
  <c r="O21" i="20"/>
  <c r="O25" i="20"/>
  <c r="O29" i="20"/>
  <c r="O37" i="20"/>
  <c r="O41" i="20"/>
  <c r="O45" i="20"/>
  <c r="O49" i="20"/>
  <c r="O53" i="20"/>
  <c r="O57" i="20"/>
  <c r="O61" i="20"/>
  <c r="O65" i="20"/>
  <c r="O69" i="20"/>
  <c r="O73" i="20"/>
  <c r="O77" i="20"/>
  <c r="O81" i="20"/>
  <c r="O85" i="20"/>
  <c r="O89" i="20"/>
  <c r="O93" i="20"/>
  <c r="O97" i="20"/>
  <c r="O101" i="20"/>
  <c r="O105" i="20"/>
  <c r="O109" i="20"/>
  <c r="O113" i="20"/>
  <c r="O117" i="20"/>
  <c r="O121" i="20"/>
  <c r="O125" i="20"/>
  <c r="O129" i="20"/>
  <c r="O133" i="20"/>
  <c r="O137" i="20"/>
  <c r="O141" i="20"/>
  <c r="P6" i="45"/>
  <c r="Q6" i="45" s="1"/>
  <c r="Q5" i="45"/>
  <c r="P5" i="45"/>
  <c r="P4" i="45"/>
  <c r="Q4" i="45" s="1"/>
  <c r="Q20" i="45"/>
  <c r="Q36" i="45"/>
  <c r="P7" i="45"/>
  <c r="Q7" i="45" s="1"/>
  <c r="P8" i="45"/>
  <c r="Q8" i="45" s="1"/>
  <c r="P9" i="45"/>
  <c r="Q9" i="45" s="1"/>
  <c r="P10" i="45"/>
  <c r="Q10" i="45" s="1"/>
  <c r="P11" i="45"/>
  <c r="Q11" i="45" s="1"/>
  <c r="P12" i="45"/>
  <c r="Q12" i="45" s="1"/>
  <c r="P13" i="45"/>
  <c r="Q13" i="45" s="1"/>
  <c r="P14" i="45"/>
  <c r="Q14" i="45" s="1"/>
  <c r="P15" i="45"/>
  <c r="Q15" i="45" s="1"/>
  <c r="P16" i="45"/>
  <c r="Q16" i="45" s="1"/>
  <c r="P17" i="45"/>
  <c r="Q17" i="45" s="1"/>
  <c r="P18" i="45"/>
  <c r="Q18" i="45" s="1"/>
  <c r="P19" i="45"/>
  <c r="Q19" i="45" s="1"/>
  <c r="P20" i="45"/>
  <c r="P21" i="45"/>
  <c r="Q21" i="45" s="1"/>
  <c r="P22" i="45"/>
  <c r="Q22" i="45" s="1"/>
  <c r="P23" i="45"/>
  <c r="Q23" i="45" s="1"/>
  <c r="P24" i="45"/>
  <c r="Q24" i="45" s="1"/>
  <c r="P25" i="45"/>
  <c r="Q25" i="45" s="1"/>
  <c r="P26" i="45"/>
  <c r="Q26" i="45" s="1"/>
  <c r="P27" i="45"/>
  <c r="Q27" i="45" s="1"/>
  <c r="P28" i="45"/>
  <c r="Q28" i="45" s="1"/>
  <c r="P29" i="45"/>
  <c r="Q29" i="45" s="1"/>
  <c r="P30" i="45"/>
  <c r="Q30" i="45" s="1"/>
  <c r="P31" i="45"/>
  <c r="Q31" i="45" s="1"/>
  <c r="P32" i="45"/>
  <c r="Q32" i="45" s="1"/>
  <c r="P33" i="45"/>
  <c r="Q33" i="45" s="1"/>
  <c r="P34" i="45"/>
  <c r="Q34" i="45" s="1"/>
  <c r="P35" i="45"/>
  <c r="Q35" i="45" s="1"/>
  <c r="P36" i="45"/>
  <c r="P37" i="45"/>
  <c r="Q37" i="45" s="1"/>
  <c r="P38" i="45"/>
  <c r="Q38" i="45" s="1"/>
  <c r="P39" i="45"/>
  <c r="Q39" i="45" s="1"/>
  <c r="P40" i="45"/>
  <c r="Q40" i="45" s="1"/>
  <c r="P41" i="45"/>
  <c r="Q41" i="45" s="1"/>
  <c r="P42" i="45"/>
  <c r="Q42" i="45" s="1"/>
  <c r="P43" i="45"/>
  <c r="Q43" i="45" s="1"/>
  <c r="P44" i="45"/>
  <c r="Q44" i="45" s="1"/>
  <c r="P45" i="45"/>
  <c r="Q45" i="45" s="1"/>
  <c r="P46" i="45"/>
  <c r="Q46" i="45" s="1"/>
  <c r="P47" i="45"/>
  <c r="Q47" i="45" s="1"/>
  <c r="P48" i="45"/>
  <c r="Q48" i="45" s="1"/>
  <c r="P49" i="45"/>
  <c r="Q49" i="45" s="1"/>
  <c r="AT4" i="17"/>
  <c r="AU4" i="17" s="1"/>
  <c r="AT5" i="17"/>
  <c r="AU5" i="17" s="1"/>
  <c r="AT6" i="17"/>
  <c r="AU6" i="17" s="1"/>
  <c r="AT7" i="17"/>
  <c r="AU7" i="17" s="1"/>
  <c r="AT8" i="17"/>
  <c r="AU8" i="17"/>
  <c r="AT9" i="17"/>
  <c r="AU9" i="17"/>
  <c r="AT10" i="17"/>
  <c r="AU10" i="17" s="1"/>
  <c r="AT11" i="17"/>
  <c r="AU11" i="17" s="1"/>
  <c r="AT12" i="17"/>
  <c r="AU12" i="17"/>
  <c r="AT13" i="17"/>
  <c r="AU13" i="17"/>
  <c r="AT14" i="17"/>
  <c r="AU14" i="17" s="1"/>
  <c r="AT15" i="17"/>
  <c r="AU15" i="17" s="1"/>
  <c r="AT16" i="17"/>
  <c r="AU16" i="17"/>
  <c r="AT17" i="17"/>
  <c r="AU17" i="17"/>
  <c r="AT18" i="17"/>
  <c r="AU18" i="17" s="1"/>
  <c r="AT19" i="17"/>
  <c r="AU19" i="17" s="1"/>
  <c r="AT20" i="17"/>
  <c r="AU20" i="17"/>
  <c r="AT21" i="17"/>
  <c r="AU21" i="17"/>
  <c r="AT22" i="17"/>
  <c r="AU22" i="17" s="1"/>
  <c r="AT23" i="17"/>
  <c r="AU23" i="17" s="1"/>
  <c r="AT24" i="17"/>
  <c r="AU24" i="17"/>
  <c r="AT25" i="17"/>
  <c r="AU25" i="17"/>
  <c r="AT26" i="17"/>
  <c r="AU26" i="17" s="1"/>
  <c r="AT27" i="17"/>
  <c r="AU27" i="17" s="1"/>
  <c r="AT28" i="17"/>
  <c r="AU28" i="17"/>
  <c r="AT29" i="17"/>
  <c r="AU29" i="17"/>
  <c r="AT30" i="17"/>
  <c r="AU30" i="17" s="1"/>
  <c r="AT31" i="17"/>
  <c r="AU31" i="17" s="1"/>
  <c r="AT32" i="17"/>
  <c r="AU32" i="17"/>
  <c r="AT33" i="17"/>
  <c r="AU33" i="17"/>
  <c r="AT34" i="17"/>
  <c r="AU34" i="17" s="1"/>
  <c r="AT35" i="17"/>
  <c r="AU35" i="17" s="1"/>
  <c r="AT36" i="17"/>
  <c r="AU36" i="17"/>
  <c r="AT37" i="17"/>
  <c r="AU37" i="17"/>
  <c r="AT38" i="17"/>
  <c r="AU38" i="17" s="1"/>
  <c r="AT39" i="17"/>
  <c r="AU39" i="17" s="1"/>
  <c r="AT40" i="17"/>
  <c r="AU40" i="17"/>
  <c r="AT41" i="17"/>
  <c r="AU41" i="17"/>
  <c r="AT42" i="17"/>
  <c r="AU42" i="17" s="1"/>
  <c r="AT43" i="17"/>
  <c r="AU43" i="17" s="1"/>
  <c r="AT44" i="17"/>
  <c r="AU44" i="17"/>
  <c r="AT45" i="17"/>
  <c r="AU45" i="17"/>
  <c r="AT46" i="17"/>
  <c r="AU46" i="17" s="1"/>
  <c r="AT47" i="17"/>
  <c r="AU47" i="17" s="1"/>
  <c r="AT48" i="17"/>
  <c r="AU48" i="17"/>
  <c r="AT49" i="17"/>
  <c r="AU49" i="17"/>
  <c r="AT50" i="17"/>
  <c r="AU50" i="17" s="1"/>
  <c r="AT51" i="17"/>
  <c r="AU51" i="17" s="1"/>
  <c r="AT52" i="17"/>
  <c r="AU52" i="17"/>
  <c r="AT53" i="17"/>
  <c r="AU53" i="17"/>
  <c r="K134" i="1"/>
  <c r="M121" i="1"/>
  <c r="K129" i="1"/>
  <c r="K130" i="1"/>
  <c r="K128"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L4" i="21"/>
  <c r="L7" i="21" s="1"/>
  <c r="I108" i="16"/>
  <c r="I101" i="16"/>
  <c r="I113" i="16"/>
  <c r="I112" i="16"/>
  <c r="I111" i="16"/>
  <c r="I110" i="16"/>
  <c r="J101" i="16"/>
  <c r="H92" i="16"/>
  <c r="H27" i="47"/>
  <c r="H33" i="47"/>
  <c r="H28" i="47"/>
  <c r="Q14" i="47"/>
  <c r="Q35" i="47"/>
  <c r="H16" i="47"/>
  <c r="H19" i="47"/>
  <c r="Q30" i="47"/>
  <c r="Q3" i="47"/>
  <c r="H46" i="47"/>
  <c r="H29" i="47"/>
  <c r="Q48" i="47"/>
  <c r="Q10" i="47"/>
  <c r="Q31" i="47"/>
  <c r="H4" i="47"/>
  <c r="H3" i="47"/>
  <c r="Q12" i="47"/>
  <c r="H10" i="47"/>
  <c r="H42" i="47"/>
  <c r="Q44" i="47"/>
  <c r="Q6" i="47"/>
  <c r="Q42" i="47"/>
  <c r="Q4" i="47"/>
  <c r="Q46" i="47"/>
  <c r="H41" i="47"/>
  <c r="H20" i="47"/>
  <c r="Q47" i="47"/>
  <c r="H44" i="47"/>
  <c r="Q21" i="47"/>
  <c r="Q37" i="47"/>
  <c r="H31" i="47"/>
  <c r="H45" i="47"/>
  <c r="Q8" i="47"/>
  <c r="H47" i="47"/>
  <c r="H38" i="47"/>
  <c r="H40" i="47"/>
  <c r="Q40" i="47"/>
  <c r="H21" i="47"/>
  <c r="Q17" i="47"/>
  <c r="Q38" i="47"/>
  <c r="Q29" i="47"/>
  <c r="H15" i="47"/>
  <c r="Q45" i="47"/>
  <c r="H43" i="47"/>
  <c r="H34" i="47"/>
  <c r="H32" i="47"/>
  <c r="Q36" i="47"/>
  <c r="H17" i="47"/>
  <c r="Q13" i="47"/>
  <c r="Q34" i="47"/>
  <c r="Q15" i="47"/>
  <c r="Q41" i="47"/>
  <c r="H39" i="47"/>
  <c r="H30" i="47"/>
  <c r="H37" i="47"/>
  <c r="Q32" i="47"/>
  <c r="H9" i="47"/>
  <c r="Q9" i="47"/>
  <c r="Q20" i="47"/>
  <c r="Q7" i="47"/>
  <c r="Q33" i="47"/>
  <c r="H26" i="47"/>
  <c r="H36" i="47"/>
  <c r="Q43" i="47"/>
  <c r="Q16" i="47"/>
  <c r="Q19" i="47"/>
  <c r="Q18" i="47"/>
  <c r="Q11" i="47"/>
  <c r="H35" i="47"/>
  <c r="Q28" i="47"/>
  <c r="Q5" i="47"/>
  <c r="H18" i="47"/>
  <c r="Q39" i="47"/>
  <c r="I114" i="16" l="1"/>
  <c r="BE184" i="60"/>
  <c r="M19" i="21"/>
  <c r="M22" i="21"/>
  <c r="M21" i="21"/>
  <c r="M20" i="21"/>
  <c r="BE185" i="60"/>
  <c r="AM48" i="20"/>
  <c r="AM49" i="20" s="1"/>
  <c r="AM50" i="20" s="1"/>
  <c r="AM51" i="20" s="1"/>
  <c r="AM52" i="20" s="1"/>
  <c r="AM53" i="20" s="1"/>
  <c r="AM54" i="20" s="1"/>
  <c r="AM55" i="20" s="1"/>
  <c r="AM56" i="20" s="1"/>
  <c r="AM57" i="20" s="1"/>
  <c r="AM58" i="20" s="1"/>
  <c r="AM59" i="20" s="1"/>
  <c r="AM60" i="20" s="1"/>
  <c r="AM61" i="20" s="1"/>
  <c r="AM62" i="20" s="1"/>
  <c r="AM63" i="20" s="1"/>
  <c r="AM64" i="20" s="1"/>
  <c r="BJ90" i="20"/>
  <c r="BJ89" i="20"/>
  <c r="O185" i="20"/>
  <c r="O184" i="20"/>
  <c r="I10" i="47"/>
  <c r="I15" i="47"/>
  <c r="I18" i="47"/>
  <c r="I3" i="47"/>
  <c r="I19" i="47"/>
  <c r="I4" i="47"/>
  <c r="I16" i="47"/>
  <c r="I20" i="47"/>
  <c r="I9" i="47"/>
  <c r="I17" i="47"/>
  <c r="I21" i="47"/>
  <c r="M24" i="21"/>
  <c r="M28" i="21"/>
  <c r="M32" i="21"/>
  <c r="M25" i="21"/>
  <c r="M29" i="21"/>
  <c r="M33" i="21"/>
  <c r="M26" i="21"/>
  <c r="M30" i="21"/>
  <c r="M23" i="21"/>
  <c r="M27" i="21"/>
  <c r="M31" i="21"/>
  <c r="L6" i="21"/>
  <c r="I116" i="16"/>
  <c r="H52" i="16" l="1"/>
  <c r="H53" i="16" s="1"/>
  <c r="H54" i="16" s="1"/>
  <c r="E62" i="15"/>
  <c r="D62" i="15"/>
  <c r="F61" i="15"/>
  <c r="F60" i="15"/>
  <c r="D45" i="15"/>
  <c r="I39" i="16"/>
  <c r="I36" i="16"/>
  <c r="I37" i="16" s="1"/>
  <c r="J36" i="16"/>
  <c r="M70" i="16" l="1"/>
  <c r="H73" i="16" s="1"/>
  <c r="O18" i="21"/>
  <c r="G15" i="21"/>
  <c r="G17" i="21" s="1"/>
  <c r="T124" i="23"/>
  <c r="R124" i="23"/>
  <c r="O124" i="23"/>
  <c r="N124" i="23"/>
  <c r="M124" i="23"/>
  <c r="I124" i="23"/>
  <c r="U124" i="23" s="1"/>
  <c r="T123" i="23"/>
  <c r="R123" i="23"/>
  <c r="W123" i="23" s="1"/>
  <c r="O123" i="23"/>
  <c r="N123" i="23"/>
  <c r="M123" i="23"/>
  <c r="I123" i="23"/>
  <c r="U123" i="23" s="1"/>
  <c r="T122" i="23"/>
  <c r="R122" i="23"/>
  <c r="W122" i="23" s="1"/>
  <c r="O122" i="23"/>
  <c r="N122" i="23"/>
  <c r="M122" i="23"/>
  <c r="I122" i="23"/>
  <c r="U122" i="23" s="1"/>
  <c r="T121" i="23"/>
  <c r="R121" i="23"/>
  <c r="W121" i="23" s="1"/>
  <c r="O121" i="23"/>
  <c r="N121" i="23"/>
  <c r="M121" i="23"/>
  <c r="I121" i="23"/>
  <c r="U121" i="23" s="1"/>
  <c r="T120" i="23"/>
  <c r="R120" i="23"/>
  <c r="W120" i="23" s="1"/>
  <c r="O120" i="23"/>
  <c r="N120" i="23"/>
  <c r="M120" i="23"/>
  <c r="I120" i="23"/>
  <c r="U120" i="23" s="1"/>
  <c r="T119" i="23"/>
  <c r="R119" i="23"/>
  <c r="W119" i="23" s="1"/>
  <c r="Y119" i="23" s="1"/>
  <c r="O119" i="23"/>
  <c r="N119" i="23"/>
  <c r="M119" i="23"/>
  <c r="I119" i="23"/>
  <c r="U119" i="23" s="1"/>
  <c r="T118" i="23"/>
  <c r="R118" i="23"/>
  <c r="W118" i="23" s="1"/>
  <c r="O118" i="23"/>
  <c r="N118" i="23"/>
  <c r="M118" i="23"/>
  <c r="I118" i="23"/>
  <c r="U118" i="23" s="1"/>
  <c r="T117" i="23"/>
  <c r="R117" i="23"/>
  <c r="W117" i="23" s="1"/>
  <c r="Y117" i="23" s="1"/>
  <c r="O117" i="23"/>
  <c r="N117" i="23"/>
  <c r="M117" i="23"/>
  <c r="I117" i="23"/>
  <c r="U117" i="23" s="1"/>
  <c r="T116" i="23"/>
  <c r="R116" i="23"/>
  <c r="W116" i="23" s="1"/>
  <c r="O116" i="23"/>
  <c r="N116" i="23"/>
  <c r="M116" i="23"/>
  <c r="I116" i="23"/>
  <c r="U116" i="23" s="1"/>
  <c r="T115" i="23"/>
  <c r="R115" i="23"/>
  <c r="W115" i="23" s="1"/>
  <c r="Y115" i="23" s="1"/>
  <c r="O115" i="23"/>
  <c r="N115" i="23"/>
  <c r="M115" i="23"/>
  <c r="I115" i="23"/>
  <c r="U115" i="23" s="1"/>
  <c r="T114" i="23"/>
  <c r="R114" i="23"/>
  <c r="W114" i="23" s="1"/>
  <c r="Y114" i="23" s="1"/>
  <c r="O114" i="23"/>
  <c r="N114" i="23"/>
  <c r="M114" i="23"/>
  <c r="I114" i="23"/>
  <c r="U114" i="23" s="1"/>
  <c r="T113" i="23"/>
  <c r="R113" i="23"/>
  <c r="W113" i="23" s="1"/>
  <c r="O113" i="23"/>
  <c r="N113" i="23"/>
  <c r="M113" i="23"/>
  <c r="I113" i="23"/>
  <c r="U113" i="23" s="1"/>
  <c r="T112" i="23"/>
  <c r="R112" i="23"/>
  <c r="W112" i="23" s="1"/>
  <c r="Y112" i="23" s="1"/>
  <c r="O112" i="23"/>
  <c r="N112" i="23"/>
  <c r="M112" i="23"/>
  <c r="I112" i="23"/>
  <c r="U112" i="23" s="1"/>
  <c r="T111" i="23"/>
  <c r="R111" i="23"/>
  <c r="W111" i="23" s="1"/>
  <c r="Y111" i="23" s="1"/>
  <c r="O111" i="23"/>
  <c r="N111" i="23"/>
  <c r="M111" i="23"/>
  <c r="I111" i="23"/>
  <c r="U111" i="23" s="1"/>
  <c r="T110" i="23"/>
  <c r="R110" i="23"/>
  <c r="W110" i="23" s="1"/>
  <c r="Y110" i="23" s="1"/>
  <c r="O110" i="23"/>
  <c r="N110" i="23"/>
  <c r="M110" i="23"/>
  <c r="I110" i="23"/>
  <c r="U110" i="23" s="1"/>
  <c r="T109" i="23"/>
  <c r="R109" i="23"/>
  <c r="W109" i="23" s="1"/>
  <c r="Y109" i="23" s="1"/>
  <c r="O109" i="23"/>
  <c r="N109" i="23"/>
  <c r="M109" i="23"/>
  <c r="I109" i="23"/>
  <c r="U109" i="23" s="1"/>
  <c r="T108" i="23"/>
  <c r="R108" i="23"/>
  <c r="W108" i="23" s="1"/>
  <c r="Y108" i="23" s="1"/>
  <c r="O108" i="23"/>
  <c r="N108" i="23"/>
  <c r="M108" i="23"/>
  <c r="I108" i="23"/>
  <c r="U108" i="23" s="1"/>
  <c r="T107" i="23"/>
  <c r="R107" i="23"/>
  <c r="W107" i="23" s="1"/>
  <c r="Y107" i="23" s="1"/>
  <c r="O107" i="23"/>
  <c r="N107" i="23"/>
  <c r="M107" i="23"/>
  <c r="I107" i="23"/>
  <c r="U107" i="23" s="1"/>
  <c r="T106" i="23"/>
  <c r="R106" i="23"/>
  <c r="W106" i="23" s="1"/>
  <c r="Y106" i="23" s="1"/>
  <c r="O106" i="23"/>
  <c r="N106" i="23"/>
  <c r="M106" i="23"/>
  <c r="I106" i="23"/>
  <c r="U106" i="23" s="1"/>
  <c r="T105" i="23"/>
  <c r="R105" i="23"/>
  <c r="W105" i="23" s="1"/>
  <c r="Y105" i="23" s="1"/>
  <c r="O105" i="23"/>
  <c r="N105" i="23"/>
  <c r="M105" i="23"/>
  <c r="I105" i="23"/>
  <c r="U105" i="23" s="1"/>
  <c r="T104" i="23"/>
  <c r="R104" i="23"/>
  <c r="W104" i="23" s="1"/>
  <c r="Y104" i="23" s="1"/>
  <c r="O104" i="23"/>
  <c r="N104" i="23"/>
  <c r="M104" i="23"/>
  <c r="I104" i="23"/>
  <c r="U104" i="23" s="1"/>
  <c r="T103" i="23"/>
  <c r="R103" i="23"/>
  <c r="W103" i="23" s="1"/>
  <c r="Y103" i="23" s="1"/>
  <c r="O103" i="23"/>
  <c r="N103" i="23"/>
  <c r="M103" i="23"/>
  <c r="I103" i="23"/>
  <c r="U103" i="23" s="1"/>
  <c r="T102" i="23"/>
  <c r="R102" i="23"/>
  <c r="W102" i="23" s="1"/>
  <c r="Y102" i="23" s="1"/>
  <c r="O102" i="23"/>
  <c r="N102" i="23"/>
  <c r="M102" i="23"/>
  <c r="I102" i="23"/>
  <c r="U102" i="23" s="1"/>
  <c r="T101" i="23"/>
  <c r="R101" i="23"/>
  <c r="W101" i="23" s="1"/>
  <c r="Y101" i="23" s="1"/>
  <c r="O101" i="23"/>
  <c r="N101" i="23"/>
  <c r="M101" i="23"/>
  <c r="I101" i="23"/>
  <c r="U101" i="23" s="1"/>
  <c r="T100" i="23"/>
  <c r="R100" i="23"/>
  <c r="W100" i="23" s="1"/>
  <c r="Y100" i="23" s="1"/>
  <c r="O100" i="23"/>
  <c r="N100" i="23"/>
  <c r="M100" i="23"/>
  <c r="I100" i="23"/>
  <c r="U100" i="23" s="1"/>
  <c r="T99" i="23"/>
  <c r="R99" i="23"/>
  <c r="O99" i="23"/>
  <c r="N99" i="23"/>
  <c r="M99" i="23"/>
  <c r="I99" i="23"/>
  <c r="U99" i="23" s="1"/>
  <c r="T98" i="23"/>
  <c r="R98" i="23"/>
  <c r="O98" i="23"/>
  <c r="N98" i="23"/>
  <c r="M98" i="23"/>
  <c r="I98" i="23"/>
  <c r="U98" i="23" s="1"/>
  <c r="T97" i="23"/>
  <c r="R97" i="23"/>
  <c r="W97" i="23" s="1"/>
  <c r="O97" i="23"/>
  <c r="N97" i="23"/>
  <c r="M97" i="23"/>
  <c r="I97" i="23"/>
  <c r="U97" i="23" s="1"/>
  <c r="T96" i="23"/>
  <c r="R96" i="23"/>
  <c r="W96" i="23" s="1"/>
  <c r="O96" i="23"/>
  <c r="N96" i="23"/>
  <c r="M96" i="23"/>
  <c r="I96" i="23"/>
  <c r="U96" i="23" s="1"/>
  <c r="T95" i="23"/>
  <c r="R95" i="23"/>
  <c r="W95" i="23" s="1"/>
  <c r="O95" i="23"/>
  <c r="N95" i="23"/>
  <c r="M95" i="23"/>
  <c r="I95" i="23"/>
  <c r="U95" i="23" s="1"/>
  <c r="T94" i="23"/>
  <c r="R94" i="23"/>
  <c r="O94" i="23"/>
  <c r="N94" i="23"/>
  <c r="M94" i="23"/>
  <c r="I94" i="23"/>
  <c r="U94" i="23" s="1"/>
  <c r="T93" i="23"/>
  <c r="R93" i="23"/>
  <c r="W93" i="23" s="1"/>
  <c r="O93" i="23"/>
  <c r="N93" i="23"/>
  <c r="M93" i="23"/>
  <c r="I93" i="23"/>
  <c r="U93" i="23" s="1"/>
  <c r="T92" i="23"/>
  <c r="R92" i="23"/>
  <c r="W92" i="23" s="1"/>
  <c r="Y92" i="23" s="1"/>
  <c r="O92" i="23"/>
  <c r="N92" i="23"/>
  <c r="M92" i="23"/>
  <c r="I92" i="23"/>
  <c r="U92" i="23" s="1"/>
  <c r="T91" i="23"/>
  <c r="R91" i="23"/>
  <c r="W91" i="23" s="1"/>
  <c r="O91" i="23"/>
  <c r="N91" i="23"/>
  <c r="M91" i="23"/>
  <c r="I91" i="23"/>
  <c r="U91" i="23" s="1"/>
  <c r="T90" i="23"/>
  <c r="R90" i="23"/>
  <c r="W90" i="23" s="1"/>
  <c r="Y90" i="23" s="1"/>
  <c r="O90" i="23"/>
  <c r="N90" i="23"/>
  <c r="M90" i="23"/>
  <c r="I90" i="23"/>
  <c r="U90" i="23" s="1"/>
  <c r="T89" i="23"/>
  <c r="R89" i="23"/>
  <c r="W89" i="23" s="1"/>
  <c r="O89" i="23"/>
  <c r="N89" i="23"/>
  <c r="M89" i="23"/>
  <c r="I89" i="23"/>
  <c r="U89" i="23" s="1"/>
  <c r="T88" i="23"/>
  <c r="R88" i="23"/>
  <c r="O88" i="23"/>
  <c r="N88" i="23"/>
  <c r="M88" i="23"/>
  <c r="I88" i="23"/>
  <c r="U88" i="23" s="1"/>
  <c r="T87" i="23"/>
  <c r="R87" i="23"/>
  <c r="O87" i="23"/>
  <c r="N87" i="23"/>
  <c r="M87" i="23"/>
  <c r="I87" i="23"/>
  <c r="U87" i="23" s="1"/>
  <c r="T86" i="23"/>
  <c r="R86" i="23"/>
  <c r="W86" i="23" s="1"/>
  <c r="O86" i="23"/>
  <c r="N86" i="23"/>
  <c r="M86" i="23"/>
  <c r="I86" i="23"/>
  <c r="U86" i="23" s="1"/>
  <c r="T85" i="23"/>
  <c r="R85" i="23"/>
  <c r="W85" i="23" s="1"/>
  <c r="Y85" i="23" s="1"/>
  <c r="O85" i="23"/>
  <c r="N85" i="23"/>
  <c r="M85" i="23"/>
  <c r="I85" i="23"/>
  <c r="U85" i="23" s="1"/>
  <c r="T84" i="23"/>
  <c r="R84" i="23"/>
  <c r="W84" i="23" s="1"/>
  <c r="O84" i="23"/>
  <c r="N84" i="23"/>
  <c r="M84" i="23"/>
  <c r="I84" i="23"/>
  <c r="U84" i="23" s="1"/>
  <c r="T83" i="23"/>
  <c r="R83" i="23"/>
  <c r="W83" i="23" s="1"/>
  <c r="Y83" i="23" s="1"/>
  <c r="O83" i="23"/>
  <c r="N83" i="23"/>
  <c r="M83" i="23"/>
  <c r="I83" i="23"/>
  <c r="U83" i="23" s="1"/>
  <c r="T82" i="23"/>
  <c r="R82" i="23"/>
  <c r="W82" i="23" s="1"/>
  <c r="Y82" i="23" s="1"/>
  <c r="O82" i="23"/>
  <c r="N82" i="23"/>
  <c r="M82" i="23"/>
  <c r="I82" i="23"/>
  <c r="U82" i="23" s="1"/>
  <c r="T81" i="23"/>
  <c r="R81" i="23"/>
  <c r="W81" i="23" s="1"/>
  <c r="Y81" i="23" s="1"/>
  <c r="O81" i="23"/>
  <c r="N81" i="23"/>
  <c r="M81" i="23"/>
  <c r="I81" i="23"/>
  <c r="U81" i="23" s="1"/>
  <c r="T80" i="23"/>
  <c r="R80" i="23"/>
  <c r="W80" i="23" s="1"/>
  <c r="Y80" i="23" s="1"/>
  <c r="O80" i="23"/>
  <c r="N80" i="23"/>
  <c r="M80" i="23"/>
  <c r="I80" i="23"/>
  <c r="U80" i="23" s="1"/>
  <c r="T79" i="23"/>
  <c r="R79" i="23"/>
  <c r="W79" i="23" s="1"/>
  <c r="Y79" i="23" s="1"/>
  <c r="O79" i="23"/>
  <c r="N79" i="23"/>
  <c r="M79" i="23"/>
  <c r="I79" i="23"/>
  <c r="U79" i="23" s="1"/>
  <c r="T78" i="23"/>
  <c r="R78" i="23"/>
  <c r="W78" i="23" s="1"/>
  <c r="Y78" i="23" s="1"/>
  <c r="O78" i="23"/>
  <c r="N78" i="23"/>
  <c r="M78" i="23"/>
  <c r="I78" i="23"/>
  <c r="U78" i="23" s="1"/>
  <c r="T77" i="23"/>
  <c r="R77" i="23"/>
  <c r="W77" i="23" s="1"/>
  <c r="O77" i="23"/>
  <c r="N77" i="23"/>
  <c r="M77" i="23"/>
  <c r="I77" i="23"/>
  <c r="U77" i="23" s="1"/>
  <c r="T76" i="23"/>
  <c r="R76" i="23"/>
  <c r="W76" i="23" s="1"/>
  <c r="O76" i="23"/>
  <c r="N76" i="23"/>
  <c r="M76" i="23"/>
  <c r="I76" i="23"/>
  <c r="U76" i="23" s="1"/>
  <c r="T75" i="23"/>
  <c r="R75" i="23"/>
  <c r="W75" i="23" s="1"/>
  <c r="O75" i="23"/>
  <c r="N75" i="23"/>
  <c r="M75" i="23"/>
  <c r="I75" i="23"/>
  <c r="U75" i="23" s="1"/>
  <c r="T74" i="23"/>
  <c r="R74" i="23"/>
  <c r="W74" i="23" s="1"/>
  <c r="O74" i="23"/>
  <c r="N74" i="23"/>
  <c r="M74" i="23"/>
  <c r="I74" i="23"/>
  <c r="U74" i="23" s="1"/>
  <c r="T73" i="23"/>
  <c r="R73" i="23"/>
  <c r="W73" i="23" s="1"/>
  <c r="O73" i="23"/>
  <c r="N73" i="23"/>
  <c r="M73" i="23"/>
  <c r="I73" i="23"/>
  <c r="U73" i="23" s="1"/>
  <c r="T72" i="23"/>
  <c r="R72" i="23"/>
  <c r="W72" i="23" s="1"/>
  <c r="Y72" i="23" s="1"/>
  <c r="O72" i="23"/>
  <c r="N72" i="23"/>
  <c r="M72" i="23"/>
  <c r="I72" i="23"/>
  <c r="U72" i="23" s="1"/>
  <c r="T71" i="23"/>
  <c r="R71" i="23"/>
  <c r="W71" i="23" s="1"/>
  <c r="Y71" i="23" s="1"/>
  <c r="O71" i="23"/>
  <c r="N71" i="23"/>
  <c r="M71" i="23"/>
  <c r="I71" i="23"/>
  <c r="U71" i="23" s="1"/>
  <c r="T70" i="23"/>
  <c r="R70" i="23"/>
  <c r="W70" i="23" s="1"/>
  <c r="Y70" i="23" s="1"/>
  <c r="O70" i="23"/>
  <c r="N70" i="23"/>
  <c r="M70" i="23"/>
  <c r="I70" i="23"/>
  <c r="U70" i="23" s="1"/>
  <c r="T69" i="23"/>
  <c r="R69" i="23"/>
  <c r="W69" i="23" s="1"/>
  <c r="Y69" i="23" s="1"/>
  <c r="O69" i="23"/>
  <c r="N69" i="23"/>
  <c r="M69" i="23"/>
  <c r="I69" i="23"/>
  <c r="U69" i="23" s="1"/>
  <c r="T68" i="23"/>
  <c r="R68" i="23"/>
  <c r="O68" i="23"/>
  <c r="N68" i="23"/>
  <c r="M68" i="23"/>
  <c r="I68" i="23"/>
  <c r="U68" i="23" s="1"/>
  <c r="T67" i="23"/>
  <c r="R67" i="23"/>
  <c r="W67" i="23" s="1"/>
  <c r="O67" i="23"/>
  <c r="N67" i="23"/>
  <c r="M67" i="23"/>
  <c r="I67" i="23"/>
  <c r="U67" i="23" s="1"/>
  <c r="T66" i="23"/>
  <c r="R66" i="23"/>
  <c r="W66" i="23" s="1"/>
  <c r="Y66" i="23" s="1"/>
  <c r="O66" i="23"/>
  <c r="N66" i="23"/>
  <c r="M66" i="23"/>
  <c r="I66" i="23"/>
  <c r="U66" i="23" s="1"/>
  <c r="T65" i="23"/>
  <c r="R65" i="23"/>
  <c r="W65" i="23" s="1"/>
  <c r="Y65" i="23" s="1"/>
  <c r="O65" i="23"/>
  <c r="N65" i="23"/>
  <c r="M65" i="23"/>
  <c r="I65" i="23"/>
  <c r="U65" i="23" s="1"/>
  <c r="T64" i="23"/>
  <c r="R64" i="23"/>
  <c r="W64" i="23" s="1"/>
  <c r="Y64" i="23" s="1"/>
  <c r="O64" i="23"/>
  <c r="N64" i="23"/>
  <c r="M64" i="23"/>
  <c r="I64" i="23"/>
  <c r="U64" i="23" s="1"/>
  <c r="T63" i="23"/>
  <c r="R63" i="23"/>
  <c r="W63" i="23" s="1"/>
  <c r="O63" i="23"/>
  <c r="N63" i="23"/>
  <c r="M63" i="23"/>
  <c r="I63" i="23"/>
  <c r="U63" i="23" s="1"/>
  <c r="T62" i="23"/>
  <c r="R62" i="23"/>
  <c r="W62" i="23" s="1"/>
  <c r="O62" i="23"/>
  <c r="N62" i="23"/>
  <c r="M62" i="23"/>
  <c r="I62" i="23"/>
  <c r="U62" i="23" s="1"/>
  <c r="T61" i="23"/>
  <c r="R61" i="23"/>
  <c r="O61" i="23"/>
  <c r="N61" i="23"/>
  <c r="M61" i="23"/>
  <c r="I61" i="23"/>
  <c r="U61" i="23" s="1"/>
  <c r="T60" i="23"/>
  <c r="R60" i="23"/>
  <c r="O60" i="23"/>
  <c r="N60" i="23"/>
  <c r="M60" i="23"/>
  <c r="I60" i="23"/>
  <c r="U60" i="23" s="1"/>
  <c r="T59" i="23"/>
  <c r="R59" i="23"/>
  <c r="W59" i="23" s="1"/>
  <c r="O59" i="23"/>
  <c r="N59" i="23"/>
  <c r="M59" i="23"/>
  <c r="I59" i="23"/>
  <c r="U59" i="23" s="1"/>
  <c r="T58" i="23"/>
  <c r="R58" i="23"/>
  <c r="W58" i="23" s="1"/>
  <c r="O58" i="23"/>
  <c r="N58" i="23"/>
  <c r="M58" i="23"/>
  <c r="I58" i="23"/>
  <c r="U58" i="23" s="1"/>
  <c r="T57" i="23"/>
  <c r="R57" i="23"/>
  <c r="W57" i="23" s="1"/>
  <c r="O57" i="23"/>
  <c r="N57" i="23"/>
  <c r="M57" i="23"/>
  <c r="I57" i="23"/>
  <c r="U57" i="23" s="1"/>
  <c r="T56" i="23"/>
  <c r="R56" i="23"/>
  <c r="O56" i="23"/>
  <c r="N56" i="23"/>
  <c r="M56" i="23"/>
  <c r="I56" i="23"/>
  <c r="U56" i="23" s="1"/>
  <c r="T55" i="23"/>
  <c r="R55" i="23"/>
  <c r="W55" i="23" s="1"/>
  <c r="X55" i="23" s="1"/>
  <c r="O55" i="23"/>
  <c r="N55" i="23"/>
  <c r="M55" i="23"/>
  <c r="I55" i="23"/>
  <c r="U55" i="23" s="1"/>
  <c r="T54" i="23"/>
  <c r="R54" i="23"/>
  <c r="W54" i="23" s="1"/>
  <c r="O54" i="23"/>
  <c r="N54" i="23"/>
  <c r="M54" i="23"/>
  <c r="I54" i="23"/>
  <c r="U54" i="23" s="1"/>
  <c r="T53" i="23"/>
  <c r="R53" i="23"/>
  <c r="O53" i="23"/>
  <c r="N53" i="23"/>
  <c r="M53" i="23"/>
  <c r="I53" i="23"/>
  <c r="U53" i="23" s="1"/>
  <c r="T52" i="23"/>
  <c r="R52" i="23"/>
  <c r="O52" i="23"/>
  <c r="N52" i="23"/>
  <c r="M52" i="23"/>
  <c r="I52" i="23"/>
  <c r="U52" i="23" s="1"/>
  <c r="T51" i="23"/>
  <c r="R51" i="23"/>
  <c r="W51" i="23" s="1"/>
  <c r="X51" i="23" s="1"/>
  <c r="O51" i="23"/>
  <c r="N51" i="23"/>
  <c r="M51" i="23"/>
  <c r="I51" i="23"/>
  <c r="U51" i="23" s="1"/>
  <c r="T50" i="23"/>
  <c r="R50" i="23"/>
  <c r="W50" i="23" s="1"/>
  <c r="O50" i="23"/>
  <c r="N50" i="23"/>
  <c r="M50" i="23"/>
  <c r="I50" i="23"/>
  <c r="U50" i="23" s="1"/>
  <c r="T49" i="23"/>
  <c r="R49" i="23"/>
  <c r="W49" i="23" s="1"/>
  <c r="O49" i="23"/>
  <c r="N49" i="23"/>
  <c r="M49" i="23"/>
  <c r="I49" i="23"/>
  <c r="U49" i="23" s="1"/>
  <c r="T48" i="23"/>
  <c r="R48" i="23"/>
  <c r="W48" i="23" s="1"/>
  <c r="O48" i="23"/>
  <c r="N48" i="23"/>
  <c r="M48" i="23"/>
  <c r="I48" i="23"/>
  <c r="U48" i="23" s="1"/>
  <c r="T47" i="23"/>
  <c r="R47" i="23"/>
  <c r="W47" i="23" s="1"/>
  <c r="O47" i="23"/>
  <c r="N47" i="23"/>
  <c r="M47" i="23"/>
  <c r="I47" i="23"/>
  <c r="U47" i="23" s="1"/>
  <c r="T46" i="23"/>
  <c r="R46" i="23"/>
  <c r="W46" i="23" s="1"/>
  <c r="O46" i="23"/>
  <c r="N46" i="23"/>
  <c r="M46" i="23"/>
  <c r="I46" i="23"/>
  <c r="U46" i="23" s="1"/>
  <c r="T45" i="23"/>
  <c r="R45" i="23"/>
  <c r="W45" i="23" s="1"/>
  <c r="Y45" i="23" s="1"/>
  <c r="O45" i="23"/>
  <c r="N45" i="23"/>
  <c r="M45" i="23"/>
  <c r="I45" i="23"/>
  <c r="U45" i="23" s="1"/>
  <c r="T44" i="23"/>
  <c r="R44" i="23"/>
  <c r="W44" i="23" s="1"/>
  <c r="Y44" i="23" s="1"/>
  <c r="O44" i="23"/>
  <c r="N44" i="23"/>
  <c r="M44" i="23"/>
  <c r="I44" i="23"/>
  <c r="U44" i="23" s="1"/>
  <c r="T43" i="23"/>
  <c r="R43" i="23"/>
  <c r="O43" i="23"/>
  <c r="N43" i="23"/>
  <c r="M43" i="23"/>
  <c r="I43" i="23"/>
  <c r="U43" i="23" s="1"/>
  <c r="T42" i="23"/>
  <c r="R42" i="23"/>
  <c r="W42" i="23" s="1"/>
  <c r="Y42" i="23" s="1"/>
  <c r="O42" i="23"/>
  <c r="N42" i="23"/>
  <c r="M42" i="23"/>
  <c r="I42" i="23"/>
  <c r="U42" i="23" s="1"/>
  <c r="T41" i="23"/>
  <c r="R41" i="23"/>
  <c r="W41" i="23" s="1"/>
  <c r="Y41" i="23" s="1"/>
  <c r="O41" i="23"/>
  <c r="N41" i="23"/>
  <c r="M41" i="23"/>
  <c r="I41" i="23"/>
  <c r="U41" i="23" s="1"/>
  <c r="T40" i="23"/>
  <c r="R40" i="23"/>
  <c r="O40" i="23"/>
  <c r="N40" i="23"/>
  <c r="M40" i="23"/>
  <c r="I40" i="23"/>
  <c r="U40" i="23" s="1"/>
  <c r="T39" i="23"/>
  <c r="R39" i="23"/>
  <c r="W39" i="23" s="1"/>
  <c r="O39" i="23"/>
  <c r="N39" i="23"/>
  <c r="M39" i="23"/>
  <c r="I39" i="23"/>
  <c r="U39" i="23" s="1"/>
  <c r="T38" i="23"/>
  <c r="R38" i="23"/>
  <c r="O38" i="23"/>
  <c r="N38" i="23"/>
  <c r="M38" i="23"/>
  <c r="I38" i="23"/>
  <c r="U38" i="23" s="1"/>
  <c r="T37" i="23"/>
  <c r="R37" i="23"/>
  <c r="O37" i="23"/>
  <c r="N37" i="23"/>
  <c r="M37" i="23"/>
  <c r="I37" i="23"/>
  <c r="U37" i="23" s="1"/>
  <c r="T36" i="23"/>
  <c r="R36" i="23"/>
  <c r="W36" i="23" s="1"/>
  <c r="Y36" i="23" s="1"/>
  <c r="O36" i="23"/>
  <c r="N36" i="23"/>
  <c r="M36" i="23"/>
  <c r="I36" i="23"/>
  <c r="U36" i="23" s="1"/>
  <c r="T35" i="23"/>
  <c r="R35" i="23"/>
  <c r="O35" i="23"/>
  <c r="N35" i="23"/>
  <c r="M35" i="23"/>
  <c r="I35" i="23"/>
  <c r="U35" i="23" s="1"/>
  <c r="T34" i="23"/>
  <c r="R34" i="23"/>
  <c r="O34" i="23"/>
  <c r="N34" i="23"/>
  <c r="M34" i="23"/>
  <c r="I34" i="23"/>
  <c r="U34" i="23" s="1"/>
  <c r="T33" i="23"/>
  <c r="R33" i="23"/>
  <c r="O33" i="23"/>
  <c r="N33" i="23"/>
  <c r="M33" i="23"/>
  <c r="I33" i="23"/>
  <c r="U33" i="23" s="1"/>
  <c r="T32" i="23"/>
  <c r="R32" i="23"/>
  <c r="O32" i="23"/>
  <c r="N32" i="23"/>
  <c r="M32" i="23"/>
  <c r="I32" i="23"/>
  <c r="U32" i="23" s="1"/>
  <c r="T31" i="23"/>
  <c r="R31" i="23"/>
  <c r="O31" i="23"/>
  <c r="N31" i="23"/>
  <c r="M31" i="23"/>
  <c r="I31" i="23"/>
  <c r="U31" i="23" s="1"/>
  <c r="T30" i="23"/>
  <c r="R30" i="23"/>
  <c r="O30" i="23"/>
  <c r="N30" i="23"/>
  <c r="M30" i="23"/>
  <c r="I30" i="23"/>
  <c r="U30" i="23" s="1"/>
  <c r="T29" i="23"/>
  <c r="R29" i="23"/>
  <c r="O29" i="23"/>
  <c r="N29" i="23"/>
  <c r="M29" i="23"/>
  <c r="I29" i="23"/>
  <c r="U29" i="23" s="1"/>
  <c r="T28" i="23"/>
  <c r="R28" i="23"/>
  <c r="O28" i="23"/>
  <c r="N28" i="23"/>
  <c r="M28" i="23"/>
  <c r="I28" i="23"/>
  <c r="U28" i="23" s="1"/>
  <c r="T27" i="23"/>
  <c r="R27" i="23"/>
  <c r="O27" i="23"/>
  <c r="N27" i="23"/>
  <c r="M27" i="23"/>
  <c r="I27" i="23"/>
  <c r="U27" i="23" s="1"/>
  <c r="T26" i="23"/>
  <c r="R26" i="23"/>
  <c r="O26" i="23"/>
  <c r="N26" i="23"/>
  <c r="M26" i="23"/>
  <c r="I26" i="23"/>
  <c r="U26" i="23" s="1"/>
  <c r="T25" i="23"/>
  <c r="R25" i="23"/>
  <c r="O25" i="23"/>
  <c r="N25" i="23"/>
  <c r="M25" i="23"/>
  <c r="I25" i="23"/>
  <c r="U25" i="23" s="1"/>
  <c r="T24" i="23"/>
  <c r="R24" i="23"/>
  <c r="W24" i="23" s="1"/>
  <c r="O24" i="23"/>
  <c r="N24" i="23"/>
  <c r="M24" i="23"/>
  <c r="I24" i="23"/>
  <c r="U24" i="23" s="1"/>
  <c r="T23" i="23"/>
  <c r="R23" i="23"/>
  <c r="W23" i="23" s="1"/>
  <c r="O23" i="23"/>
  <c r="N23" i="23"/>
  <c r="M23" i="23"/>
  <c r="I23" i="23"/>
  <c r="U23" i="23" s="1"/>
  <c r="T22" i="23"/>
  <c r="R22" i="23"/>
  <c r="W22" i="23" s="1"/>
  <c r="O22" i="23"/>
  <c r="N22" i="23"/>
  <c r="M22" i="23"/>
  <c r="I22" i="23"/>
  <c r="U22" i="23" s="1"/>
  <c r="T21" i="23"/>
  <c r="R21" i="23"/>
  <c r="W21" i="23" s="1"/>
  <c r="Y21" i="23" s="1"/>
  <c r="O21" i="23"/>
  <c r="N21" i="23"/>
  <c r="M21" i="23"/>
  <c r="I21" i="23"/>
  <c r="U21" i="23" s="1"/>
  <c r="T20" i="23"/>
  <c r="R20" i="23"/>
  <c r="O20" i="23"/>
  <c r="N20" i="23"/>
  <c r="M20" i="23"/>
  <c r="I20" i="23"/>
  <c r="U20" i="23" s="1"/>
  <c r="T19" i="23"/>
  <c r="R19" i="23"/>
  <c r="W19" i="23" s="1"/>
  <c r="O19" i="23"/>
  <c r="N19" i="23"/>
  <c r="M19" i="23"/>
  <c r="I19" i="23"/>
  <c r="U19" i="23" s="1"/>
  <c r="T18" i="23"/>
  <c r="R18" i="23"/>
  <c r="W18" i="23" s="1"/>
  <c r="O18" i="23"/>
  <c r="N18" i="23"/>
  <c r="M18" i="23"/>
  <c r="I18" i="23"/>
  <c r="U18" i="23" s="1"/>
  <c r="T17" i="23"/>
  <c r="R17" i="23"/>
  <c r="W17" i="23" s="1"/>
  <c r="O17" i="23"/>
  <c r="N17" i="23"/>
  <c r="M17" i="23"/>
  <c r="I17" i="23"/>
  <c r="U17" i="23" s="1"/>
  <c r="T16" i="23"/>
  <c r="R16" i="23"/>
  <c r="O16" i="23"/>
  <c r="N16" i="23"/>
  <c r="M16" i="23"/>
  <c r="I16" i="23"/>
  <c r="U16" i="23" s="1"/>
  <c r="T15" i="23"/>
  <c r="R15" i="23"/>
  <c r="O15" i="23"/>
  <c r="N15" i="23"/>
  <c r="M15" i="23"/>
  <c r="I15" i="23"/>
  <c r="U15" i="23" s="1"/>
  <c r="T14" i="23"/>
  <c r="R14" i="23"/>
  <c r="O14" i="23"/>
  <c r="N14" i="23"/>
  <c r="M14" i="23"/>
  <c r="I14" i="23"/>
  <c r="U14" i="23" s="1"/>
  <c r="T13" i="23"/>
  <c r="R13" i="23"/>
  <c r="O13" i="23"/>
  <c r="N13" i="23"/>
  <c r="M13" i="23"/>
  <c r="I13" i="23"/>
  <c r="U13" i="23" s="1"/>
  <c r="T12" i="23"/>
  <c r="R12" i="23"/>
  <c r="W12" i="23" s="1"/>
  <c r="O12" i="23"/>
  <c r="N12" i="23"/>
  <c r="M12" i="23"/>
  <c r="I12" i="23"/>
  <c r="U12" i="23" s="1"/>
  <c r="T11" i="23"/>
  <c r="R11" i="23"/>
  <c r="W11" i="23" s="1"/>
  <c r="Y11" i="23" s="1"/>
  <c r="O11" i="23"/>
  <c r="N11" i="23"/>
  <c r="M11" i="23"/>
  <c r="I11" i="23"/>
  <c r="U11" i="23" s="1"/>
  <c r="T10" i="23"/>
  <c r="R10" i="23"/>
  <c r="W10" i="23" s="1"/>
  <c r="Y10" i="23" s="1"/>
  <c r="O10" i="23"/>
  <c r="N10" i="23"/>
  <c r="M10" i="23"/>
  <c r="I10" i="23"/>
  <c r="U10" i="23" s="1"/>
  <c r="T9" i="23"/>
  <c r="R9" i="23"/>
  <c r="W9" i="23" s="1"/>
  <c r="O9" i="23"/>
  <c r="N9" i="23"/>
  <c r="M9" i="23"/>
  <c r="I9" i="23"/>
  <c r="U9" i="23" s="1"/>
  <c r="T8" i="23"/>
  <c r="R8" i="23"/>
  <c r="W8" i="23" s="1"/>
  <c r="O8" i="23"/>
  <c r="N8" i="23"/>
  <c r="M8" i="23"/>
  <c r="I8" i="23"/>
  <c r="U8" i="23" s="1"/>
  <c r="T7" i="23"/>
  <c r="R7" i="23"/>
  <c r="O7" i="23"/>
  <c r="N7" i="23"/>
  <c r="M7" i="23"/>
  <c r="I7" i="23"/>
  <c r="U7" i="23" s="1"/>
  <c r="T6" i="23"/>
  <c r="R6" i="23"/>
  <c r="W6" i="23" s="1"/>
  <c r="O6" i="23"/>
  <c r="N6" i="23"/>
  <c r="M6" i="23"/>
  <c r="I6" i="23"/>
  <c r="U6" i="23" s="1"/>
  <c r="T5" i="23"/>
  <c r="R5" i="23"/>
  <c r="W5" i="23" s="1"/>
  <c r="Y5" i="23" s="1"/>
  <c r="O5" i="23"/>
  <c r="N5" i="23"/>
  <c r="M5" i="23"/>
  <c r="I5" i="23"/>
  <c r="U5" i="23" s="1"/>
  <c r="L22" i="21" l="1"/>
  <c r="L19" i="21"/>
  <c r="L21" i="21"/>
  <c r="N22" i="21"/>
  <c r="L26" i="21"/>
  <c r="N26" i="21" s="1"/>
  <c r="L30" i="21"/>
  <c r="N30" i="21" s="1"/>
  <c r="N19" i="21"/>
  <c r="L23" i="21"/>
  <c r="N23" i="21" s="1"/>
  <c r="L27" i="21"/>
  <c r="N27" i="21" s="1"/>
  <c r="L31" i="21"/>
  <c r="N31" i="21" s="1"/>
  <c r="L20" i="21"/>
  <c r="N20" i="21" s="1"/>
  <c r="L24" i="21"/>
  <c r="N24" i="21" s="1"/>
  <c r="L28" i="21"/>
  <c r="N28" i="21" s="1"/>
  <c r="L32" i="21"/>
  <c r="N32" i="21" s="1"/>
  <c r="N21" i="21"/>
  <c r="L25" i="21"/>
  <c r="N25" i="21" s="1"/>
  <c r="L29" i="21"/>
  <c r="N29" i="21" s="1"/>
  <c r="L33" i="21"/>
  <c r="N33" i="21" s="1"/>
  <c r="O19" i="21"/>
  <c r="W37" i="23"/>
  <c r="X37" i="23" s="1"/>
  <c r="W38" i="23"/>
  <c r="X38" i="23" s="1"/>
  <c r="W43" i="23"/>
  <c r="Y43" i="23" s="1"/>
  <c r="X18" i="23"/>
  <c r="Y18" i="23"/>
  <c r="Y46" i="23"/>
  <c r="X46" i="23"/>
  <c r="Y8" i="23"/>
  <c r="X8" i="23"/>
  <c r="X9" i="23"/>
  <c r="Y9" i="23"/>
  <c r="Y24" i="23"/>
  <c r="X24" i="23"/>
  <c r="Y6" i="23"/>
  <c r="X6" i="23"/>
  <c r="Y19" i="23"/>
  <c r="X19" i="23"/>
  <c r="Y37" i="23"/>
  <c r="Y22" i="23"/>
  <c r="X22" i="23"/>
  <c r="X47" i="23"/>
  <c r="Y47" i="23"/>
  <c r="Y12" i="23"/>
  <c r="X12" i="23"/>
  <c r="Y17" i="23"/>
  <c r="X17" i="23"/>
  <c r="X23" i="23"/>
  <c r="Y23" i="23"/>
  <c r="Y39" i="23"/>
  <c r="X39" i="23"/>
  <c r="Y48" i="23"/>
  <c r="X48" i="23"/>
  <c r="Y49" i="23"/>
  <c r="X49" i="23"/>
  <c r="X50" i="23"/>
  <c r="Y50" i="23"/>
  <c r="W7" i="23"/>
  <c r="W14" i="23"/>
  <c r="Y14" i="23" s="1"/>
  <c r="W15" i="23"/>
  <c r="Y15" i="23" s="1"/>
  <c r="W16" i="23"/>
  <c r="W20" i="23"/>
  <c r="W25" i="23"/>
  <c r="Y25" i="23" s="1"/>
  <c r="W26" i="23"/>
  <c r="Y26" i="23" s="1"/>
  <c r="W27" i="23"/>
  <c r="Y27" i="23" s="1"/>
  <c r="W28" i="23"/>
  <c r="Y28" i="23" s="1"/>
  <c r="W29" i="23"/>
  <c r="Y29" i="23" s="1"/>
  <c r="W30" i="23"/>
  <c r="Y30" i="23" s="1"/>
  <c r="W31" i="23"/>
  <c r="Y31" i="23" s="1"/>
  <c r="W32" i="23"/>
  <c r="Y32" i="23" s="1"/>
  <c r="W33" i="23"/>
  <c r="Y33" i="23" s="1"/>
  <c r="W34" i="23"/>
  <c r="Y34" i="23" s="1"/>
  <c r="W35" i="23"/>
  <c r="W40" i="23"/>
  <c r="X58" i="23"/>
  <c r="Y58" i="23"/>
  <c r="Y67" i="23"/>
  <c r="X67" i="23"/>
  <c r="Y73" i="23"/>
  <c r="X73" i="23"/>
  <c r="X74" i="23"/>
  <c r="Y74" i="23"/>
  <c r="X84" i="23"/>
  <c r="Y84" i="23"/>
  <c r="Y97" i="23"/>
  <c r="X97" i="23"/>
  <c r="Y113" i="23"/>
  <c r="X113" i="23"/>
  <c r="Y120" i="23"/>
  <c r="X120" i="23"/>
  <c r="Y51" i="23"/>
  <c r="Y57" i="23"/>
  <c r="X57" i="23"/>
  <c r="Y59" i="23"/>
  <c r="X59" i="23"/>
  <c r="Y75" i="23"/>
  <c r="X75" i="23"/>
  <c r="Y76" i="23"/>
  <c r="X76" i="23"/>
  <c r="Y86" i="23"/>
  <c r="X86" i="23"/>
  <c r="Y89" i="23"/>
  <c r="X89" i="23"/>
  <c r="Y121" i="23"/>
  <c r="X121" i="23"/>
  <c r="X122" i="23"/>
  <c r="Y122" i="23"/>
  <c r="W13" i="23"/>
  <c r="Y13" i="23" s="1"/>
  <c r="X54" i="23"/>
  <c r="Y54" i="23"/>
  <c r="Y62" i="23"/>
  <c r="X62" i="23"/>
  <c r="X63" i="23"/>
  <c r="Y63" i="23"/>
  <c r="Y77" i="23"/>
  <c r="X77" i="23"/>
  <c r="X91" i="23"/>
  <c r="Y91" i="23"/>
  <c r="X116" i="23"/>
  <c r="Y116" i="23"/>
  <c r="Y123" i="23"/>
  <c r="X123" i="23"/>
  <c r="W53" i="23"/>
  <c r="Y55" i="23"/>
  <c r="Y93" i="23"/>
  <c r="X93" i="23"/>
  <c r="Y95" i="23"/>
  <c r="X95" i="23"/>
  <c r="X96" i="23"/>
  <c r="Y96" i="23"/>
  <c r="Y118" i="23"/>
  <c r="X118" i="23"/>
  <c r="W52" i="23"/>
  <c r="W56" i="23"/>
  <c r="W60" i="23"/>
  <c r="Y60" i="23" s="1"/>
  <c r="W61" i="23"/>
  <c r="W68" i="23"/>
  <c r="W87" i="23"/>
  <c r="Y87" i="23" s="1"/>
  <c r="W88" i="23"/>
  <c r="W94" i="23"/>
  <c r="W98" i="23"/>
  <c r="Y98" i="23" s="1"/>
  <c r="W99" i="23"/>
  <c r="W124" i="23"/>
  <c r="C38" i="21"/>
  <c r="G4" i="21" s="1"/>
  <c r="C25" i="21"/>
  <c r="G3" i="21" s="1"/>
  <c r="Y38" i="23" l="1"/>
  <c r="O20" i="21"/>
  <c r="O21" i="21" s="1"/>
  <c r="O22" i="21" s="1"/>
  <c r="O23" i="21" s="1"/>
  <c r="O24" i="21" s="1"/>
  <c r="O25" i="21" s="1"/>
  <c r="O26" i="21" s="1"/>
  <c r="O27" i="21" s="1"/>
  <c r="O28" i="21" s="1"/>
  <c r="O29" i="21" s="1"/>
  <c r="G5" i="21"/>
  <c r="G9" i="21" s="1"/>
  <c r="G10" i="21" s="1"/>
  <c r="Y35" i="23"/>
  <c r="X35" i="23"/>
  <c r="Y16" i="23"/>
  <c r="X16" i="23"/>
  <c r="Y88" i="23"/>
  <c r="X88" i="23"/>
  <c r="Y68" i="23"/>
  <c r="X68" i="23"/>
  <c r="Y56" i="23"/>
  <c r="X56" i="23"/>
  <c r="Y99" i="23"/>
  <c r="X99" i="23"/>
  <c r="Y52" i="23"/>
  <c r="X52" i="23"/>
  <c r="Y124" i="23"/>
  <c r="X124" i="23"/>
  <c r="Y53" i="23"/>
  <c r="X53" i="23"/>
  <c r="Y94" i="23"/>
  <c r="X94" i="23"/>
  <c r="Y61" i="23"/>
  <c r="X61" i="23"/>
  <c r="Y40" i="23"/>
  <c r="X40" i="23"/>
  <c r="Y20" i="23"/>
  <c r="X20" i="23"/>
  <c r="X7" i="23"/>
  <c r="Y7" i="23"/>
  <c r="AB5" i="17"/>
  <c r="AB6" i="17"/>
  <c r="AB7" i="17"/>
  <c r="AB8" i="17"/>
  <c r="AB9" i="17"/>
  <c r="AB10" i="17"/>
  <c r="AB11" i="17"/>
  <c r="AB12" i="17"/>
  <c r="AB13" i="17"/>
  <c r="AB14" i="17"/>
  <c r="AB15" i="17"/>
  <c r="AB16" i="17"/>
  <c r="AB17" i="17"/>
  <c r="AB18" i="17"/>
  <c r="AB19" i="17"/>
  <c r="AB20" i="17"/>
  <c r="AB21" i="17"/>
  <c r="AB22" i="17"/>
  <c r="AB23" i="17"/>
  <c r="AB24" i="17"/>
  <c r="AB25" i="17"/>
  <c r="AB26" i="17"/>
  <c r="AB27" i="17"/>
  <c r="AB28" i="17"/>
  <c r="AB29" i="17"/>
  <c r="AB30" i="17"/>
  <c r="AB31" i="17"/>
  <c r="AB32" i="17"/>
  <c r="AB33" i="17"/>
  <c r="AB34" i="17"/>
  <c r="AB35" i="17"/>
  <c r="AB36" i="17"/>
  <c r="AB37" i="17"/>
  <c r="AB38" i="17"/>
  <c r="AB39" i="17"/>
  <c r="AB40" i="17"/>
  <c r="AB41" i="17"/>
  <c r="AB42" i="17"/>
  <c r="AB43" i="17"/>
  <c r="AB44" i="17"/>
  <c r="AB45" i="17"/>
  <c r="AB46" i="17"/>
  <c r="AB47" i="17"/>
  <c r="AB48" i="17"/>
  <c r="AB49" i="17"/>
  <c r="AB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4" i="17"/>
  <c r="K23" i="6"/>
  <c r="K24" i="6"/>
  <c r="K25" i="6"/>
  <c r="K26" i="6"/>
  <c r="K27" i="6"/>
  <c r="V25" i="23" s="1"/>
  <c r="K28" i="6"/>
  <c r="V112" i="23" s="1"/>
  <c r="K29" i="6"/>
  <c r="K30" i="6"/>
  <c r="V111" i="23" s="1"/>
  <c r="K31" i="6"/>
  <c r="K32" i="6"/>
  <c r="K33" i="6"/>
  <c r="K34" i="6"/>
  <c r="K35" i="6"/>
  <c r="K36" i="6"/>
  <c r="K37" i="6"/>
  <c r="K38" i="6"/>
  <c r="V78" i="23" s="1"/>
  <c r="K39" i="6"/>
  <c r="K40" i="6"/>
  <c r="K41" i="6"/>
  <c r="K42" i="6"/>
  <c r="K43" i="6"/>
  <c r="K44" i="6"/>
  <c r="K45" i="6"/>
  <c r="K46" i="6"/>
  <c r="K47" i="6"/>
  <c r="K48" i="6"/>
  <c r="K49" i="6"/>
  <c r="K50" i="6"/>
  <c r="K51" i="6"/>
  <c r="K52" i="6"/>
  <c r="K53" i="6"/>
  <c r="K54" i="6"/>
  <c r="K55" i="6"/>
  <c r="K56" i="6"/>
  <c r="K57" i="6"/>
  <c r="K58" i="6"/>
  <c r="K59" i="6"/>
  <c r="K60" i="6"/>
  <c r="K61" i="6"/>
  <c r="K62" i="6"/>
  <c r="K63" i="6"/>
  <c r="K64" i="6"/>
  <c r="K65" i="6"/>
  <c r="V123" i="23" s="1"/>
  <c r="K66" i="6"/>
  <c r="V93" i="23" s="1"/>
  <c r="K67" i="6"/>
  <c r="K22" i="6"/>
  <c r="M8" i="9"/>
  <c r="I47" i="15"/>
  <c r="I48" i="15" s="1"/>
  <c r="H47" i="15"/>
  <c r="H48" i="15" s="1"/>
  <c r="I45" i="15"/>
  <c r="H45" i="15"/>
  <c r="E47" i="15"/>
  <c r="E48" i="15" s="1"/>
  <c r="D47" i="15"/>
  <c r="D48" i="15" s="1"/>
  <c r="E45" i="15"/>
  <c r="P22" i="1"/>
  <c r="P102" i="1"/>
  <c r="P114"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5" i="1"/>
  <c r="P17" i="6"/>
  <c r="O17" i="6"/>
  <c r="P38" i="1" s="1"/>
  <c r="N17" i="6"/>
  <c r="P18" i="1" s="1"/>
  <c r="M17" i="6"/>
  <c r="P26" i="1" s="1"/>
  <c r="L17" i="6"/>
  <c r="K17" i="6"/>
  <c r="P86" i="1" s="1"/>
  <c r="J17" i="6"/>
  <c r="P82" i="1" s="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5"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2" i="1"/>
  <c r="M123" i="1"/>
  <c r="M124" i="1"/>
  <c r="M6" i="1"/>
  <c r="M5" i="1"/>
  <c r="J42" i="16"/>
  <c r="J41" i="16"/>
  <c r="J40" i="16"/>
  <c r="J39" i="16"/>
  <c r="I42" i="16"/>
  <c r="I41" i="16"/>
  <c r="I40" i="16"/>
  <c r="J37" i="16"/>
  <c r="O62" i="16" s="1"/>
  <c r="I23" i="16"/>
  <c r="I13" i="16"/>
  <c r="I28" i="16" s="1"/>
  <c r="I12" i="16"/>
  <c r="I27" i="16" s="1"/>
  <c r="I11" i="16"/>
  <c r="I26" i="16" s="1"/>
  <c r="I10" i="16"/>
  <c r="I6" i="16"/>
  <c r="I4" i="16"/>
  <c r="I5" i="16" s="1"/>
  <c r="E19" i="16"/>
  <c r="D19" i="16"/>
  <c r="C19" i="16"/>
  <c r="E8" i="16"/>
  <c r="D8" i="16"/>
  <c r="C8" i="16"/>
  <c r="S7" i="9" l="1"/>
  <c r="P94" i="1"/>
  <c r="P70" i="1"/>
  <c r="T10" i="9"/>
  <c r="P46" i="1"/>
  <c r="O30" i="21"/>
  <c r="O31" i="21" s="1"/>
  <c r="O32" i="21" s="1"/>
  <c r="O33" i="21" s="1"/>
  <c r="I14" i="16"/>
  <c r="I15" i="16" s="1"/>
  <c r="J43" i="16"/>
  <c r="I43" i="16"/>
  <c r="I45" i="16" s="1"/>
  <c r="M62" i="16" s="1"/>
  <c r="I7" i="16"/>
  <c r="I63" i="16"/>
  <c r="P7" i="1"/>
  <c r="P113" i="23"/>
  <c r="P112" i="23"/>
  <c r="P107" i="23"/>
  <c r="P103" i="23"/>
  <c r="P98" i="23"/>
  <c r="P66" i="23"/>
  <c r="P65" i="23"/>
  <c r="P95" i="23"/>
  <c r="P83" i="23"/>
  <c r="P48" i="23"/>
  <c r="P63" i="23"/>
  <c r="P87" i="23"/>
  <c r="P76" i="23"/>
  <c r="P52" i="23"/>
  <c r="P42" i="23"/>
  <c r="P37" i="23"/>
  <c r="P23" i="23"/>
  <c r="P13" i="23"/>
  <c r="P11" i="23"/>
  <c r="P39" i="23"/>
  <c r="P28" i="23"/>
  <c r="P24" i="23"/>
  <c r="P7" i="23"/>
  <c r="P36" i="23"/>
  <c r="P30" i="23"/>
  <c r="P62" i="1"/>
  <c r="V76" i="23"/>
  <c r="V16" i="23"/>
  <c r="V55" i="23"/>
  <c r="V116" i="23"/>
  <c r="V74" i="23"/>
  <c r="V12" i="23"/>
  <c r="V40" i="23"/>
  <c r="V121" i="23"/>
  <c r="V52" i="23"/>
  <c r="V95" i="23"/>
  <c r="V113" i="23"/>
  <c r="V120" i="23"/>
  <c r="V48" i="23"/>
  <c r="V7" i="23"/>
  <c r="V63" i="23"/>
  <c r="V23" i="23"/>
  <c r="V96" i="23"/>
  <c r="V6" i="23"/>
  <c r="V53" i="23"/>
  <c r="V33" i="23"/>
  <c r="V85" i="23"/>
  <c r="V71" i="23"/>
  <c r="V115" i="23"/>
  <c r="V28" i="23"/>
  <c r="V27" i="23"/>
  <c r="V66" i="23"/>
  <c r="V81" i="23"/>
  <c r="V80" i="23"/>
  <c r="V11" i="23"/>
  <c r="V92" i="23"/>
  <c r="L12" i="9"/>
  <c r="L8" i="9"/>
  <c r="M4" i="9"/>
  <c r="M11" i="9"/>
  <c r="M7" i="9"/>
  <c r="S4" i="9"/>
  <c r="S8" i="9"/>
  <c r="T7" i="9"/>
  <c r="J45" i="16"/>
  <c r="P15" i="1"/>
  <c r="P110" i="23"/>
  <c r="P108" i="23"/>
  <c r="P104" i="23"/>
  <c r="P99" i="23"/>
  <c r="P58" i="23"/>
  <c r="P40" i="23"/>
  <c r="P119" i="23"/>
  <c r="P118" i="23"/>
  <c r="P56" i="23"/>
  <c r="P77" i="23"/>
  <c r="P86" i="23"/>
  <c r="P17" i="23"/>
  <c r="P15" i="23"/>
  <c r="P12" i="23"/>
  <c r="P9" i="23"/>
  <c r="P8" i="23"/>
  <c r="P44" i="23"/>
  <c r="P19" i="23"/>
  <c r="P43" i="1"/>
  <c r="P74" i="23"/>
  <c r="P96" i="23"/>
  <c r="P64" i="23"/>
  <c r="P43" i="23"/>
  <c r="P53" i="23"/>
  <c r="P14" i="23"/>
  <c r="P10" i="23"/>
  <c r="I25" i="16"/>
  <c r="I29" i="16" s="1"/>
  <c r="I31" i="16" s="1"/>
  <c r="P27" i="1"/>
  <c r="P114" i="23"/>
  <c r="P109" i="23"/>
  <c r="P106" i="23"/>
  <c r="P102" i="23"/>
  <c r="P97" i="23"/>
  <c r="P69" i="23"/>
  <c r="P51" i="23"/>
  <c r="P92" i="23"/>
  <c r="P123" i="23"/>
  <c r="P61" i="23"/>
  <c r="P60" i="23"/>
  <c r="P115" i="23"/>
  <c r="P88" i="23"/>
  <c r="P81" i="23"/>
  <c r="P75" i="23"/>
  <c r="P54" i="23"/>
  <c r="P46" i="23"/>
  <c r="P22" i="23"/>
  <c r="P21" i="23"/>
  <c r="P35" i="23"/>
  <c r="P26" i="23"/>
  <c r="P31" i="23"/>
  <c r="P27" i="23"/>
  <c r="P122" i="1"/>
  <c r="P110" i="1"/>
  <c r="P93" i="1"/>
  <c r="P58" i="1"/>
  <c r="V122" i="23"/>
  <c r="V91" i="23"/>
  <c r="V58" i="23"/>
  <c r="V86" i="23"/>
  <c r="V46" i="23"/>
  <c r="V19" i="23"/>
  <c r="V61" i="23"/>
  <c r="V124" i="23"/>
  <c r="V37" i="23"/>
  <c r="V73" i="23"/>
  <c r="V9" i="23"/>
  <c r="V97" i="23"/>
  <c r="V54" i="23"/>
  <c r="V22" i="23"/>
  <c r="V24" i="23"/>
  <c r="V69" i="23"/>
  <c r="V13" i="23"/>
  <c r="V60" i="23"/>
  <c r="V31" i="23"/>
  <c r="V83" i="23"/>
  <c r="V98" i="23"/>
  <c r="V101" i="23"/>
  <c r="V105" i="23"/>
  <c r="V44" i="23"/>
  <c r="V15" i="23"/>
  <c r="V79" i="23"/>
  <c r="V45" i="23"/>
  <c r="V43" i="23"/>
  <c r="V100" i="23"/>
  <c r="V14" i="23"/>
  <c r="L4" i="9"/>
  <c r="L11" i="9"/>
  <c r="L7" i="9"/>
  <c r="M14" i="9"/>
  <c r="M10" i="9"/>
  <c r="M6" i="9"/>
  <c r="S5" i="9"/>
  <c r="S9" i="9"/>
  <c r="T4" i="9"/>
  <c r="T8" i="9"/>
  <c r="P47" i="1"/>
  <c r="P120" i="23"/>
  <c r="P80" i="23"/>
  <c r="P68" i="23"/>
  <c r="P117" i="23"/>
  <c r="P93" i="23"/>
  <c r="P50" i="23"/>
  <c r="P62" i="23"/>
  <c r="P47" i="23"/>
  <c r="P89" i="23"/>
  <c r="P29" i="23"/>
  <c r="P38" i="23"/>
  <c r="P25" i="23"/>
  <c r="P67" i="1"/>
  <c r="P100" i="23"/>
  <c r="P71" i="23"/>
  <c r="P67" i="23"/>
  <c r="P45" i="23"/>
  <c r="P41" i="23"/>
  <c r="P94" i="23"/>
  <c r="P91" i="23"/>
  <c r="P82" i="23"/>
  <c r="P122" i="23"/>
  <c r="P90" i="23"/>
  <c r="P85" i="23"/>
  <c r="P5" i="23"/>
  <c r="P6" i="23"/>
  <c r="P33" i="23"/>
  <c r="P55" i="1"/>
  <c r="P111" i="23"/>
  <c r="P105" i="23"/>
  <c r="P101" i="23"/>
  <c r="P84" i="23"/>
  <c r="P73" i="23"/>
  <c r="P72" i="23"/>
  <c r="P70" i="23"/>
  <c r="P79" i="23"/>
  <c r="P57" i="23"/>
  <c r="P49" i="23"/>
  <c r="P124" i="23"/>
  <c r="P116" i="23"/>
  <c r="P78" i="23"/>
  <c r="P55" i="23"/>
  <c r="P121" i="23"/>
  <c r="P59" i="23"/>
  <c r="P16" i="23"/>
  <c r="P20" i="23"/>
  <c r="P34" i="23"/>
  <c r="P32" i="23"/>
  <c r="P18" i="23"/>
  <c r="P118" i="1"/>
  <c r="P106" i="1"/>
  <c r="P90" i="1"/>
  <c r="P78" i="1"/>
  <c r="P54" i="1"/>
  <c r="P34" i="1"/>
  <c r="P6" i="1"/>
  <c r="V51" i="23"/>
  <c r="V88" i="23"/>
  <c r="V18" i="23"/>
  <c r="V57" i="23"/>
  <c r="V75" i="23"/>
  <c r="V35" i="23"/>
  <c r="V47" i="23"/>
  <c r="V89" i="23"/>
  <c r="V62" i="23"/>
  <c r="V68" i="23"/>
  <c r="V99" i="23"/>
  <c r="V56" i="23"/>
  <c r="V17" i="23"/>
  <c r="V77" i="23"/>
  <c r="V118" i="23"/>
  <c r="V114" i="23"/>
  <c r="V41" i="23"/>
  <c r="V26" i="23"/>
  <c r="V82" i="23"/>
  <c r="V72" i="23"/>
  <c r="V34" i="23"/>
  <c r="V21" i="23"/>
  <c r="V29" i="23"/>
  <c r="V42" i="23"/>
  <c r="V30" i="23"/>
  <c r="V87" i="23"/>
  <c r="V104" i="23"/>
  <c r="V108" i="23"/>
  <c r="V109" i="23"/>
  <c r="V10" i="23"/>
  <c r="V117" i="23"/>
  <c r="L14" i="9"/>
  <c r="L10" i="9"/>
  <c r="L6" i="9"/>
  <c r="M13" i="9"/>
  <c r="M9" i="9"/>
  <c r="M5" i="9"/>
  <c r="S6" i="9"/>
  <c r="S10" i="9"/>
  <c r="T5" i="9"/>
  <c r="T9" i="9"/>
  <c r="P117" i="1"/>
  <c r="P89" i="1"/>
  <c r="P50" i="1"/>
  <c r="V94" i="23"/>
  <c r="V67" i="23"/>
  <c r="V39" i="23"/>
  <c r="V38" i="23"/>
  <c r="V84" i="23"/>
  <c r="V50" i="23"/>
  <c r="V49" i="23"/>
  <c r="V8" i="23"/>
  <c r="V59" i="23"/>
  <c r="V20" i="23"/>
  <c r="V90" i="23"/>
  <c r="V102" i="23"/>
  <c r="V106" i="23"/>
  <c r="V32" i="23"/>
  <c r="V70" i="23"/>
  <c r="V64" i="23"/>
  <c r="V103" i="23"/>
  <c r="V107" i="23"/>
  <c r="V36" i="23"/>
  <c r="V65" i="23"/>
  <c r="V119" i="23"/>
  <c r="V5" i="23"/>
  <c r="V110" i="23"/>
  <c r="L13" i="9"/>
  <c r="L9" i="9"/>
  <c r="L5" i="9"/>
  <c r="M12" i="9"/>
  <c r="M125" i="1"/>
  <c r="T6" i="9"/>
  <c r="AB51" i="17"/>
  <c r="AB52" i="17"/>
  <c r="AB50" i="17"/>
  <c r="P42" i="1"/>
  <c r="P30" i="1"/>
  <c r="P5" i="1"/>
  <c r="P121" i="1"/>
  <c r="P113" i="1"/>
  <c r="P109" i="1"/>
  <c r="P105" i="1"/>
  <c r="P101" i="1"/>
  <c r="P97" i="1"/>
  <c r="P85" i="1"/>
  <c r="P81" i="1"/>
  <c r="P77" i="1"/>
  <c r="P73" i="1"/>
  <c r="P69" i="1"/>
  <c r="P65" i="1"/>
  <c r="P61" i="1"/>
  <c r="P57" i="1"/>
  <c r="P53" i="1"/>
  <c r="P49" i="1"/>
  <c r="P45" i="1"/>
  <c r="P41" i="1"/>
  <c r="P37" i="1"/>
  <c r="P33" i="1"/>
  <c r="P29" i="1"/>
  <c r="P25" i="1"/>
  <c r="P21" i="1"/>
  <c r="P17" i="1"/>
  <c r="P13" i="1"/>
  <c r="P9" i="1"/>
  <c r="P98" i="1"/>
  <c r="P74" i="1"/>
  <c r="P14" i="1"/>
  <c r="P124" i="1"/>
  <c r="P120" i="1"/>
  <c r="P116" i="1"/>
  <c r="P112" i="1"/>
  <c r="P108" i="1"/>
  <c r="P104" i="1"/>
  <c r="P100" i="1"/>
  <c r="P96" i="1"/>
  <c r="P92" i="1"/>
  <c r="P88" i="1"/>
  <c r="P84" i="1"/>
  <c r="P80" i="1"/>
  <c r="P76" i="1"/>
  <c r="P72" i="1"/>
  <c r="P68" i="1"/>
  <c r="P64" i="1"/>
  <c r="P60" i="1"/>
  <c r="P56" i="1"/>
  <c r="P52" i="1"/>
  <c r="P48" i="1"/>
  <c r="P44" i="1"/>
  <c r="P40" i="1"/>
  <c r="P36" i="1"/>
  <c r="P32" i="1"/>
  <c r="P28" i="1"/>
  <c r="P24" i="1"/>
  <c r="P20" i="1"/>
  <c r="P16" i="1"/>
  <c r="P12" i="1"/>
  <c r="P8" i="1"/>
  <c r="P66" i="1"/>
  <c r="P10" i="1"/>
  <c r="P123" i="1"/>
  <c r="P119" i="1"/>
  <c r="P115" i="1"/>
  <c r="P111" i="1"/>
  <c r="P107" i="1"/>
  <c r="P103" i="1"/>
  <c r="P99" i="1"/>
  <c r="P95" i="1"/>
  <c r="P91" i="1"/>
  <c r="P87" i="1"/>
  <c r="P83" i="1"/>
  <c r="P79" i="1"/>
  <c r="P75" i="1"/>
  <c r="P71" i="1"/>
  <c r="P63" i="1"/>
  <c r="P59" i="1"/>
  <c r="P51" i="1"/>
  <c r="P39" i="1"/>
  <c r="P35" i="1"/>
  <c r="P31" i="1"/>
  <c r="P23" i="1"/>
  <c r="P19" i="1"/>
  <c r="P11" i="1"/>
  <c r="T12" i="9" l="1"/>
  <c r="M15" i="9"/>
  <c r="L15" i="9"/>
  <c r="T11" i="9"/>
  <c r="I17" i="16"/>
  <c r="J63" i="16"/>
  <c r="I73" i="16" s="1"/>
  <c r="I64" i="16"/>
  <c r="J64" i="16" s="1"/>
  <c r="S11" i="9"/>
  <c r="S12" i="9"/>
  <c r="L16" i="9"/>
  <c r="M16" i="9"/>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8" i="1"/>
  <c r="K8" i="1" s="1"/>
  <c r="R9" i="1"/>
  <c r="R10" i="1"/>
  <c r="J10" i="1" s="1"/>
  <c r="R11" i="1"/>
  <c r="R12" i="1"/>
  <c r="K12" i="1" s="1"/>
  <c r="R13" i="1"/>
  <c r="R14" i="1"/>
  <c r="R15" i="1"/>
  <c r="R6" i="1"/>
  <c r="R7" i="1"/>
  <c r="K7" i="1" s="1"/>
  <c r="R5" i="1"/>
  <c r="I6" i="1"/>
  <c r="U6" i="1" s="1"/>
  <c r="I7" i="1"/>
  <c r="U7" i="1" s="1"/>
  <c r="I8" i="1"/>
  <c r="U8" i="1" s="1"/>
  <c r="I9" i="1"/>
  <c r="U9" i="1" s="1"/>
  <c r="I10" i="1"/>
  <c r="U10" i="1" s="1"/>
  <c r="I11" i="1"/>
  <c r="U11" i="1" s="1"/>
  <c r="I12" i="1"/>
  <c r="U12" i="1" s="1"/>
  <c r="I13" i="1"/>
  <c r="U13" i="1" s="1"/>
  <c r="I14" i="1"/>
  <c r="U14" i="1" s="1"/>
  <c r="I15" i="1"/>
  <c r="U15" i="1" s="1"/>
  <c r="I16" i="1"/>
  <c r="U16" i="1" s="1"/>
  <c r="I17" i="1"/>
  <c r="U17" i="1" s="1"/>
  <c r="I18" i="1"/>
  <c r="U18" i="1" s="1"/>
  <c r="I19" i="1"/>
  <c r="U19" i="1" s="1"/>
  <c r="I20" i="1"/>
  <c r="U20" i="1" s="1"/>
  <c r="I21" i="1"/>
  <c r="U21" i="1" s="1"/>
  <c r="I22" i="1"/>
  <c r="U22" i="1" s="1"/>
  <c r="I23" i="1"/>
  <c r="U23" i="1" s="1"/>
  <c r="I24" i="1"/>
  <c r="U24" i="1" s="1"/>
  <c r="I25" i="1"/>
  <c r="U25" i="1" s="1"/>
  <c r="I26" i="1"/>
  <c r="U26" i="1" s="1"/>
  <c r="I27" i="1"/>
  <c r="U27" i="1" s="1"/>
  <c r="I28" i="1"/>
  <c r="U28" i="1" s="1"/>
  <c r="I29" i="1"/>
  <c r="U29" i="1" s="1"/>
  <c r="I30" i="1"/>
  <c r="U30" i="1" s="1"/>
  <c r="I31" i="1"/>
  <c r="U31" i="1" s="1"/>
  <c r="I32" i="1"/>
  <c r="U32" i="1" s="1"/>
  <c r="I33" i="1"/>
  <c r="U33" i="1" s="1"/>
  <c r="I34" i="1"/>
  <c r="U34" i="1" s="1"/>
  <c r="I35" i="1"/>
  <c r="U35" i="1" s="1"/>
  <c r="I36" i="1"/>
  <c r="U36" i="1" s="1"/>
  <c r="I37" i="1"/>
  <c r="U37" i="1" s="1"/>
  <c r="I38" i="1"/>
  <c r="U38" i="1" s="1"/>
  <c r="I39" i="1"/>
  <c r="U39" i="1" s="1"/>
  <c r="I40" i="1"/>
  <c r="U40" i="1" s="1"/>
  <c r="I41" i="1"/>
  <c r="U41" i="1" s="1"/>
  <c r="I42" i="1"/>
  <c r="U42" i="1" s="1"/>
  <c r="I43" i="1"/>
  <c r="U43" i="1" s="1"/>
  <c r="I44" i="1"/>
  <c r="U44" i="1" s="1"/>
  <c r="I45" i="1"/>
  <c r="U45" i="1" s="1"/>
  <c r="I46" i="1"/>
  <c r="U46" i="1" s="1"/>
  <c r="I47" i="1"/>
  <c r="U47" i="1" s="1"/>
  <c r="I48" i="1"/>
  <c r="U48" i="1" s="1"/>
  <c r="I49" i="1"/>
  <c r="U49" i="1" s="1"/>
  <c r="I50" i="1"/>
  <c r="U50" i="1" s="1"/>
  <c r="I51" i="1"/>
  <c r="U51" i="1" s="1"/>
  <c r="I52" i="1"/>
  <c r="U52" i="1" s="1"/>
  <c r="I53" i="1"/>
  <c r="U53" i="1" s="1"/>
  <c r="I54" i="1"/>
  <c r="U54" i="1" s="1"/>
  <c r="I55" i="1"/>
  <c r="U55" i="1" s="1"/>
  <c r="I56" i="1"/>
  <c r="U56" i="1" s="1"/>
  <c r="I57" i="1"/>
  <c r="U57" i="1" s="1"/>
  <c r="I58" i="1"/>
  <c r="U58" i="1" s="1"/>
  <c r="I59" i="1"/>
  <c r="U59" i="1" s="1"/>
  <c r="I60" i="1"/>
  <c r="U60" i="1" s="1"/>
  <c r="I61" i="1"/>
  <c r="U61" i="1" s="1"/>
  <c r="I62" i="1"/>
  <c r="U62" i="1" s="1"/>
  <c r="I63" i="1"/>
  <c r="U63" i="1" s="1"/>
  <c r="I64" i="1"/>
  <c r="U64" i="1" s="1"/>
  <c r="I65" i="1"/>
  <c r="U65" i="1" s="1"/>
  <c r="I66" i="1"/>
  <c r="U66" i="1" s="1"/>
  <c r="I67" i="1"/>
  <c r="U67" i="1" s="1"/>
  <c r="I68" i="1"/>
  <c r="U68" i="1" s="1"/>
  <c r="I69" i="1"/>
  <c r="U69" i="1" s="1"/>
  <c r="I70" i="1"/>
  <c r="U70" i="1" s="1"/>
  <c r="I71" i="1"/>
  <c r="U71" i="1" s="1"/>
  <c r="I72" i="1"/>
  <c r="U72" i="1" s="1"/>
  <c r="I73" i="1"/>
  <c r="U73" i="1" s="1"/>
  <c r="I74" i="1"/>
  <c r="U74" i="1" s="1"/>
  <c r="I75" i="1"/>
  <c r="U75" i="1" s="1"/>
  <c r="I76" i="1"/>
  <c r="U76" i="1" s="1"/>
  <c r="I77" i="1"/>
  <c r="U77" i="1" s="1"/>
  <c r="I78" i="1"/>
  <c r="U78" i="1" s="1"/>
  <c r="I79" i="1"/>
  <c r="U79" i="1" s="1"/>
  <c r="I80" i="1"/>
  <c r="U80" i="1" s="1"/>
  <c r="I81" i="1"/>
  <c r="U81" i="1" s="1"/>
  <c r="I82" i="1"/>
  <c r="U82" i="1" s="1"/>
  <c r="I83" i="1"/>
  <c r="U83" i="1" s="1"/>
  <c r="I84" i="1"/>
  <c r="U84" i="1" s="1"/>
  <c r="I85" i="1"/>
  <c r="U85" i="1" s="1"/>
  <c r="I86" i="1"/>
  <c r="U86" i="1" s="1"/>
  <c r="I87" i="1"/>
  <c r="U87" i="1" s="1"/>
  <c r="I88" i="1"/>
  <c r="U88" i="1" s="1"/>
  <c r="I89" i="1"/>
  <c r="U89" i="1" s="1"/>
  <c r="I90" i="1"/>
  <c r="U90" i="1" s="1"/>
  <c r="I91" i="1"/>
  <c r="U91" i="1" s="1"/>
  <c r="I92" i="1"/>
  <c r="U92" i="1" s="1"/>
  <c r="I93" i="1"/>
  <c r="U93" i="1" s="1"/>
  <c r="I94" i="1"/>
  <c r="U94" i="1" s="1"/>
  <c r="I95" i="1"/>
  <c r="U95" i="1" s="1"/>
  <c r="I96" i="1"/>
  <c r="U96" i="1" s="1"/>
  <c r="I97" i="1"/>
  <c r="U97" i="1" s="1"/>
  <c r="I98" i="1"/>
  <c r="U98" i="1" s="1"/>
  <c r="I99" i="1"/>
  <c r="U99" i="1" s="1"/>
  <c r="I100" i="1"/>
  <c r="U100" i="1" s="1"/>
  <c r="I101" i="1"/>
  <c r="U101" i="1" s="1"/>
  <c r="I102" i="1"/>
  <c r="U102" i="1" s="1"/>
  <c r="I103" i="1"/>
  <c r="U103" i="1" s="1"/>
  <c r="I104" i="1"/>
  <c r="U104" i="1" s="1"/>
  <c r="I105" i="1"/>
  <c r="U105" i="1" s="1"/>
  <c r="I106" i="1"/>
  <c r="U106" i="1" s="1"/>
  <c r="I107" i="1"/>
  <c r="U107" i="1" s="1"/>
  <c r="I108" i="1"/>
  <c r="U108" i="1" s="1"/>
  <c r="I109" i="1"/>
  <c r="U109" i="1" s="1"/>
  <c r="I110" i="1"/>
  <c r="U110" i="1" s="1"/>
  <c r="I111" i="1"/>
  <c r="U111" i="1" s="1"/>
  <c r="I112" i="1"/>
  <c r="U112" i="1" s="1"/>
  <c r="I113" i="1"/>
  <c r="U113" i="1" s="1"/>
  <c r="I114" i="1"/>
  <c r="U114" i="1" s="1"/>
  <c r="I115" i="1"/>
  <c r="U115" i="1" s="1"/>
  <c r="I116" i="1"/>
  <c r="U116" i="1" s="1"/>
  <c r="I117" i="1"/>
  <c r="U117" i="1" s="1"/>
  <c r="I118" i="1"/>
  <c r="U118" i="1" s="1"/>
  <c r="I119" i="1"/>
  <c r="U119" i="1" s="1"/>
  <c r="I120" i="1"/>
  <c r="U120" i="1" s="1"/>
  <c r="I121" i="1"/>
  <c r="U121" i="1" s="1"/>
  <c r="I122" i="1"/>
  <c r="U122" i="1" s="1"/>
  <c r="I123" i="1"/>
  <c r="U123" i="1" s="1"/>
  <c r="I124" i="1"/>
  <c r="U124" i="1" s="1"/>
  <c r="I5" i="1"/>
  <c r="U5" i="1" s="1"/>
  <c r="V5" i="1" l="1"/>
  <c r="J5" i="1"/>
  <c r="I65" i="16"/>
  <c r="J65" i="16" s="1"/>
  <c r="J73" i="16"/>
  <c r="J5" i="23"/>
  <c r="V14" i="1"/>
  <c r="J14" i="23"/>
  <c r="V10" i="1"/>
  <c r="J10" i="23"/>
  <c r="V123" i="1"/>
  <c r="K123" i="23"/>
  <c r="V119" i="1"/>
  <c r="J119" i="23"/>
  <c r="V115" i="1"/>
  <c r="J115" i="23"/>
  <c r="V111" i="1"/>
  <c r="J111" i="23"/>
  <c r="V107" i="1"/>
  <c r="J107" i="23"/>
  <c r="V103" i="1"/>
  <c r="J103" i="23"/>
  <c r="V99" i="1"/>
  <c r="K99" i="23"/>
  <c r="V95" i="1"/>
  <c r="K95" i="23"/>
  <c r="V91" i="1"/>
  <c r="K91" i="23"/>
  <c r="V87" i="1"/>
  <c r="J87" i="23"/>
  <c r="V83" i="1"/>
  <c r="J83" i="23"/>
  <c r="V79" i="1"/>
  <c r="J79" i="23"/>
  <c r="V75" i="1"/>
  <c r="K75" i="23"/>
  <c r="V71" i="1"/>
  <c r="J71" i="23"/>
  <c r="V67" i="1"/>
  <c r="K67" i="23"/>
  <c r="V63" i="1"/>
  <c r="K63" i="23"/>
  <c r="V59" i="1"/>
  <c r="K59" i="23"/>
  <c r="V55" i="1"/>
  <c r="K55" i="23"/>
  <c r="V51" i="1"/>
  <c r="K51" i="23"/>
  <c r="V47" i="1"/>
  <c r="K47" i="23"/>
  <c r="V43" i="1"/>
  <c r="J43" i="23"/>
  <c r="V39" i="1"/>
  <c r="K39" i="23"/>
  <c r="V35" i="1"/>
  <c r="K35" i="23"/>
  <c r="V31" i="1"/>
  <c r="J31" i="23"/>
  <c r="V27" i="1"/>
  <c r="J27" i="23"/>
  <c r="V23" i="1"/>
  <c r="K23" i="23"/>
  <c r="V19" i="1"/>
  <c r="K19" i="23"/>
  <c r="V7" i="1"/>
  <c r="K7" i="23"/>
  <c r="V13" i="1"/>
  <c r="J13" i="23"/>
  <c r="V9" i="1"/>
  <c r="K9" i="23"/>
  <c r="V122" i="1"/>
  <c r="K122" i="23"/>
  <c r="V118" i="1"/>
  <c r="K118" i="23"/>
  <c r="V114" i="1"/>
  <c r="J114" i="23"/>
  <c r="V110" i="1"/>
  <c r="J110" i="23"/>
  <c r="V106" i="1"/>
  <c r="J106" i="23"/>
  <c r="V102" i="1"/>
  <c r="J102" i="23"/>
  <c r="V98" i="1"/>
  <c r="J98" i="23"/>
  <c r="V94" i="1"/>
  <c r="K94" i="23"/>
  <c r="V90" i="1"/>
  <c r="J90" i="23"/>
  <c r="V86" i="1"/>
  <c r="K86" i="23"/>
  <c r="V82" i="1"/>
  <c r="J82" i="23"/>
  <c r="V78" i="1"/>
  <c r="J78" i="23"/>
  <c r="V74" i="1"/>
  <c r="K74" i="23"/>
  <c r="V70" i="1"/>
  <c r="J70" i="23"/>
  <c r="V66" i="1"/>
  <c r="J66" i="23"/>
  <c r="V62" i="1"/>
  <c r="K62" i="23"/>
  <c r="V58" i="1"/>
  <c r="K58" i="23"/>
  <c r="V54" i="1"/>
  <c r="K54" i="23"/>
  <c r="V50" i="1"/>
  <c r="K50" i="23"/>
  <c r="V46" i="1"/>
  <c r="K46" i="23"/>
  <c r="V42" i="1"/>
  <c r="J42" i="23"/>
  <c r="V38" i="1"/>
  <c r="K38" i="23"/>
  <c r="V34" i="1"/>
  <c r="J34" i="23"/>
  <c r="V30" i="1"/>
  <c r="J30" i="23"/>
  <c r="V26" i="1"/>
  <c r="J26" i="23"/>
  <c r="V22" i="1"/>
  <c r="K22" i="23"/>
  <c r="V18" i="1"/>
  <c r="K18" i="23"/>
  <c r="V6" i="1"/>
  <c r="K6" i="23"/>
  <c r="V12" i="1"/>
  <c r="K12" i="23"/>
  <c r="V8" i="1"/>
  <c r="K8" i="23"/>
  <c r="V121" i="1"/>
  <c r="K121" i="23"/>
  <c r="V117" i="1"/>
  <c r="J117" i="23"/>
  <c r="V113" i="1"/>
  <c r="K113" i="23"/>
  <c r="V109" i="1"/>
  <c r="J109" i="23"/>
  <c r="V105" i="1"/>
  <c r="J105" i="23"/>
  <c r="V101" i="1"/>
  <c r="J101" i="23"/>
  <c r="V97" i="1"/>
  <c r="K97" i="23"/>
  <c r="V93" i="1"/>
  <c r="K93" i="23"/>
  <c r="V89" i="1"/>
  <c r="K89" i="23"/>
  <c r="V85" i="1"/>
  <c r="J85" i="23"/>
  <c r="V81" i="1"/>
  <c r="J81" i="23"/>
  <c r="V77" i="1"/>
  <c r="K77" i="23"/>
  <c r="V73" i="1"/>
  <c r="K73" i="23"/>
  <c r="V69" i="1"/>
  <c r="J69" i="23"/>
  <c r="V65" i="1"/>
  <c r="J65" i="23"/>
  <c r="V61" i="1"/>
  <c r="K61" i="23"/>
  <c r="V57" i="1"/>
  <c r="K57" i="23"/>
  <c r="V53" i="1"/>
  <c r="K53" i="23"/>
  <c r="V49" i="1"/>
  <c r="K49" i="23"/>
  <c r="V45" i="1"/>
  <c r="J45" i="23"/>
  <c r="V41" i="1"/>
  <c r="J41" i="23"/>
  <c r="V37" i="1"/>
  <c r="K37" i="23"/>
  <c r="V33" i="1"/>
  <c r="J33" i="23"/>
  <c r="V29" i="1"/>
  <c r="J29" i="23"/>
  <c r="V25" i="1"/>
  <c r="J25" i="23"/>
  <c r="V21" i="1"/>
  <c r="J21" i="23"/>
  <c r="V17" i="1"/>
  <c r="K17" i="23"/>
  <c r="V15" i="1"/>
  <c r="J15" i="23"/>
  <c r="V11" i="1"/>
  <c r="J11" i="23"/>
  <c r="V124" i="1"/>
  <c r="K124" i="23"/>
  <c r="V120" i="1"/>
  <c r="K120" i="23"/>
  <c r="V116" i="1"/>
  <c r="K116" i="23"/>
  <c r="V112" i="1"/>
  <c r="J112" i="23"/>
  <c r="V108" i="1"/>
  <c r="J108" i="23"/>
  <c r="V104" i="1"/>
  <c r="J104" i="23"/>
  <c r="V100" i="1"/>
  <c r="J100" i="23"/>
  <c r="V96" i="1"/>
  <c r="K96" i="23"/>
  <c r="V92" i="1"/>
  <c r="J92" i="23"/>
  <c r="V88" i="1"/>
  <c r="K88" i="23"/>
  <c r="V84" i="1"/>
  <c r="K84" i="23"/>
  <c r="V80" i="1"/>
  <c r="J80" i="23"/>
  <c r="V76" i="1"/>
  <c r="K76" i="23"/>
  <c r="V72" i="1"/>
  <c r="J72" i="23"/>
  <c r="V68" i="1"/>
  <c r="K68" i="23"/>
  <c r="V64" i="1"/>
  <c r="J64" i="23"/>
  <c r="V60" i="1"/>
  <c r="J60" i="23"/>
  <c r="V56" i="1"/>
  <c r="K56" i="23"/>
  <c r="V52" i="1"/>
  <c r="K52" i="23"/>
  <c r="V48" i="1"/>
  <c r="K48" i="23"/>
  <c r="V44" i="1"/>
  <c r="J44" i="23"/>
  <c r="V40" i="1"/>
  <c r="K40" i="23"/>
  <c r="V36" i="1"/>
  <c r="J36" i="23"/>
  <c r="V32" i="1"/>
  <c r="J32" i="23"/>
  <c r="V28" i="1"/>
  <c r="J28" i="23"/>
  <c r="V24" i="1"/>
  <c r="K24" i="23"/>
  <c r="V20" i="1"/>
  <c r="K20" i="23"/>
  <c r="V16" i="1"/>
  <c r="K16" i="23"/>
  <c r="W5" i="1"/>
  <c r="Y5" i="1" s="1"/>
  <c r="J14" i="1"/>
  <c r="W14" i="1"/>
  <c r="Y14" i="1" s="1"/>
  <c r="W10" i="1"/>
  <c r="Y10" i="1" s="1"/>
  <c r="K123" i="1"/>
  <c r="W123" i="1"/>
  <c r="J119" i="1"/>
  <c r="W119" i="1"/>
  <c r="Y119" i="1" s="1"/>
  <c r="J115" i="1"/>
  <c r="W115" i="1"/>
  <c r="Y115" i="1" s="1"/>
  <c r="J111" i="1"/>
  <c r="W111" i="1"/>
  <c r="Y111" i="1" s="1"/>
  <c r="J107" i="1"/>
  <c r="W107" i="1"/>
  <c r="Y107" i="1" s="1"/>
  <c r="J103" i="1"/>
  <c r="W103" i="1"/>
  <c r="Y103" i="1" s="1"/>
  <c r="K99" i="1"/>
  <c r="W99" i="1"/>
  <c r="K95" i="1"/>
  <c r="W95" i="1"/>
  <c r="K91" i="1"/>
  <c r="W91" i="1"/>
  <c r="J87" i="1"/>
  <c r="W87" i="1"/>
  <c r="Y87" i="1" s="1"/>
  <c r="J83" i="1"/>
  <c r="W83" i="1"/>
  <c r="Y83" i="1" s="1"/>
  <c r="J79" i="1"/>
  <c r="W79" i="1"/>
  <c r="Y79" i="1" s="1"/>
  <c r="K75" i="1"/>
  <c r="W75" i="1"/>
  <c r="J71" i="1"/>
  <c r="W71" i="1"/>
  <c r="Y71" i="1" s="1"/>
  <c r="K67" i="1"/>
  <c r="W67" i="1"/>
  <c r="K63" i="1"/>
  <c r="W63" i="1"/>
  <c r="K59" i="1"/>
  <c r="W59" i="1"/>
  <c r="K55" i="1"/>
  <c r="W55" i="1"/>
  <c r="K51" i="1"/>
  <c r="W51" i="1"/>
  <c r="K47" i="1"/>
  <c r="W47" i="1"/>
  <c r="J43" i="1"/>
  <c r="W43" i="1"/>
  <c r="Y43" i="1" s="1"/>
  <c r="K39" i="1"/>
  <c r="W39" i="1"/>
  <c r="K35" i="1"/>
  <c r="W35" i="1"/>
  <c r="J31" i="1"/>
  <c r="W31" i="1"/>
  <c r="Y31" i="1" s="1"/>
  <c r="J27" i="1"/>
  <c r="W27" i="1"/>
  <c r="Y27" i="1" s="1"/>
  <c r="K23" i="1"/>
  <c r="W23" i="1"/>
  <c r="K19" i="1"/>
  <c r="W19" i="1"/>
  <c r="W7" i="1"/>
  <c r="J13" i="1"/>
  <c r="W13" i="1"/>
  <c r="Y13" i="1" s="1"/>
  <c r="K9" i="1"/>
  <c r="W9" i="1"/>
  <c r="K122" i="1"/>
  <c r="W122" i="1"/>
  <c r="K118" i="1"/>
  <c r="W118" i="1"/>
  <c r="J114" i="1"/>
  <c r="W114" i="1"/>
  <c r="Y114" i="1" s="1"/>
  <c r="J110" i="1"/>
  <c r="W110" i="1"/>
  <c r="Y110" i="1" s="1"/>
  <c r="J106" i="1"/>
  <c r="W106" i="1"/>
  <c r="Y106" i="1" s="1"/>
  <c r="J102" i="1"/>
  <c r="W102" i="1"/>
  <c r="Y102" i="1" s="1"/>
  <c r="J98" i="1"/>
  <c r="W98" i="1"/>
  <c r="Y98" i="1" s="1"/>
  <c r="K94" i="1"/>
  <c r="W94" i="1"/>
  <c r="J90" i="1"/>
  <c r="W90" i="1"/>
  <c r="Y90" i="1" s="1"/>
  <c r="K86" i="1"/>
  <c r="W86" i="1"/>
  <c r="J82" i="1"/>
  <c r="W82" i="1"/>
  <c r="Y82" i="1" s="1"/>
  <c r="J78" i="1"/>
  <c r="W78" i="1"/>
  <c r="Y78" i="1" s="1"/>
  <c r="K74" i="1"/>
  <c r="W74" i="1"/>
  <c r="J70" i="1"/>
  <c r="W70" i="1"/>
  <c r="Y70" i="1" s="1"/>
  <c r="J66" i="1"/>
  <c r="W66" i="1"/>
  <c r="Y66" i="1" s="1"/>
  <c r="K62" i="1"/>
  <c r="W62" i="1"/>
  <c r="K58" i="1"/>
  <c r="W58" i="1"/>
  <c r="K54" i="1"/>
  <c r="W54" i="1"/>
  <c r="K50" i="1"/>
  <c r="W50" i="1"/>
  <c r="K46" i="1"/>
  <c r="W46" i="1"/>
  <c r="J42" i="1"/>
  <c r="W42" i="1"/>
  <c r="Y42" i="1" s="1"/>
  <c r="K38" i="1"/>
  <c r="W38" i="1"/>
  <c r="J34" i="1"/>
  <c r="W34" i="1"/>
  <c r="Y34" i="1" s="1"/>
  <c r="J30" i="1"/>
  <c r="W30" i="1"/>
  <c r="Y30" i="1" s="1"/>
  <c r="J26" i="1"/>
  <c r="W26" i="1"/>
  <c r="Y26" i="1" s="1"/>
  <c r="K22" i="1"/>
  <c r="W22" i="1"/>
  <c r="K18" i="1"/>
  <c r="W18" i="1"/>
  <c r="K6" i="1"/>
  <c r="W6" i="1"/>
  <c r="W12" i="1"/>
  <c r="W8" i="1"/>
  <c r="K121" i="1"/>
  <c r="W121" i="1"/>
  <c r="J117" i="1"/>
  <c r="W117" i="1"/>
  <c r="Y117" i="1" s="1"/>
  <c r="K113" i="1"/>
  <c r="W113" i="1"/>
  <c r="J109" i="1"/>
  <c r="W109" i="1"/>
  <c r="Y109" i="1" s="1"/>
  <c r="J105" i="1"/>
  <c r="W105" i="1"/>
  <c r="Y105" i="1" s="1"/>
  <c r="J101" i="1"/>
  <c r="W101" i="1"/>
  <c r="Y101" i="1" s="1"/>
  <c r="K97" i="1"/>
  <c r="W97" i="1"/>
  <c r="K93" i="1"/>
  <c r="W93" i="1"/>
  <c r="K89" i="1"/>
  <c r="W89" i="1"/>
  <c r="J85" i="1"/>
  <c r="W85" i="1"/>
  <c r="Y85" i="1" s="1"/>
  <c r="J81" i="1"/>
  <c r="W81" i="1"/>
  <c r="Y81" i="1" s="1"/>
  <c r="K77" i="1"/>
  <c r="W77" i="1"/>
  <c r="K73" i="1"/>
  <c r="W73" i="1"/>
  <c r="J69" i="1"/>
  <c r="W69" i="1"/>
  <c r="Y69" i="1" s="1"/>
  <c r="J65" i="1"/>
  <c r="W65" i="1"/>
  <c r="Y65" i="1" s="1"/>
  <c r="K61" i="1"/>
  <c r="W61" i="1"/>
  <c r="K57" i="1"/>
  <c r="W57" i="1"/>
  <c r="K53" i="1"/>
  <c r="W53" i="1"/>
  <c r="K49" i="1"/>
  <c r="W49" i="1"/>
  <c r="J45" i="1"/>
  <c r="W45" i="1"/>
  <c r="Y45" i="1" s="1"/>
  <c r="J41" i="1"/>
  <c r="W41" i="1"/>
  <c r="Y41" i="1" s="1"/>
  <c r="K37" i="1"/>
  <c r="W37" i="1"/>
  <c r="J33" i="1"/>
  <c r="W33" i="1"/>
  <c r="Y33" i="1" s="1"/>
  <c r="J29" i="1"/>
  <c r="W29" i="1"/>
  <c r="Y29" i="1" s="1"/>
  <c r="J25" i="1"/>
  <c r="W25" i="1"/>
  <c r="Y25" i="1" s="1"/>
  <c r="J21" i="1"/>
  <c r="W21" i="1"/>
  <c r="Y21" i="1" s="1"/>
  <c r="K17" i="1"/>
  <c r="W17" i="1"/>
  <c r="J15" i="1"/>
  <c r="W15" i="1"/>
  <c r="Y15" i="1" s="1"/>
  <c r="J11" i="1"/>
  <c r="W11" i="1"/>
  <c r="Y11" i="1" s="1"/>
  <c r="K124" i="1"/>
  <c r="W124" i="1"/>
  <c r="K120" i="1"/>
  <c r="W120" i="1"/>
  <c r="K116" i="1"/>
  <c r="W116" i="1"/>
  <c r="J112" i="1"/>
  <c r="W112" i="1"/>
  <c r="Y112" i="1" s="1"/>
  <c r="J108" i="1"/>
  <c r="W108" i="1"/>
  <c r="Y108" i="1" s="1"/>
  <c r="J104" i="1"/>
  <c r="W104" i="1"/>
  <c r="Y104" i="1" s="1"/>
  <c r="J100" i="1"/>
  <c r="W100" i="1"/>
  <c r="Y100" i="1" s="1"/>
  <c r="K96" i="1"/>
  <c r="W96" i="1"/>
  <c r="J92" i="1"/>
  <c r="W92" i="1"/>
  <c r="Y92" i="1" s="1"/>
  <c r="K88" i="1"/>
  <c r="W88" i="1"/>
  <c r="K84" i="1"/>
  <c r="W84" i="1"/>
  <c r="J80" i="1"/>
  <c r="W80" i="1"/>
  <c r="Y80" i="1" s="1"/>
  <c r="K76" i="1"/>
  <c r="W76" i="1"/>
  <c r="J72" i="1"/>
  <c r="W72" i="1"/>
  <c r="Y72" i="1" s="1"/>
  <c r="K68" i="1"/>
  <c r="W68" i="1"/>
  <c r="J64" i="1"/>
  <c r="W64" i="1"/>
  <c r="Y64" i="1" s="1"/>
  <c r="J60" i="1"/>
  <c r="W60" i="1"/>
  <c r="Y60" i="1" s="1"/>
  <c r="K56" i="1"/>
  <c r="W56" i="1"/>
  <c r="K52" i="1"/>
  <c r="W52" i="1"/>
  <c r="K48" i="1"/>
  <c r="W48" i="1"/>
  <c r="J44" i="1"/>
  <c r="W44" i="1"/>
  <c r="Y44" i="1" s="1"/>
  <c r="K40" i="1"/>
  <c r="W40" i="1"/>
  <c r="J36" i="1"/>
  <c r="W36" i="1"/>
  <c r="Y36" i="1" s="1"/>
  <c r="J32" i="1"/>
  <c r="W32" i="1"/>
  <c r="Y32" i="1" s="1"/>
  <c r="J28" i="1"/>
  <c r="W28" i="1"/>
  <c r="Y28" i="1" s="1"/>
  <c r="K24" i="1"/>
  <c r="W24" i="1"/>
  <c r="K20" i="1"/>
  <c r="W20" i="1"/>
  <c r="K16" i="1"/>
  <c r="W16" i="1"/>
  <c r="I66" i="16" l="1"/>
  <c r="J66" i="16" s="1"/>
  <c r="K73" i="16"/>
  <c r="F5" i="9"/>
  <c r="F9" i="9"/>
  <c r="F13" i="9"/>
  <c r="F17" i="9"/>
  <c r="F21" i="9"/>
  <c r="F12" i="9"/>
  <c r="F6" i="9"/>
  <c r="F10" i="9"/>
  <c r="F14" i="9"/>
  <c r="F18" i="9"/>
  <c r="F22" i="9"/>
  <c r="F8" i="9"/>
  <c r="F20" i="9"/>
  <c r="F7" i="9"/>
  <c r="F11" i="9"/>
  <c r="F15" i="9"/>
  <c r="F19" i="9"/>
  <c r="F4" i="9"/>
  <c r="F16" i="9"/>
  <c r="E5" i="9"/>
  <c r="E9" i="9"/>
  <c r="E13" i="9"/>
  <c r="E17" i="9"/>
  <c r="E21" i="9"/>
  <c r="E8" i="9"/>
  <c r="E12" i="9"/>
  <c r="E6" i="9"/>
  <c r="E10" i="9"/>
  <c r="E14" i="9"/>
  <c r="E18" i="9"/>
  <c r="E16" i="9"/>
  <c r="E7" i="9"/>
  <c r="E11" i="9"/>
  <c r="E15" i="9"/>
  <c r="E19" i="9"/>
  <c r="E4" i="9"/>
  <c r="E20" i="9"/>
  <c r="X40" i="1"/>
  <c r="Y40" i="1"/>
  <c r="X88" i="1"/>
  <c r="Y88" i="1"/>
  <c r="X96" i="1"/>
  <c r="Y96" i="1"/>
  <c r="X120" i="1"/>
  <c r="Y120" i="1"/>
  <c r="X17" i="1"/>
  <c r="Y17" i="1"/>
  <c r="X49" i="1"/>
  <c r="Y49" i="1"/>
  <c r="X57" i="1"/>
  <c r="Y57" i="1"/>
  <c r="X73" i="1"/>
  <c r="Y73" i="1"/>
  <c r="X89" i="1"/>
  <c r="Y89" i="1"/>
  <c r="X97" i="1"/>
  <c r="Y97" i="1"/>
  <c r="X113" i="1"/>
  <c r="Y113" i="1"/>
  <c r="X121" i="1"/>
  <c r="Y121" i="1"/>
  <c r="X12" i="1"/>
  <c r="Y12" i="1"/>
  <c r="X18" i="1"/>
  <c r="Y18" i="1"/>
  <c r="X50" i="1"/>
  <c r="Y50" i="1"/>
  <c r="X58" i="1"/>
  <c r="Y58" i="1"/>
  <c r="X74" i="1"/>
  <c r="Y74" i="1"/>
  <c r="X122" i="1"/>
  <c r="Y122" i="1"/>
  <c r="X19" i="1"/>
  <c r="Y19" i="1"/>
  <c r="X35" i="1"/>
  <c r="Y35" i="1"/>
  <c r="X51" i="1"/>
  <c r="Y51" i="1"/>
  <c r="X59" i="1"/>
  <c r="Y59" i="1"/>
  <c r="X67" i="1"/>
  <c r="Y67" i="1"/>
  <c r="X75" i="1"/>
  <c r="Y75" i="1"/>
  <c r="X91" i="1"/>
  <c r="Y91" i="1"/>
  <c r="X99" i="1"/>
  <c r="Y99" i="1"/>
  <c r="X123" i="1"/>
  <c r="Y123" i="1"/>
  <c r="X16" i="1"/>
  <c r="Y16" i="1"/>
  <c r="X48" i="1"/>
  <c r="Y48" i="1"/>
  <c r="X20" i="1"/>
  <c r="Y20" i="1"/>
  <c r="X52" i="1"/>
  <c r="Y52" i="1"/>
  <c r="X68" i="1"/>
  <c r="Y68" i="1"/>
  <c r="X76" i="1"/>
  <c r="Y76" i="1"/>
  <c r="X84" i="1"/>
  <c r="Y84" i="1"/>
  <c r="X116" i="1"/>
  <c r="Y116" i="1"/>
  <c r="X124" i="1"/>
  <c r="Y124" i="1"/>
  <c r="X37" i="1"/>
  <c r="Y37" i="1"/>
  <c r="X53" i="1"/>
  <c r="Y53" i="1"/>
  <c r="X61" i="1"/>
  <c r="Y61" i="1"/>
  <c r="X77" i="1"/>
  <c r="Y77" i="1"/>
  <c r="X93" i="1"/>
  <c r="Y93" i="1"/>
  <c r="X8" i="1"/>
  <c r="Y8" i="1"/>
  <c r="X6" i="1"/>
  <c r="Y6" i="1"/>
  <c r="X22" i="1"/>
  <c r="Y22" i="1"/>
  <c r="X38" i="1"/>
  <c r="Y38" i="1"/>
  <c r="X46" i="1"/>
  <c r="Y46" i="1"/>
  <c r="X54" i="1"/>
  <c r="Y54" i="1"/>
  <c r="X62" i="1"/>
  <c r="Y62" i="1"/>
  <c r="X86" i="1"/>
  <c r="Y86" i="1"/>
  <c r="X94" i="1"/>
  <c r="Y94" i="1"/>
  <c r="X118" i="1"/>
  <c r="Y118" i="1"/>
  <c r="X9" i="1"/>
  <c r="Y9" i="1"/>
  <c r="X7" i="1"/>
  <c r="Y7" i="1"/>
  <c r="X23" i="1"/>
  <c r="Y23" i="1"/>
  <c r="X39" i="1"/>
  <c r="Y39" i="1"/>
  <c r="X47" i="1"/>
  <c r="Y47" i="1"/>
  <c r="X55" i="1"/>
  <c r="Y55" i="1"/>
  <c r="X63" i="1"/>
  <c r="Y63" i="1"/>
  <c r="X95" i="1"/>
  <c r="Y95" i="1"/>
  <c r="X24" i="1"/>
  <c r="Y24" i="1"/>
  <c r="X56" i="1"/>
  <c r="Y56" i="1"/>
  <c r="I67" i="16" l="1"/>
  <c r="J67" i="16" s="1"/>
  <c r="L73" i="16"/>
  <c r="E24" i="9"/>
  <c r="E23" i="9"/>
  <c r="F24" i="9"/>
  <c r="F23" i="9"/>
  <c r="I68" i="16" l="1"/>
  <c r="J68" i="16" s="1"/>
  <c r="M73" i="16"/>
  <c r="I69" i="16" l="1"/>
  <c r="J69" i="16" s="1"/>
  <c r="N73" i="16"/>
  <c r="I70" i="16" l="1"/>
  <c r="J70" i="16" s="1"/>
  <c r="O73" i="16"/>
  <c r="I71" i="16" l="1"/>
  <c r="P73" i="16"/>
  <c r="J71" i="16" l="1"/>
  <c r="Q73"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6" authorId="0" shapeId="0" xr:uid="{A3D7FC28-1655-6F4A-8392-C35DD6DC6C31}">
      <text>
        <r>
          <rPr>
            <b/>
            <sz val="10"/>
            <color rgb="FF000000"/>
            <rFont val="Tahoma"/>
            <family val="2"/>
          </rPr>
          <t>Microsoft Office User:</t>
        </r>
        <r>
          <rPr>
            <sz val="10"/>
            <color rgb="FF000000"/>
            <rFont val="Tahoma"/>
            <family val="2"/>
          </rPr>
          <t xml:space="preserve">
</t>
        </r>
        <r>
          <rPr>
            <sz val="10"/>
            <color rgb="FF000000"/>
            <rFont val="Tahoma"/>
            <family val="2"/>
          </rPr>
          <t xml:space="preserve">Price on Kurs USD (25/05/23)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16AD0A84-FFC4-4540-A0D9-89374A052840}">
      <text>
        <r>
          <rPr>
            <b/>
            <sz val="10"/>
            <color rgb="FF000000"/>
            <rFont val="Tahoma"/>
            <family val="2"/>
          </rPr>
          <t>Microsoft Office User:</t>
        </r>
        <r>
          <rPr>
            <sz val="10"/>
            <color rgb="FF000000"/>
            <rFont val="Tahoma"/>
            <family val="2"/>
          </rPr>
          <t xml:space="preserve">
</t>
        </r>
        <r>
          <rPr>
            <sz val="10"/>
            <color rgb="FF000000"/>
            <rFont val="Tahoma"/>
            <family val="2"/>
          </rPr>
          <t xml:space="preserve">Jika quantity lebih dari 8 pcs maka 3% </t>
        </r>
      </text>
    </comment>
  </commentList>
</comments>
</file>

<file path=xl/sharedStrings.xml><?xml version="1.0" encoding="utf-8"?>
<sst xmlns="http://schemas.openxmlformats.org/spreadsheetml/2006/main" count="10419" uniqueCount="1320">
  <si>
    <t>Order Date</t>
  </si>
  <si>
    <t>Order ID</t>
  </si>
  <si>
    <t xml:space="preserve">Contact Center Service Excellence (CCSEI) 2023 " Mostly Happier Customer" </t>
  </si>
  <si>
    <t>Full Name</t>
  </si>
  <si>
    <t>Birth of Date</t>
  </si>
  <si>
    <t>Gender</t>
  </si>
  <si>
    <t>Status</t>
  </si>
  <si>
    <t>Origin Airport</t>
  </si>
  <si>
    <t>Destination Aiport</t>
  </si>
  <si>
    <t>Departure Date</t>
  </si>
  <si>
    <t>Departure Time</t>
  </si>
  <si>
    <t>Arrival Date</t>
  </si>
  <si>
    <t>Arrival Time</t>
  </si>
  <si>
    <t>Booking Code</t>
  </si>
  <si>
    <t>Airline</t>
  </si>
  <si>
    <t>Refund Guarantee</t>
  </si>
  <si>
    <t>Payment Description</t>
  </si>
  <si>
    <t>Type of Flight</t>
  </si>
  <si>
    <t>1/13/23</t>
  </si>
  <si>
    <t>01/13/23</t>
  </si>
  <si>
    <t>1/14/23</t>
  </si>
  <si>
    <t>1/15/23</t>
  </si>
  <si>
    <t>1/16/23</t>
  </si>
  <si>
    <t>1/17/23</t>
  </si>
  <si>
    <t>1/18/23</t>
  </si>
  <si>
    <t>1/19/23</t>
  </si>
  <si>
    <t>1/20/23</t>
  </si>
  <si>
    <t>1/21/23</t>
  </si>
  <si>
    <t>1/22/23</t>
  </si>
  <si>
    <t>1/23/23</t>
  </si>
  <si>
    <t>1/24/23</t>
  </si>
  <si>
    <t>1/25/23</t>
  </si>
  <si>
    <t>2/22/23</t>
  </si>
  <si>
    <t>2/18/23</t>
  </si>
  <si>
    <t>2/19/23</t>
  </si>
  <si>
    <t>2/20/23</t>
  </si>
  <si>
    <t>2/21/23</t>
  </si>
  <si>
    <t>2/23/23</t>
  </si>
  <si>
    <t>2/24/23</t>
  </si>
  <si>
    <t>2/25/23</t>
  </si>
  <si>
    <t>2/26/23</t>
  </si>
  <si>
    <t>2/27/23</t>
  </si>
  <si>
    <t>Clairine Ariane</t>
  </si>
  <si>
    <t xml:space="preserve">August Shaaban </t>
  </si>
  <si>
    <t>Abraruz Gumma</t>
  </si>
  <si>
    <t>Aaron Carlos</t>
  </si>
  <si>
    <t>Edison Edelard Ronaldus</t>
  </si>
  <si>
    <t>Diandra Citranti Deva</t>
  </si>
  <si>
    <t>Clarabella Marcia Maisieany</t>
  </si>
  <si>
    <t>Donelia Deva Sashikirana</t>
  </si>
  <si>
    <t>Edison Aderlard Wijaya</t>
  </si>
  <si>
    <t>Elden Alcane</t>
  </si>
  <si>
    <t>Eileen Audrey Avisa</t>
  </si>
  <si>
    <t xml:space="preserve">Farrah Fillia Bernardina </t>
  </si>
  <si>
    <t>Gamaliel Angelo</t>
  </si>
  <si>
    <t>Jeanella Yachne Seera</t>
  </si>
  <si>
    <t>Myesha Zuhaira</t>
  </si>
  <si>
    <t>Quenna Zaafarana Zaviera</t>
  </si>
  <si>
    <t>Raphael Agustin</t>
  </si>
  <si>
    <t>Meinanda Aqila</t>
  </si>
  <si>
    <t>Nathaniel Agam Bonjabi</t>
  </si>
  <si>
    <t>Quesha Sarah Widjayatno</t>
  </si>
  <si>
    <t>Martin Azahrad Valentiano</t>
  </si>
  <si>
    <t>Anita Rozquestela Marciandy</t>
  </si>
  <si>
    <t>Beverly Sugiantno Wiradjaja</t>
  </si>
  <si>
    <t>Justin Michael Emeraldo</t>
  </si>
  <si>
    <t>Anne Laura Edison</t>
  </si>
  <si>
    <t>Myesha Sihombing</t>
  </si>
  <si>
    <t>Adeline Meitha</t>
  </si>
  <si>
    <t>Putri Salma Inti</t>
  </si>
  <si>
    <t>Rafael Tan Wijaya</t>
  </si>
  <si>
    <t>Pytha Travis Meviz</t>
  </si>
  <si>
    <t>Saphira Mawar Winadi</t>
  </si>
  <si>
    <t>Sean Laura Edelyn</t>
  </si>
  <si>
    <t xml:space="preserve">Jennifer Savira </t>
  </si>
  <si>
    <t>Raissa Zeviw</t>
  </si>
  <si>
    <t>Nadia Sarah Jayadi</t>
  </si>
  <si>
    <t>Michael Harvey Tan</t>
  </si>
  <si>
    <t>Andreas Wijaya Lukita</t>
  </si>
  <si>
    <t>Widya Michael Sofiany</t>
  </si>
  <si>
    <t>Selena Swift Widodo</t>
  </si>
  <si>
    <t>Putri Selena Utama</t>
  </si>
  <si>
    <t>Harry Anderson</t>
  </si>
  <si>
    <t>Jimmy Michael Peter</t>
  </si>
  <si>
    <t>Sammy Sihombing Hutagalung</t>
  </si>
  <si>
    <t>Andin Dini Kusuma</t>
  </si>
  <si>
    <t>Metha Viviane</t>
  </si>
  <si>
    <t>Justin Alfredo</t>
  </si>
  <si>
    <t xml:space="preserve">Nicholas Agustino </t>
  </si>
  <si>
    <t>Chalvin Nashua Peterman</t>
  </si>
  <si>
    <t>Felicia Kusuma Widyotama</t>
  </si>
  <si>
    <t>Michael Anderson Stevenly</t>
  </si>
  <si>
    <t>Agustino Cristianaldo</t>
  </si>
  <si>
    <t>Aldo Alex Kusuma</t>
  </si>
  <si>
    <t xml:space="preserve">William Usman </t>
  </si>
  <si>
    <t>Yuda Vino Baustista</t>
  </si>
  <si>
    <t>Wulandari Septiansyah</t>
  </si>
  <si>
    <t>Esmeralda Tika Kusuma</t>
  </si>
  <si>
    <t>Tristan Toni Tobing</t>
  </si>
  <si>
    <t>Salsa Hasanuddin Kusomo</t>
  </si>
  <si>
    <t>Samuel Andreas Michael</t>
  </si>
  <si>
    <t>Paul Scott Anderson</t>
  </si>
  <si>
    <t>Vinny Cynthia Lpusina</t>
  </si>
  <si>
    <t>Philip Edward Martin</t>
  </si>
  <si>
    <t>Sari Siregar Verianty</t>
  </si>
  <si>
    <t>Vanessa Elmatiana Putri</t>
  </si>
  <si>
    <t>Joe Steven Wangsa</t>
  </si>
  <si>
    <t>Tan Hook She</t>
  </si>
  <si>
    <t>Christofher Rafa Liem</t>
  </si>
  <si>
    <t>Helmi Hidayat Rasyid</t>
  </si>
  <si>
    <t>Idris Jamaluddin</t>
  </si>
  <si>
    <t>Irfan Haikal Fikri</t>
  </si>
  <si>
    <t>Hamdani Ainun Kosasih</t>
  </si>
  <si>
    <t>Haris Luthfi Yahya</t>
  </si>
  <si>
    <t>Abimanyu Abbas Hardim</t>
  </si>
  <si>
    <t>Sri Ratih Indah</t>
  </si>
  <si>
    <t>Adeline Diany Putri</t>
  </si>
  <si>
    <t>Lady Marcia Anne</t>
  </si>
  <si>
    <t>Retno Tika Utami</t>
  </si>
  <si>
    <t>Marcella Beverly Park Eun</t>
  </si>
  <si>
    <t>Lestari Suci Endang Kusuma</t>
  </si>
  <si>
    <t>Meghan Catrine Witney</t>
  </si>
  <si>
    <t>Marieh Houston Stevenly</t>
  </si>
  <si>
    <t>James Leonard</t>
  </si>
  <si>
    <t>Ben Bastian Budi</t>
  </si>
  <si>
    <t>Bayu Muhammad Rinaldy</t>
  </si>
  <si>
    <t>Rivaldo Dimas Bagus</t>
  </si>
  <si>
    <t>Chika Amelia Putri</t>
  </si>
  <si>
    <t>Nadya Amelia Dewi Kusuma</t>
  </si>
  <si>
    <t>Raissa Februariana Abbas Nasution</t>
  </si>
  <si>
    <t xml:space="preserve">Annisa Fajar Utama </t>
  </si>
  <si>
    <t>Hadi Kusumaningrum</t>
  </si>
  <si>
    <t>Abbas Bayu Putra</t>
  </si>
  <si>
    <t>Emily Olivia Eva</t>
  </si>
  <si>
    <t>Sophina Stevanie Lily</t>
  </si>
  <si>
    <t>Oiiver Jackson Issander</t>
  </si>
  <si>
    <t>Joshua Muhammad Noah</t>
  </si>
  <si>
    <t>Charles Jacob William</t>
  </si>
  <si>
    <t>Lily Peony Isabella</t>
  </si>
  <si>
    <t>Marry Christine Chloe</t>
  </si>
  <si>
    <t>Rossa Setiana Dewi</t>
  </si>
  <si>
    <t>Ellea Lyra Tia</t>
  </si>
  <si>
    <t>Robbinson Ignatius Gary</t>
  </si>
  <si>
    <t>Greek Philip Yordan</t>
  </si>
  <si>
    <t>Sofia Belvaria Sirajuddin</t>
  </si>
  <si>
    <t>Christiana Lady Diana</t>
  </si>
  <si>
    <t>Elisabeth Christy Dian</t>
  </si>
  <si>
    <t>Frank Valentino</t>
  </si>
  <si>
    <t>George David Suhendy</t>
  </si>
  <si>
    <t>Emanuella Julia Bebena</t>
  </si>
  <si>
    <t>Shanti Natalia April</t>
  </si>
  <si>
    <t>Sandra Putri Marselyna</t>
  </si>
  <si>
    <t>Abdul Salim Goddard</t>
  </si>
  <si>
    <t>Elma Mawar Lalita</t>
  </si>
  <si>
    <t>Vidy Verania Yusman</t>
  </si>
  <si>
    <t>Wishu Agus Ryan</t>
  </si>
  <si>
    <t>Samimora Aurora Putri</t>
  </si>
  <si>
    <t>Isabella Christina Sihombing</t>
  </si>
  <si>
    <t>Johanes Matius Benardy</t>
  </si>
  <si>
    <t>Maria Angel Shandi</t>
  </si>
  <si>
    <t>Pieters Mike Colbie</t>
  </si>
  <si>
    <t>Sammy Erwin Mohede</t>
  </si>
  <si>
    <t>F</t>
  </si>
  <si>
    <t>M</t>
  </si>
  <si>
    <t xml:space="preserve">Type of Flight </t>
  </si>
  <si>
    <t>07/22/95</t>
  </si>
  <si>
    <t>06/18/90</t>
  </si>
  <si>
    <t>04/13/91</t>
  </si>
  <si>
    <t>08/20/95</t>
  </si>
  <si>
    <t>08/27/98</t>
  </si>
  <si>
    <t>07/13/90</t>
  </si>
  <si>
    <t>03/29/65</t>
  </si>
  <si>
    <t>03/22/67</t>
  </si>
  <si>
    <t>04/25/88</t>
  </si>
  <si>
    <t>04/28/86</t>
  </si>
  <si>
    <t>10/23/99</t>
  </si>
  <si>
    <t>03/18/99</t>
  </si>
  <si>
    <t>05/27/83</t>
  </si>
  <si>
    <t>10/20/90</t>
  </si>
  <si>
    <t>09/22/87</t>
  </si>
  <si>
    <t>08/28/67</t>
  </si>
  <si>
    <t>01/30/98</t>
  </si>
  <si>
    <t>04/29/97</t>
  </si>
  <si>
    <t>03/22/90</t>
  </si>
  <si>
    <t>10/20/88</t>
  </si>
  <si>
    <t>11/28/85</t>
  </si>
  <si>
    <t>11/13/77</t>
  </si>
  <si>
    <t>10/13/99</t>
  </si>
  <si>
    <t>12/31/88</t>
  </si>
  <si>
    <t>12/28/90</t>
  </si>
  <si>
    <t>12/22/99</t>
  </si>
  <si>
    <t>01/13/66</t>
  </si>
  <si>
    <t>05/14/97</t>
  </si>
  <si>
    <t>07/28/99</t>
  </si>
  <si>
    <t>09/30/90</t>
  </si>
  <si>
    <t>12/22/97</t>
  </si>
  <si>
    <t>Confirmed</t>
  </si>
  <si>
    <t>Cancelled</t>
  </si>
  <si>
    <t>Domestic</t>
  </si>
  <si>
    <t>International</t>
  </si>
  <si>
    <t>Incheon International Aiport</t>
  </si>
  <si>
    <t>Narita Tokyo International Airport</t>
  </si>
  <si>
    <t>Destination Aiport (Domestic)</t>
  </si>
  <si>
    <t>Airlines</t>
  </si>
  <si>
    <t>Destination airport</t>
  </si>
  <si>
    <t>Zurich International Airport</t>
  </si>
  <si>
    <t>Osaka Japan International Airport</t>
  </si>
  <si>
    <t>Istanbul Turkey International Airport</t>
  </si>
  <si>
    <t>Charles De Gaulle Paris International Airport</t>
  </si>
  <si>
    <t>Adelaide International Airport</t>
  </si>
  <si>
    <t>ADL</t>
  </si>
  <si>
    <t>ICN</t>
  </si>
  <si>
    <t>NRT</t>
  </si>
  <si>
    <t>Schiphol International Airport</t>
  </si>
  <si>
    <t>AMS</t>
  </si>
  <si>
    <t>ZRH</t>
  </si>
  <si>
    <t>KIX</t>
  </si>
  <si>
    <t>IST</t>
  </si>
  <si>
    <t>CDG</t>
  </si>
  <si>
    <t>Capital International Airport</t>
  </si>
  <si>
    <t>PEK</t>
  </si>
  <si>
    <t>Kuala Lumpur International Airport</t>
  </si>
  <si>
    <t>KUL</t>
  </si>
  <si>
    <t>Suvarnabhumi International Airport</t>
  </si>
  <si>
    <t>BKK</t>
  </si>
  <si>
    <t>Da Nang International Airport</t>
  </si>
  <si>
    <t>DAD</t>
  </si>
  <si>
    <t>Darwin International Airport</t>
  </si>
  <si>
    <t>DRW</t>
  </si>
  <si>
    <t>Seri BegawanInternational Airport</t>
  </si>
  <si>
    <t>BWN</t>
  </si>
  <si>
    <t>El Prat Barcelona International Airport</t>
  </si>
  <si>
    <t>BCN</t>
  </si>
  <si>
    <t>Brisbane International Airport</t>
  </si>
  <si>
    <t>BNE</t>
  </si>
  <si>
    <t>Indira Gandhi International Airport</t>
  </si>
  <si>
    <t>DEL</t>
  </si>
  <si>
    <t>Baiyun International Airport</t>
  </si>
  <si>
    <t>CAN</t>
  </si>
  <si>
    <t>Frankfut German International Airport</t>
  </si>
  <si>
    <t>FRA</t>
  </si>
  <si>
    <t>Hanoi International Airport</t>
  </si>
  <si>
    <t>HAN</t>
  </si>
  <si>
    <t>Seattle International Airport</t>
  </si>
  <si>
    <t>SEA</t>
  </si>
  <si>
    <t>Vancouver International Airport</t>
  </si>
  <si>
    <t>YVR</t>
  </si>
  <si>
    <t>BDO</t>
  </si>
  <si>
    <t>KNO</t>
  </si>
  <si>
    <t>Kopenhagen International Airport</t>
  </si>
  <si>
    <t>CPH</t>
  </si>
  <si>
    <t>Ngurah Rai, Denpasar Bali</t>
  </si>
  <si>
    <t>DPS</t>
  </si>
  <si>
    <t>Kualanamu, Medan</t>
  </si>
  <si>
    <t>Juanda, Surabaya</t>
  </si>
  <si>
    <t>SUB</t>
  </si>
  <si>
    <t xml:space="preserve">Adisutjipto, DIY </t>
  </si>
  <si>
    <t>JOG</t>
  </si>
  <si>
    <t>Sultan Hasanuddin, Sulawesi Selatan</t>
  </si>
  <si>
    <t>UPG</t>
  </si>
  <si>
    <t>Hang Nadim, Kepulauan Riau</t>
  </si>
  <si>
    <t>BTH</t>
  </si>
  <si>
    <t>PLM</t>
  </si>
  <si>
    <t>Sultan Mahmud Badaruddin II, Palembang</t>
  </si>
  <si>
    <t>Jenderal Ahmad Yani, Semarang</t>
  </si>
  <si>
    <t>SRG</t>
  </si>
  <si>
    <t>Supadio, Pontianak</t>
  </si>
  <si>
    <t>PNK</t>
  </si>
  <si>
    <t>Zainuddin Abdul Madjid, Praya</t>
  </si>
  <si>
    <t>LOP</t>
  </si>
  <si>
    <t>Sultan Syarif Kasim II, Riau</t>
  </si>
  <si>
    <t>PKU</t>
  </si>
  <si>
    <t>Minangkabau, Padang</t>
  </si>
  <si>
    <t>PDG</t>
  </si>
  <si>
    <t>Husein Sastranegara, Bandung</t>
  </si>
  <si>
    <t>Syamsudin Noor, Banjarmasin</t>
  </si>
  <si>
    <t>BDJ</t>
  </si>
  <si>
    <t>Sam Ratulangi, Manado</t>
  </si>
  <si>
    <t>MDC</t>
  </si>
  <si>
    <t>Radin Inten II, Bandar Lampung</t>
  </si>
  <si>
    <t>TKG</t>
  </si>
  <si>
    <t>Sentani, Jayapura</t>
  </si>
  <si>
    <t>DJJ</t>
  </si>
  <si>
    <t>Adisumarno, Solo</t>
  </si>
  <si>
    <t>SOC</t>
  </si>
  <si>
    <t>Sultan Thaha, Jambi</t>
  </si>
  <si>
    <t>DJB</t>
  </si>
  <si>
    <t>Pattimura, Ambon</t>
  </si>
  <si>
    <t>AMQ</t>
  </si>
  <si>
    <t>Abdul Rachman Saleh, Malang</t>
  </si>
  <si>
    <t>MLG</t>
  </si>
  <si>
    <t>Sultan Iskanda Muda, Aceh</t>
  </si>
  <si>
    <t>BTJ</t>
  </si>
  <si>
    <t>Sultan Haji Muhammad Sulaiman, Balikpapan</t>
  </si>
  <si>
    <t>BPN</t>
  </si>
  <si>
    <t>Indonesia AirAsia</t>
  </si>
  <si>
    <t>Super Air Jet</t>
  </si>
  <si>
    <t>Sriwijaya Air</t>
  </si>
  <si>
    <t>NAM Air</t>
  </si>
  <si>
    <t xml:space="preserve">Airfast </t>
  </si>
  <si>
    <t>Batik Air</t>
  </si>
  <si>
    <t>Lion Air</t>
  </si>
  <si>
    <t>Garuda Indonesia</t>
  </si>
  <si>
    <t>Citilink</t>
  </si>
  <si>
    <t>Pelita Air</t>
  </si>
  <si>
    <t>Transnusa</t>
  </si>
  <si>
    <t>Singapore Airlines</t>
  </si>
  <si>
    <t xml:space="preserve">Emirates </t>
  </si>
  <si>
    <t>Qatar Airways</t>
  </si>
  <si>
    <t>All Nippon Airways</t>
  </si>
  <si>
    <t>Turkish Airlines</t>
  </si>
  <si>
    <t xml:space="preserve">Japan Airlines </t>
  </si>
  <si>
    <t>Saudia Airlines</t>
  </si>
  <si>
    <t>Air France Airlines</t>
  </si>
  <si>
    <t>Cathay Pacific Airlines</t>
  </si>
  <si>
    <t>Thai Airways International Airlines</t>
  </si>
  <si>
    <t>Malaysia Airlines</t>
  </si>
  <si>
    <t>FS</t>
  </si>
  <si>
    <t>ID</t>
  </si>
  <si>
    <t>QG</t>
  </si>
  <si>
    <t>SJ</t>
  </si>
  <si>
    <t>GA</t>
  </si>
  <si>
    <t>QZ</t>
  </si>
  <si>
    <t>8B</t>
  </si>
  <si>
    <t>IU</t>
  </si>
  <si>
    <t>IN</t>
  </si>
  <si>
    <t>JT</t>
  </si>
  <si>
    <t>IP</t>
  </si>
  <si>
    <t>SGX</t>
  </si>
  <si>
    <t>EK</t>
  </si>
  <si>
    <t>QR</t>
  </si>
  <si>
    <t>NH</t>
  </si>
  <si>
    <t>TRY</t>
  </si>
  <si>
    <t>JPY</t>
  </si>
  <si>
    <t>SV</t>
  </si>
  <si>
    <t>TAT</t>
  </si>
  <si>
    <t>CX</t>
  </si>
  <si>
    <t>TG</t>
  </si>
  <si>
    <t>MH</t>
  </si>
  <si>
    <t>KNO-101IU</t>
  </si>
  <si>
    <t>NRT-101SGX</t>
  </si>
  <si>
    <t>IST-103EK</t>
  </si>
  <si>
    <t>Airport Code</t>
  </si>
  <si>
    <t>Destination Airport (International)</t>
  </si>
  <si>
    <t>DPS-107SJ</t>
  </si>
  <si>
    <t>JOG-103IU</t>
  </si>
  <si>
    <t>DJB-101QG</t>
  </si>
  <si>
    <t>SUB-107FS</t>
  </si>
  <si>
    <t>PLM-102GA</t>
  </si>
  <si>
    <t>SUB-101JT</t>
  </si>
  <si>
    <t>PKU-105ID</t>
  </si>
  <si>
    <t>AMS-102SGX</t>
  </si>
  <si>
    <t>KIX-102JPY</t>
  </si>
  <si>
    <t>BTJ-104ID</t>
  </si>
  <si>
    <t>PNK-103GA</t>
  </si>
  <si>
    <t>DPS-102GA</t>
  </si>
  <si>
    <t>DPS-104QZ</t>
  </si>
  <si>
    <t>KNO-102GA</t>
  </si>
  <si>
    <t>SRG-105IP</t>
  </si>
  <si>
    <t>BTH-1038B</t>
  </si>
  <si>
    <t>UPG-106IN</t>
  </si>
  <si>
    <t>DJB-104JT</t>
  </si>
  <si>
    <t>PDG-104GA</t>
  </si>
  <si>
    <t>PDG-103IU</t>
  </si>
  <si>
    <t>DPS-106QZ</t>
  </si>
  <si>
    <t>DPS-103QZ</t>
  </si>
  <si>
    <t>AMQ-104JT</t>
  </si>
  <si>
    <t>SOC-105ID</t>
  </si>
  <si>
    <t>MLG-101SJ</t>
  </si>
  <si>
    <t>LOP-105IN</t>
  </si>
  <si>
    <t>PNK-107IP</t>
  </si>
  <si>
    <t>PNK-103QG</t>
  </si>
  <si>
    <t>BTJ-101GA</t>
  </si>
  <si>
    <t>DJJ-105QZ</t>
  </si>
  <si>
    <t>PLM-105JT</t>
  </si>
  <si>
    <t>JOG-106GA</t>
  </si>
  <si>
    <t>JOG-104ID</t>
  </si>
  <si>
    <t>LOP-101ID</t>
  </si>
  <si>
    <t>TKG-103ID</t>
  </si>
  <si>
    <t>ICN-104SGX</t>
  </si>
  <si>
    <t>NRT-103NH</t>
  </si>
  <si>
    <t>ICN-103JPY</t>
  </si>
  <si>
    <t>IST-106QR</t>
  </si>
  <si>
    <t>KUL-105MH</t>
  </si>
  <si>
    <t>DEL-101MH</t>
  </si>
  <si>
    <t>SEA-104TAT</t>
  </si>
  <si>
    <t>PEK-105CX</t>
  </si>
  <si>
    <t>BWN-107SGX</t>
  </si>
  <si>
    <t>DAD-104TG</t>
  </si>
  <si>
    <t>CAN-103SV</t>
  </si>
  <si>
    <t>DRW-104EK</t>
  </si>
  <si>
    <t>ADL-106EK</t>
  </si>
  <si>
    <t>IST-103TRY</t>
  </si>
  <si>
    <t>BKK-105TG</t>
  </si>
  <si>
    <t>BKK-106SGX</t>
  </si>
  <si>
    <t>HAN-104NH</t>
  </si>
  <si>
    <t>YVR-106CX</t>
  </si>
  <si>
    <t>CPH-101CX</t>
  </si>
  <si>
    <t>KUL-103SGX</t>
  </si>
  <si>
    <t>NRT-107SV</t>
  </si>
  <si>
    <t>KIX-104SV</t>
  </si>
  <si>
    <t>CAN-105TAT</t>
  </si>
  <si>
    <t>ZRH-102TRY</t>
  </si>
  <si>
    <t>BNE-105QR</t>
  </si>
  <si>
    <t>DRW-102EK</t>
  </si>
  <si>
    <t>AMS-105CX</t>
  </si>
  <si>
    <t>PEK-103MH</t>
  </si>
  <si>
    <t>FRA-106NH</t>
  </si>
  <si>
    <t>FRA-103TG</t>
  </si>
  <si>
    <t>BWN-102QR</t>
  </si>
  <si>
    <t>DPS-103FS</t>
  </si>
  <si>
    <t>AMQ-103FS</t>
  </si>
  <si>
    <t>YOY Sales Grafic</t>
  </si>
  <si>
    <t>Index Match (6)</t>
  </si>
  <si>
    <t>Payment Period (5)</t>
  </si>
  <si>
    <t>Sales Inventory Database (7)</t>
  </si>
  <si>
    <t>Excel Dashboard (PIVOT) (1 &amp; 8)</t>
  </si>
  <si>
    <t>Flight Schedulled</t>
  </si>
  <si>
    <t>Macro Excel (9)</t>
  </si>
  <si>
    <t>Remarks</t>
  </si>
  <si>
    <t>Revenue</t>
  </si>
  <si>
    <t>Analysis Table of Financial</t>
  </si>
  <si>
    <t xml:space="preserve">Scheduled airline service </t>
  </si>
  <si>
    <t>non-scheduled airline services</t>
  </si>
  <si>
    <t>others</t>
  </si>
  <si>
    <t>Operating Revenue</t>
  </si>
  <si>
    <t>Operating Expenses</t>
  </si>
  <si>
    <t>Flight operating expenses</t>
  </si>
  <si>
    <t>Maintenance and repairs expenses</t>
  </si>
  <si>
    <t>General and administrative expenses</t>
  </si>
  <si>
    <t>User charges and station expenses</t>
  </si>
  <si>
    <t>Description</t>
  </si>
  <si>
    <t>Ticketing, sales and promotion expenses</t>
  </si>
  <si>
    <t>Passenger services expenses</t>
  </si>
  <si>
    <t>Hotel operation expenses</t>
  </si>
  <si>
    <t>Transportation operations expenses</t>
  </si>
  <si>
    <t>Network operation expenses</t>
  </si>
  <si>
    <t>Total Passengers</t>
  </si>
  <si>
    <t>Flight Frequency</t>
  </si>
  <si>
    <t>OTP</t>
  </si>
  <si>
    <t>ASK</t>
  </si>
  <si>
    <t>RPK</t>
  </si>
  <si>
    <t>SLF (%)</t>
  </si>
  <si>
    <t>ATKC (million)</t>
  </si>
  <si>
    <t>ASK (million)</t>
  </si>
  <si>
    <t>RPK (million)</t>
  </si>
  <si>
    <t>RTKC (million)</t>
  </si>
  <si>
    <t>CLF (%)</t>
  </si>
  <si>
    <t>Aircraft utilization (hour)</t>
  </si>
  <si>
    <t>Flight frequency</t>
  </si>
  <si>
    <t>OTP (%)</t>
  </si>
  <si>
    <t>Fuel burn (million liter)</t>
  </si>
  <si>
    <t>Blockhours</t>
  </si>
  <si>
    <t>Passenger yield (Usc/liter)</t>
  </si>
  <si>
    <t>Cargo yield (Usc/kg)</t>
  </si>
  <si>
    <t>CASK (Usc)</t>
  </si>
  <si>
    <t>CASK-excl fuel (Usc)</t>
  </si>
  <si>
    <t>Fuel price (Usc/liter)</t>
  </si>
  <si>
    <t>Exchange Rate (USDIDR)</t>
  </si>
  <si>
    <t>Total Cargo (ton)</t>
  </si>
  <si>
    <t>Price</t>
  </si>
  <si>
    <t>Total Revenue</t>
  </si>
  <si>
    <t xml:space="preserve">Dictionary </t>
  </si>
  <si>
    <t>Available Seat Kilometers</t>
  </si>
  <si>
    <t>Revenue Passenger Kilometer</t>
  </si>
  <si>
    <t>CASK</t>
  </si>
  <si>
    <t>Cost per available seat KM</t>
  </si>
  <si>
    <t>SLF</t>
  </si>
  <si>
    <t>ATKC</t>
  </si>
  <si>
    <t>RTKC</t>
  </si>
  <si>
    <t>CLF</t>
  </si>
  <si>
    <t>Seat Load Factor</t>
  </si>
  <si>
    <t>Cargo Load Factor</t>
  </si>
  <si>
    <t>On Time Performance</t>
  </si>
  <si>
    <t>Available Cargo Tonne Kilometres</t>
  </si>
  <si>
    <t>Revenue Cargo Tonne Kilometres</t>
  </si>
  <si>
    <t>Expenses:</t>
  </si>
  <si>
    <t>Flight Operating Expenses</t>
  </si>
  <si>
    <t>Transportation operating expenses</t>
  </si>
  <si>
    <t>YOY</t>
  </si>
  <si>
    <t>YOY/Month</t>
  </si>
  <si>
    <t>Available seat per month</t>
  </si>
  <si>
    <t>Month</t>
  </si>
  <si>
    <t>Average Price</t>
  </si>
  <si>
    <t>On Demand (app)</t>
  </si>
  <si>
    <t>Net Income</t>
  </si>
  <si>
    <t>If financial breakeven, how many ticket sold?</t>
  </si>
  <si>
    <t>Operating Expenses:</t>
  </si>
  <si>
    <t>If want income USD500000, how many ticket sold?</t>
  </si>
  <si>
    <t>Goal Seek (2QC)</t>
  </si>
  <si>
    <t>Price/ticket</t>
  </si>
  <si>
    <t>Ticket Sold</t>
  </si>
  <si>
    <t xml:space="preserve">Total Sales </t>
  </si>
  <si>
    <t>Total Operating Cost</t>
  </si>
  <si>
    <t>Source: https://www.garuda-indonesia.com/content/dam/garuda/pdf/investor-relations/monthly-operating-data/INF_Dec2022.pdf</t>
  </si>
  <si>
    <t>Total Income</t>
  </si>
  <si>
    <t xml:space="preserve">Set scenario sales and income monthly operating indicatior if values (price) increased 3th 500 ticket sold? </t>
  </si>
  <si>
    <t>Show scenario summarize to total income (Q2)?</t>
  </si>
  <si>
    <t xml:space="preserve">Scenario Manager </t>
  </si>
  <si>
    <t xml:space="preserve">Estimated Table </t>
  </si>
  <si>
    <t>Quantity Ticket</t>
  </si>
  <si>
    <t>Data Table Combined (1)</t>
  </si>
  <si>
    <t>Data Table (Income 2)</t>
  </si>
  <si>
    <t xml:space="preserve">Departure Time </t>
  </si>
  <si>
    <t xml:space="preserve">Date </t>
  </si>
  <si>
    <t>Time</t>
  </si>
  <si>
    <t>Sunday</t>
  </si>
  <si>
    <t>Monday</t>
  </si>
  <si>
    <t>Tuesday</t>
  </si>
  <si>
    <t>Wednesday</t>
  </si>
  <si>
    <t>Thursday</t>
  </si>
  <si>
    <t>Friday</t>
  </si>
  <si>
    <t>Saturday</t>
  </si>
  <si>
    <t>Code</t>
  </si>
  <si>
    <t>Allocation Schedulled</t>
  </si>
  <si>
    <t>Garuda Indonesia Domestic</t>
  </si>
  <si>
    <t>Passenger Carried</t>
  </si>
  <si>
    <t>Gross Profit</t>
  </si>
  <si>
    <t>Table of Transportation Costing</t>
  </si>
  <si>
    <t>Soekarno-Hatta Airport</t>
  </si>
  <si>
    <t>Singapore Changi Airport</t>
  </si>
  <si>
    <t>Garuda Indonesia International</t>
  </si>
  <si>
    <t>Qty Ticket</t>
  </si>
  <si>
    <t>Supply Available</t>
  </si>
  <si>
    <t>Demand Available</t>
  </si>
  <si>
    <t>Total Ticket Sold</t>
  </si>
  <si>
    <t>Microsoft Excel 16.72 Answer Report</t>
  </si>
  <si>
    <t>Worksheet: [MasterINT.xlsx]Linear Programming</t>
  </si>
  <si>
    <t>Report Created: 25/05/23 14.45.50</t>
  </si>
  <si>
    <t>Result: Solver found a solution.  All constraints and optimality conditions are satisfied.</t>
  </si>
  <si>
    <t>Solver Engine</t>
  </si>
  <si>
    <t>Engine: Simplex LP</t>
  </si>
  <si>
    <t>Solution Time: 8592822,526 Seconds.</t>
  </si>
  <si>
    <t>Iterations: 2 Subproblems: 0</t>
  </si>
  <si>
    <t>Solver Options</t>
  </si>
  <si>
    <t>Max Time Unlimited, Iterations Unlimited, Precision 0,000001, Use Automatic Scaling</t>
  </si>
  <si>
    <t>Max Subproblems Unlimited, Max Integer Sols Unlimited, Integer Tolerance 1%, Assume NonNegative</t>
  </si>
  <si>
    <t>Objective Cell (Min)</t>
  </si>
  <si>
    <t>Cell</t>
  </si>
  <si>
    <t>Name</t>
  </si>
  <si>
    <t>Original Value</t>
  </si>
  <si>
    <t>Final Value</t>
  </si>
  <si>
    <t>Variable Cells</t>
  </si>
  <si>
    <t>Integer</t>
  </si>
  <si>
    <t>Constraints</t>
  </si>
  <si>
    <t>Cell Value</t>
  </si>
  <si>
    <t>Formula</t>
  </si>
  <si>
    <t>Slack</t>
  </si>
  <si>
    <t>$D$68</t>
  </si>
  <si>
    <t>Total Ticket Sold International</t>
  </si>
  <si>
    <t>$D$64</t>
  </si>
  <si>
    <t>Soekarno-Hatta Airport International</t>
  </si>
  <si>
    <t>Contin</t>
  </si>
  <si>
    <t>$E$64</t>
  </si>
  <si>
    <t>Soekarno-Hatta Airport Domestic</t>
  </si>
  <si>
    <t>$D$65</t>
  </si>
  <si>
    <t>Singapore Changi Airport International</t>
  </si>
  <si>
    <t>$E$65</t>
  </si>
  <si>
    <t>Singapore Changi Airport Domestic</t>
  </si>
  <si>
    <t>$D$66</t>
  </si>
  <si>
    <t>Demand Available International</t>
  </si>
  <si>
    <t>$D$66=$D$67</t>
  </si>
  <si>
    <t>Binding</t>
  </si>
  <si>
    <t>$E$67</t>
  </si>
  <si>
    <t>$E$67=$E$67</t>
  </si>
  <si>
    <t>$F$64</t>
  </si>
  <si>
    <t>Soekarno-Hatta Airport Supply Available</t>
  </si>
  <si>
    <t>$F$64&lt;=$G$64</t>
  </si>
  <si>
    <t>Not Binding</t>
  </si>
  <si>
    <t>$F$65</t>
  </si>
  <si>
    <t>Singapore Changi Airport Supply Available</t>
  </si>
  <si>
    <t>$F$65&lt;=$G$65</t>
  </si>
  <si>
    <t>$D$64:$E$65</t>
  </si>
  <si>
    <t>Airline Code</t>
  </si>
  <si>
    <t>Domestic &amp; International Airlines</t>
  </si>
  <si>
    <t>Price Ticket (IDR)</t>
  </si>
  <si>
    <t>Price Ticket (USD)</t>
  </si>
  <si>
    <t>Price (USD)</t>
  </si>
  <si>
    <t>Price (IDR)</t>
  </si>
  <si>
    <t>Refund Description</t>
  </si>
  <si>
    <t>Total Payment</t>
  </si>
  <si>
    <t>Name of Passengers</t>
  </si>
  <si>
    <t>No.</t>
  </si>
  <si>
    <t>Transaction Time</t>
  </si>
  <si>
    <t>Flight Code</t>
  </si>
  <si>
    <t>Destination Airport</t>
  </si>
  <si>
    <t>Airlines Code</t>
  </si>
  <si>
    <t>Kurs</t>
  </si>
  <si>
    <t>Quantity</t>
  </si>
  <si>
    <t xml:space="preserve">Source: Sheet Master </t>
  </si>
  <si>
    <t>9am</t>
  </si>
  <si>
    <t>3pm</t>
  </si>
  <si>
    <t>Sales Monthly Reporting on Mar 23</t>
  </si>
  <si>
    <t>No</t>
  </si>
  <si>
    <t>Date, Month, Year</t>
  </si>
  <si>
    <t>Price/Pax</t>
  </si>
  <si>
    <t>Airline Code by match add1</t>
  </si>
  <si>
    <t>Destination airport match on airlines</t>
  </si>
  <si>
    <t>Frequency Destination Airport (Domestic)</t>
  </si>
  <si>
    <t>Frequency Destination Airport (International)</t>
  </si>
  <si>
    <t>Frequency Domestic Airlines</t>
  </si>
  <si>
    <t>Frequency International Airlines</t>
  </si>
  <si>
    <t xml:space="preserve">Sunday </t>
  </si>
  <si>
    <t>Frequency Flight Date</t>
  </si>
  <si>
    <t>Frequency Flight Time</t>
  </si>
  <si>
    <t>9 am dan 9 pm</t>
  </si>
  <si>
    <t>1pm</t>
  </si>
  <si>
    <t>7pm</t>
  </si>
  <si>
    <t>9pm</t>
  </si>
  <si>
    <t>12pm</t>
  </si>
  <si>
    <t>3am</t>
  </si>
  <si>
    <t>Inventory/Stock Ticket on Mar 23</t>
  </si>
  <si>
    <t>Estimated Income</t>
  </si>
  <si>
    <t>Price/Pax on average estimated (Traveloka Web)</t>
  </si>
  <si>
    <t>Name of Airlines</t>
  </si>
  <si>
    <t>Stock on Quartal 1 2023</t>
  </si>
  <si>
    <t>Data Warehouse (Ticket Stock) on March 23</t>
  </si>
  <si>
    <t>Command Data Warehouse (Ticket Sold on March 23)</t>
  </si>
  <si>
    <t>Ticket Stock</t>
  </si>
  <si>
    <t>Ticket sold calculate total ticket by name of airlines on table 1</t>
  </si>
  <si>
    <t>Ticket stock within formula stock on quartal 1 2023 decrease ticket sold</t>
  </si>
  <si>
    <t/>
  </si>
  <si>
    <t>AUG 2021</t>
  </si>
  <si>
    <t>JUL 2022</t>
  </si>
  <si>
    <t>MOM</t>
  </si>
  <si>
    <t>AUG 2022</t>
  </si>
  <si>
    <t>YTD AUG 2021</t>
  </si>
  <si>
    <t>YTD AUG 2022</t>
  </si>
  <si>
    <t>YTD</t>
  </si>
  <si>
    <t>GARUDA INDONESIA</t>
  </si>
  <si>
    <t>DOMESTIC</t>
  </si>
  <si>
    <t>Passenger Carried*</t>
  </si>
  <si>
    <t>108.859,00</t>
  </si>
  <si>
    <t>284,22%</t>
  </si>
  <si>
    <t>421.899,00</t>
  </si>
  <si>
    <t>-0,86%</t>
  </si>
  <si>
    <t>418.253,00</t>
  </si>
  <si>
    <t>2.066.351,00</t>
  </si>
  <si>
    <t>2.798.452,00</t>
  </si>
  <si>
    <t>35,43%</t>
  </si>
  <si>
    <t>Cargo Carried (Ton)</t>
  </si>
  <si>
    <t>6.241,60</t>
  </si>
  <si>
    <t>-8,48%</t>
  </si>
  <si>
    <t>5.234,95</t>
  </si>
  <si>
    <t>9,12%</t>
  </si>
  <si>
    <t>5.712,51</t>
  </si>
  <si>
    <t>77.417,98</t>
  </si>
  <si>
    <t>48.000,69</t>
  </si>
  <si>
    <t>-38,00%</t>
  </si>
  <si>
    <t>ASK (000)</t>
  </si>
  <si>
    <t>308.482,01</t>
  </si>
  <si>
    <t>79,74%</t>
  </si>
  <si>
    <t>511.746,72</t>
  </si>
  <si>
    <t>8,34%</t>
  </si>
  <si>
    <t>554.450,66</t>
  </si>
  <si>
    <t>6.341.225,68</t>
  </si>
  <si>
    <t>4.496.504,60</t>
  </si>
  <si>
    <t>-29,09%</t>
  </si>
  <si>
    <t>RPK (000)</t>
  </si>
  <si>
    <t>118.332,83</t>
  </si>
  <si>
    <t>282,23%</t>
  </si>
  <si>
    <t>450.719,37</t>
  </si>
  <si>
    <t>0,35%</t>
  </si>
  <si>
    <t>452.300,64</t>
  </si>
  <si>
    <t>2.195.399,38</t>
  </si>
  <si>
    <t>2.957.542,28</t>
  </si>
  <si>
    <t>34,72%</t>
  </si>
  <si>
    <t>38,36</t>
  </si>
  <si>
    <t>43,22 pp</t>
  </si>
  <si>
    <t>88,07</t>
  </si>
  <si>
    <t>-6,50 pp</t>
  </si>
  <si>
    <t>81,58</t>
  </si>
  <si>
    <t>37,03</t>
  </si>
  <si>
    <t>75,58</t>
  </si>
  <si>
    <t>38,55 pp</t>
  </si>
  <si>
    <t>ATK Cargo (000)</t>
  </si>
  <si>
    <t>8.762,87</t>
  </si>
  <si>
    <t>41,18%</t>
  </si>
  <si>
    <t>10.366,42</t>
  </si>
  <si>
    <t>19,34%</t>
  </si>
  <si>
    <t>12.371,05</t>
  </si>
  <si>
    <t>147.355,27</t>
  </si>
  <si>
    <t>94.731,34</t>
  </si>
  <si>
    <t>-35,71%</t>
  </si>
  <si>
    <t>RTK Cargo (000)</t>
  </si>
  <si>
    <t>7.545,79</t>
  </si>
  <si>
    <t>-6,07%</t>
  </si>
  <si>
    <t>6.326,28</t>
  </si>
  <si>
    <t>12,04%</t>
  </si>
  <si>
    <t>7.087,99</t>
  </si>
  <si>
    <t>91.817,98</t>
  </si>
  <si>
    <t>58.087,53</t>
  </si>
  <si>
    <t>-36,74%</t>
  </si>
  <si>
    <t>CLF Cargo (%)</t>
  </si>
  <si>
    <t>86,11</t>
  </si>
  <si>
    <t>-28,82 pp</t>
  </si>
  <si>
    <t>61,03</t>
  </si>
  <si>
    <t>-3,73 pp</t>
  </si>
  <si>
    <t>57,29</t>
  </si>
  <si>
    <t>62,31</t>
  </si>
  <si>
    <t>61,32</t>
  </si>
  <si>
    <t>-0,99 pp</t>
  </si>
  <si>
    <t>Passenger Yield (Usc)</t>
  </si>
  <si>
    <t>9,87</t>
  </si>
  <si>
    <t>11,37%</t>
  </si>
  <si>
    <t>10,74</t>
  </si>
  <si>
    <t>2,38%</t>
  </si>
  <si>
    <t>10,99</t>
  </si>
  <si>
    <t>9,67</t>
  </si>
  <si>
    <t>10,46</t>
  </si>
  <si>
    <t>8,12%</t>
  </si>
  <si>
    <t>Cargo Yield (usc)</t>
  </si>
  <si>
    <t>87,31</t>
  </si>
  <si>
    <t>89,24</t>
  </si>
  <si>
    <t>-1,82%</t>
  </si>
  <si>
    <t>87,61</t>
  </si>
  <si>
    <t>89,89</t>
  </si>
  <si>
    <t>86,47</t>
  </si>
  <si>
    <t>-3,80%</t>
  </si>
  <si>
    <t>11,14</t>
  </si>
  <si>
    <t>-13,00%</t>
  </si>
  <si>
    <t>10,28</t>
  </si>
  <si>
    <t>-5,74%</t>
  </si>
  <si>
    <t>9,69</t>
  </si>
  <si>
    <t>8,39</t>
  </si>
  <si>
    <t>9,60</t>
  </si>
  <si>
    <t>14,42%</t>
  </si>
  <si>
    <t>CASK-Excl Fuel (Usc)</t>
  </si>
  <si>
    <t>9,20</t>
  </si>
  <si>
    <t>-32,96%</t>
  </si>
  <si>
    <t>6,32</t>
  </si>
  <si>
    <t>-2,47%</t>
  </si>
  <si>
    <t>6,17</t>
  </si>
  <si>
    <t>6,72</t>
  </si>
  <si>
    <t>6,38</t>
  </si>
  <si>
    <t>-4,97%</t>
  </si>
  <si>
    <t>SEP 2021</t>
  </si>
  <si>
    <t>SEP 2022</t>
  </si>
  <si>
    <t>YTD SEP 2021</t>
  </si>
  <si>
    <t>YTD SEP 2022</t>
  </si>
  <si>
    <t>204.512,00</t>
  </si>
  <si>
    <t>116,55%</t>
  </si>
  <si>
    <t>5,88%</t>
  </si>
  <si>
    <t>442.863,00</t>
  </si>
  <si>
    <t>2.270.863,00</t>
  </si>
  <si>
    <t>3.241.315,00</t>
  </si>
  <si>
    <t>42,73%</t>
  </si>
  <si>
    <t>7.403,85</t>
  </si>
  <si>
    <t>-28,87%</t>
  </si>
  <si>
    <t>-7,81%</t>
  </si>
  <si>
    <t>5.266,61</t>
  </si>
  <si>
    <t>84.821,83</t>
  </si>
  <si>
    <t>53.267,30</t>
  </si>
  <si>
    <t>-37,20%</t>
  </si>
  <si>
    <t>412.729,46</t>
  </si>
  <si>
    <t>41,30%</t>
  </si>
  <si>
    <t>5,19%</t>
  </si>
  <si>
    <t>583.207,12</t>
  </si>
  <si>
    <t>239.201,40</t>
  </si>
  <si>
    <t>95,25%</t>
  </si>
  <si>
    <t>3,26%</t>
  </si>
  <si>
    <t>467.046,49</t>
  </si>
  <si>
    <t>2.434.600,78</t>
  </si>
  <si>
    <t>3.424.588,76</t>
  </si>
  <si>
    <t>40,66%</t>
  </si>
  <si>
    <t>57,96</t>
  </si>
  <si>
    <t>22,13 pp</t>
  </si>
  <si>
    <t>-1,49 pp</t>
  </si>
  <si>
    <t>80,08</t>
  </si>
  <si>
    <t>38,39</t>
  </si>
  <si>
    <t>76,16</t>
  </si>
  <si>
    <t>37,77 pp</t>
  </si>
  <si>
    <t>11.710,05</t>
  </si>
  <si>
    <t>10,14%</t>
  </si>
  <si>
    <t>4,26%</t>
  </si>
  <si>
    <t>12.897,76</t>
  </si>
  <si>
    <t>159.065,32</t>
  </si>
  <si>
    <t>107.629,11</t>
  </si>
  <si>
    <t>-32,34%</t>
  </si>
  <si>
    <t>8.956,66</t>
  </si>
  <si>
    <t>-25,83%</t>
  </si>
  <si>
    <t>-6,28%</t>
  </si>
  <si>
    <t>6.642,83</t>
  </si>
  <si>
    <t>100.774,64</t>
  </si>
  <si>
    <t>64.730,36</t>
  </si>
  <si>
    <t>-35,77%</t>
  </si>
  <si>
    <t>76,49</t>
  </si>
  <si>
    <t>-24,98 pp</t>
  </si>
  <si>
    <t>-5,79 pp</t>
  </si>
  <si>
    <t>51,50</t>
  </si>
  <si>
    <t>63,35</t>
  </si>
  <si>
    <t>60,14</t>
  </si>
  <si>
    <t>-3,21 pp</t>
  </si>
  <si>
    <t>9,88</t>
  </si>
  <si>
    <t>11,82%</t>
  </si>
  <si>
    <t>0,50%</t>
  </si>
  <si>
    <t>11,05</t>
  </si>
  <si>
    <t>10,54</t>
  </si>
  <si>
    <t>8,72%</t>
  </si>
  <si>
    <t>80,61</t>
  </si>
  <si>
    <t>16,04%</t>
  </si>
  <si>
    <t>6,77%</t>
  </si>
  <si>
    <t>93,54</t>
  </si>
  <si>
    <t>89,06</t>
  </si>
  <si>
    <t>87,20</t>
  </si>
  <si>
    <t>-2,09%</t>
  </si>
  <si>
    <t>9,45</t>
  </si>
  <si>
    <t>-1,35%</t>
  </si>
  <si>
    <t>-3,78%</t>
  </si>
  <si>
    <t>9,32</t>
  </si>
  <si>
    <t>8,46</t>
  </si>
  <si>
    <t>9,56</t>
  </si>
  <si>
    <t>13,06%</t>
  </si>
  <si>
    <t>7,51</t>
  </si>
  <si>
    <t>-21,67%</t>
  </si>
  <si>
    <t>-4,64%</t>
  </si>
  <si>
    <t>5,88</t>
  </si>
  <si>
    <t>6,77</t>
  </si>
  <si>
    <t>-6,66%</t>
  </si>
  <si>
    <t>Current Liabilities</t>
  </si>
  <si>
    <t>Short-term loans</t>
  </si>
  <si>
    <t>Trade payables</t>
  </si>
  <si>
    <t>Related parties</t>
  </si>
  <si>
    <t>Third parties</t>
  </si>
  <si>
    <t>Homologation result debt</t>
  </si>
  <si>
    <t>Other payables</t>
  </si>
  <si>
    <t>Taxes payables</t>
  </si>
  <si>
    <t>Corporate income taxes</t>
  </si>
  <si>
    <t>Other taxes</t>
  </si>
  <si>
    <t>Accruals</t>
  </si>
  <si>
    <t>Unearned revenues</t>
  </si>
  <si>
    <t>Advances received</t>
  </si>
  <si>
    <t>Current maturities of long-term liabilities:</t>
  </si>
  <si>
    <t>Long-term loans</t>
  </si>
  <si>
    <t>Liabilities for employee benefits</t>
  </si>
  <si>
    <t>Lease liabilities</t>
  </si>
  <si>
    <t>Estimated liability for aircraft return and maintenance costs</t>
  </si>
  <si>
    <t>Bonds payable</t>
  </si>
  <si>
    <t>Asset Backed</t>
  </si>
  <si>
    <t>Securitisation loan</t>
  </si>
  <si>
    <t>Mandatory convertible bond</t>
  </si>
  <si>
    <t>Total current liabilities</t>
  </si>
  <si>
    <t>Non-current liabilities</t>
  </si>
  <si>
    <t>Long-term liabilities-net of current maturities</t>
  </si>
  <si>
    <t>Long-term trade payable</t>
  </si>
  <si>
    <t>Asset Backed securitisation loan</t>
  </si>
  <si>
    <t>Deferred tax liabilities</t>
  </si>
  <si>
    <t>Othe non-current liabilities</t>
  </si>
  <si>
    <t>Total non-current liabilities</t>
  </si>
  <si>
    <t>Created customer transaction form</t>
  </si>
  <si>
    <t>Command not in the ribbon - form</t>
  </si>
  <si>
    <t>Source: https://www.garuda-indonesia.com/content/dam/garuda/files/pdf/investor-relations/financial-report/LKFS%20Garuda%20Indonesia%2030%20September%202022%20Audited.pdf</t>
  </si>
  <si>
    <t>Passenger</t>
  </si>
  <si>
    <t>Transaction Date</t>
  </si>
  <si>
    <t>Quantity Seat</t>
  </si>
  <si>
    <t>Price/pax</t>
  </si>
  <si>
    <t>Service Tax</t>
  </si>
  <si>
    <t>Current liabilities</t>
  </si>
  <si>
    <t>Total liabilities</t>
  </si>
  <si>
    <t>APR</t>
  </si>
  <si>
    <t>Period in Year</t>
  </si>
  <si>
    <t>Monthly Payment</t>
  </si>
  <si>
    <t>Number of Period</t>
  </si>
  <si>
    <t>Column Labels</t>
  </si>
  <si>
    <t>Grand Total</t>
  </si>
  <si>
    <t>Row Labels</t>
  </si>
  <si>
    <t>Domestic Total</t>
  </si>
  <si>
    <t>Sum of Total Payment</t>
  </si>
  <si>
    <t>Total Sum of Total Payment</t>
  </si>
  <si>
    <t>Total Max of Price (IDR)</t>
  </si>
  <si>
    <t>Max of Price (IDR)</t>
  </si>
  <si>
    <t>Total Min of Refund Description</t>
  </si>
  <si>
    <t>Min of Refund Description</t>
  </si>
  <si>
    <t>(Multiple Items)</t>
  </si>
  <si>
    <t>Created UI Dashboard within inserr slicer</t>
  </si>
  <si>
    <t>Created interactive worksheet @Pivot Table</t>
  </si>
  <si>
    <t>Created macro excel all step</t>
  </si>
  <si>
    <t>Presented on other sheet by graphical worksheet</t>
  </si>
  <si>
    <t>Debt to Asset Ratio</t>
  </si>
  <si>
    <t>Type of Interest</t>
  </si>
  <si>
    <t>Bank Loan</t>
  </si>
  <si>
    <t>%Interest</t>
  </si>
  <si>
    <t>Period of Payment</t>
  </si>
  <si>
    <t>Installment</t>
  </si>
  <si>
    <t>Type of interest</t>
  </si>
  <si>
    <t>Anuitas</t>
  </si>
  <si>
    <t>Flat</t>
  </si>
  <si>
    <t>Efektif</t>
  </si>
  <si>
    <t>Debt Principal</t>
  </si>
  <si>
    <t>Debt Interest</t>
  </si>
  <si>
    <t>Type of Liabilities</t>
  </si>
  <si>
    <t>Short-Term</t>
  </si>
  <si>
    <t>Long-term</t>
  </si>
  <si>
    <t>-</t>
  </si>
  <si>
    <t>Bank loan/interest</t>
  </si>
  <si>
    <t>PPMT</t>
  </si>
  <si>
    <t xml:space="preserve">Per </t>
  </si>
  <si>
    <t>Month of payment</t>
  </si>
  <si>
    <t>NPER</t>
  </si>
  <si>
    <t>Period of payment</t>
  </si>
  <si>
    <t xml:space="preserve">Rate </t>
  </si>
  <si>
    <t>Interest/month</t>
  </si>
  <si>
    <t>Pv</t>
  </si>
  <si>
    <t>%interest/month</t>
  </si>
  <si>
    <t>'=IF($L$5="Flat";$O$18/$L$9;IF($L$5="Efektif";PPMT($L$7;K19;$L$9;-$O$18)))</t>
  </si>
  <si>
    <t>IPMT</t>
  </si>
  <si>
    <t>PPMT(Rate;Month;NPER;PV)</t>
  </si>
  <si>
    <t>=IF($L$5="Flat";$L$3*$L$7;IF($L$5="Efektif";IPMT($L$7;K19;$L$9;$L$3)))</t>
  </si>
  <si>
    <t xml:space="preserve">Total Debt </t>
  </si>
  <si>
    <t>only debt principal</t>
  </si>
  <si>
    <t xml:space="preserve">Flat </t>
  </si>
  <si>
    <t>On Automatic Table</t>
  </si>
  <si>
    <t>Beverly Sugiantno Wiradjaja Sum of Total Payment</t>
  </si>
  <si>
    <t>Beverly Sugiantno Wiradjaja Max of Price (IDR)</t>
  </si>
  <si>
    <t>Beverly Sugiantno Wiradjaja Min of Refund Description</t>
  </si>
  <si>
    <t>Chika Amelia Putri Sum of Total Payment</t>
  </si>
  <si>
    <t>Chika Amelia Putri Max of Price (IDR)</t>
  </si>
  <si>
    <t>Chika Amelia Putri Min of Refund Description</t>
  </si>
  <si>
    <t>Eileen Audrey Avisa Sum of Total Payment</t>
  </si>
  <si>
    <t>Eileen Audrey Avisa Max of Price (IDR)</t>
  </si>
  <si>
    <t>Eileen Audrey Avisa Min of Refund Description</t>
  </si>
  <si>
    <t>Lady Marcia Anne Sum of Total Payment</t>
  </si>
  <si>
    <t>Lady Marcia Anne Max of Price (IDR)</t>
  </si>
  <si>
    <t>Lady Marcia Anne Min of Refund Description</t>
  </si>
  <si>
    <t>Putri Selena Utama Sum of Total Payment</t>
  </si>
  <si>
    <t>Putri Selena Utama Max of Price (IDR)</t>
  </si>
  <si>
    <t>Putri Selena Utama Min of Refund Description</t>
  </si>
  <si>
    <t>Sum of Price (IDR)</t>
  </si>
  <si>
    <t>Max of Refund Description</t>
  </si>
  <si>
    <t>Average of Total Payment</t>
  </si>
  <si>
    <t>Soekarno-Hatta Airport Total</t>
  </si>
  <si>
    <t>Sales Dec 22</t>
  </si>
  <si>
    <t>Price/Ticket</t>
  </si>
  <si>
    <t>Total Sales</t>
  </si>
  <si>
    <t>Pricing USD</t>
  </si>
  <si>
    <t>Pricing IDR</t>
  </si>
  <si>
    <t>Microsoft Excel 16.73 Feasibility Report</t>
  </si>
  <si>
    <t>Constraints Which Make the Problem Infeasible</t>
  </si>
  <si>
    <t>$F$60</t>
  </si>
  <si>
    <t>$F$60&lt;=$G$60</t>
  </si>
  <si>
    <t>$F$61</t>
  </si>
  <si>
    <t>$F$61&lt;=$G$61</t>
  </si>
  <si>
    <t>Max</t>
  </si>
  <si>
    <t>max</t>
  </si>
  <si>
    <t>Report Created: 01/06/23 04.25.47</t>
  </si>
  <si>
    <t>Report Created: 01/06/23 04.25.50</t>
  </si>
  <si>
    <t>Scenario Manager</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</si>
  <si>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</si>
  <si>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</si>
  <si>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</si>
  <si>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</si>
  <si>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</si>
  <si>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</si>
  <si>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</si>
  <si>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$I$98</t>
  </si>
  <si>
    <t>$I$99</t>
  </si>
  <si>
    <t>$J$98</t>
  </si>
  <si>
    <t>$J$99</t>
  </si>
  <si>
    <t>Created by Microsoft Office User on 01/06/2023</t>
  </si>
  <si>
    <t>Variable Cost</t>
  </si>
  <si>
    <t>Fixed Cost</t>
  </si>
  <si>
    <t xml:space="preserve">Set scenario sales and income monthly operating indicatior if values (price) increased 2YOY 500 ticket sold? </t>
  </si>
  <si>
    <t>FC</t>
  </si>
  <si>
    <t>VC</t>
  </si>
  <si>
    <t>$I$100</t>
  </si>
  <si>
    <t>$J$100</t>
  </si>
  <si>
    <t>$I$101</t>
  </si>
  <si>
    <t>Created by Microsoft Office User on 01/06/2023
Modified by Microsoft Office User on 01/06/2023</t>
  </si>
  <si>
    <t>Goal Seek</t>
  </si>
  <si>
    <t>$J$101</t>
  </si>
  <si>
    <t>Ticketsold2</t>
  </si>
  <si>
    <t>Fixedcost2</t>
  </si>
  <si>
    <t>Varcost2</t>
  </si>
  <si>
    <t>revenue2</t>
  </si>
  <si>
    <t>CTRL</t>
  </si>
  <si>
    <t xml:space="preserve">Destination Aiport </t>
  </si>
  <si>
    <t>INDEX MATCH (1)</t>
  </si>
  <si>
    <t>INDEX MATCH (2)</t>
  </si>
  <si>
    <t>Ending Stock</t>
  </si>
  <si>
    <t>(blank)</t>
  </si>
  <si>
    <t>Count of Order Date</t>
  </si>
  <si>
    <t>Count of Remarks</t>
  </si>
  <si>
    <t>Count of Destination Aiport (Domestic)</t>
  </si>
  <si>
    <t>Count of Origin Airport</t>
  </si>
  <si>
    <t>Count of Arrival Date</t>
  </si>
  <si>
    <t>Count of Airline</t>
  </si>
  <si>
    <t>Count of Destination Airport (International)</t>
  </si>
  <si>
    <t>Max of Total Payment</t>
  </si>
  <si>
    <t>Min of Total Payment</t>
  </si>
  <si>
    <t xml:space="preserve"> </t>
  </si>
  <si>
    <t>Search: Origin Airport</t>
  </si>
  <si>
    <t>Name of Product</t>
  </si>
  <si>
    <t>Product ID</t>
  </si>
  <si>
    <t>Category</t>
  </si>
  <si>
    <t>Barcode</t>
  </si>
  <si>
    <t>Product Brand</t>
  </si>
  <si>
    <t xml:space="preserve">Quantity </t>
  </si>
  <si>
    <t>Tax</t>
  </si>
  <si>
    <t>Price item</t>
  </si>
  <si>
    <t>Customer Name</t>
  </si>
  <si>
    <t>Member Code</t>
  </si>
  <si>
    <t>Domicile</t>
  </si>
  <si>
    <t>Input Date</t>
  </si>
  <si>
    <t>Sammy Hutagalung</t>
  </si>
  <si>
    <t>Chalvin Peterman</t>
  </si>
  <si>
    <t>Felicia Widyotama</t>
  </si>
  <si>
    <t>Michael Anderson</t>
  </si>
  <si>
    <t>Raissa Februariana</t>
  </si>
  <si>
    <t>Adi Kusuma Adisucipto</t>
  </si>
  <si>
    <t>Beverly Benardette</t>
  </si>
  <si>
    <t>Gracia Marcialiana</t>
  </si>
  <si>
    <t>Vanilla Vanessa Adyana</t>
  </si>
  <si>
    <t>Sandra Dewi Munadi</t>
  </si>
  <si>
    <t>Chelsea Wang</t>
  </si>
  <si>
    <t>Santiago Wesley</t>
  </si>
  <si>
    <t>Cornelia Francisca</t>
  </si>
  <si>
    <t>Acacia Pearly</t>
  </si>
  <si>
    <t>Brandon Damian</t>
  </si>
  <si>
    <t>Daenerys Targaryen</t>
  </si>
  <si>
    <t>Aiden Kim</t>
  </si>
  <si>
    <t>Jesper Park</t>
  </si>
  <si>
    <t>Paul Colin</t>
  </si>
  <si>
    <t>Lilac Levina</t>
  </si>
  <si>
    <t>Agatha Vanda</t>
  </si>
  <si>
    <t>Nash Ace</t>
  </si>
  <si>
    <t>Lane Anderson</t>
  </si>
  <si>
    <t>Emilia Alice</t>
  </si>
  <si>
    <t>Cora Serenity</t>
  </si>
  <si>
    <t>Nova Clara</t>
  </si>
  <si>
    <t>Julius Daxton</t>
  </si>
  <si>
    <t>Emery Jade</t>
  </si>
  <si>
    <t>Amy Teagen</t>
  </si>
  <si>
    <t>Dakota Jaxton</t>
  </si>
  <si>
    <t>Laila Velerine</t>
  </si>
  <si>
    <t>Seth Donovan</t>
  </si>
  <si>
    <t>Naomi Scott</t>
  </si>
  <si>
    <t>Nikki Leona</t>
  </si>
  <si>
    <t>Taeyong Lee</t>
  </si>
  <si>
    <t>Adora Suvviana</t>
  </si>
  <si>
    <t>Jasmine Hara</t>
  </si>
  <si>
    <t>Sirena Meise</t>
  </si>
  <si>
    <t>Louise Adrivianne</t>
  </si>
  <si>
    <t>Aquaviviane Naine</t>
  </si>
  <si>
    <t>Key Kim</t>
  </si>
  <si>
    <t>Vivianna Garcons</t>
  </si>
  <si>
    <t>Angela Lay</t>
  </si>
  <si>
    <t>Xyavenna Aphrodite</t>
  </si>
  <si>
    <t>Kevin Kim</t>
  </si>
  <si>
    <t xml:space="preserve">Thomas Kim </t>
  </si>
  <si>
    <t>Chase Lee</t>
  </si>
  <si>
    <t>Gregorius Naldo</t>
  </si>
  <si>
    <t>Zahra Fairuznisa</t>
  </si>
  <si>
    <t>Zulfa Rufaida</t>
  </si>
  <si>
    <t>Mark Lee</t>
  </si>
  <si>
    <t>Hendery Xiao</t>
  </si>
  <si>
    <t>Natalie Angelique</t>
  </si>
  <si>
    <t>Cannelle Lounge</t>
  </si>
  <si>
    <t>Sunny Anne</t>
  </si>
  <si>
    <t>Freya Grizelle</t>
  </si>
  <si>
    <t>Iva Jovanka</t>
  </si>
  <si>
    <t>Jovita Kyra</t>
  </si>
  <si>
    <t>Kirana  Meise</t>
  </si>
  <si>
    <t>Joy Zeline</t>
  </si>
  <si>
    <t>Jovanka Lovata</t>
  </si>
  <si>
    <t>Rosaline Luna</t>
  </si>
  <si>
    <t>Arina Clarissa</t>
  </si>
  <si>
    <t>Deolinda Elvina</t>
  </si>
  <si>
    <t>Johannes Liam</t>
  </si>
  <si>
    <t>Jonathan Mason</t>
  </si>
  <si>
    <t>Hazel Claire</t>
  </si>
  <si>
    <t>Joseph Carter</t>
  </si>
  <si>
    <t>Dylan Luke</t>
  </si>
  <si>
    <t>Ashley Greyson</t>
  </si>
  <si>
    <t>Ruby Willow</t>
  </si>
  <si>
    <t>Aubree Vivian</t>
  </si>
  <si>
    <t>Reese Paige</t>
  </si>
  <si>
    <t>Evan Maverick</t>
  </si>
  <si>
    <t>Aleyna Camelia</t>
  </si>
  <si>
    <t>Marcus Mrooklyn</t>
  </si>
  <si>
    <t>Irene Lee</t>
  </si>
  <si>
    <t>Natasha Febrianti</t>
  </si>
  <si>
    <t>Angelique Nicole</t>
  </si>
  <si>
    <t>Reynadya Farissa</t>
  </si>
  <si>
    <t>Jennie Kim</t>
  </si>
  <si>
    <t>Johnny Seo</t>
  </si>
  <si>
    <t>Alexander Lee</t>
  </si>
  <si>
    <t>Cherrys Yohana</t>
  </si>
  <si>
    <t>Roseanne Park</t>
  </si>
  <si>
    <t>Rosi Tampubolon</t>
  </si>
  <si>
    <t>Dhika Arisno</t>
  </si>
  <si>
    <t>Anastasia Belinda</t>
  </si>
  <si>
    <t>Milaney Wangsa Widyatama</t>
  </si>
  <si>
    <t>Jakarta</t>
  </si>
  <si>
    <t>Bogor</t>
  </si>
  <si>
    <t>Bandung</t>
  </si>
  <si>
    <t>Tangerang</t>
  </si>
  <si>
    <t>Bekasi</t>
  </si>
  <si>
    <t xml:space="preserve">Barcode </t>
  </si>
  <si>
    <t>Member Point</t>
  </si>
  <si>
    <t>Supermarket Family Database 2023</t>
  </si>
  <si>
    <t>Gold</t>
  </si>
  <si>
    <t>Silver</t>
  </si>
  <si>
    <t>Platinum</t>
  </si>
  <si>
    <t>G1111</t>
  </si>
  <si>
    <t>G</t>
  </si>
  <si>
    <t>S</t>
  </si>
  <si>
    <t>P</t>
  </si>
  <si>
    <t>5 Point</t>
  </si>
  <si>
    <t>10 Point</t>
  </si>
  <si>
    <t>15 Point</t>
  </si>
  <si>
    <t>20 Point</t>
  </si>
  <si>
    <t>25 Point</t>
  </si>
  <si>
    <t>P1114</t>
  </si>
  <si>
    <t>P1214</t>
  </si>
  <si>
    <t>P1414</t>
  </si>
  <si>
    <t>G1412</t>
  </si>
  <si>
    <t>G1411</t>
  </si>
  <si>
    <t>G1413</t>
  </si>
  <si>
    <t>S1113</t>
  </si>
  <si>
    <t>S1111</t>
  </si>
  <si>
    <t>S1314</t>
  </si>
  <si>
    <t>S1611</t>
  </si>
  <si>
    <t>S1512</t>
  </si>
  <si>
    <t>G1312</t>
  </si>
  <si>
    <t>G1313</t>
  </si>
  <si>
    <t>G1311</t>
  </si>
  <si>
    <t>P1115</t>
  </si>
  <si>
    <t>P1415</t>
  </si>
  <si>
    <t>G1115</t>
  </si>
  <si>
    <t>G1415</t>
  </si>
  <si>
    <t>G1612</t>
  </si>
  <si>
    <t>G1212</t>
  </si>
  <si>
    <t>G1213</t>
  </si>
  <si>
    <t>G1215</t>
  </si>
  <si>
    <t>G1113</t>
  </si>
  <si>
    <t>Food Product</t>
  </si>
  <si>
    <t>Non Food Product</t>
  </si>
  <si>
    <t>Perishable</t>
  </si>
  <si>
    <t>General Merchandise Product</t>
  </si>
  <si>
    <t>FP101</t>
  </si>
  <si>
    <t>NF102</t>
  </si>
  <si>
    <t>PB103</t>
  </si>
  <si>
    <t>GM104</t>
  </si>
  <si>
    <t>PB101</t>
  </si>
  <si>
    <t>PB102</t>
  </si>
  <si>
    <t>FP</t>
  </si>
  <si>
    <t>NF</t>
  </si>
  <si>
    <t>PB</t>
  </si>
  <si>
    <t>GM</t>
  </si>
  <si>
    <t>NF104</t>
  </si>
  <si>
    <t>NF101</t>
  </si>
  <si>
    <t>FP102</t>
  </si>
  <si>
    <t>FP104</t>
  </si>
  <si>
    <t>GM103</t>
  </si>
  <si>
    <t>GM102</t>
  </si>
  <si>
    <t>GM101</t>
  </si>
  <si>
    <t>FP103</t>
  </si>
  <si>
    <t>NF103</t>
  </si>
  <si>
    <t>PB104</t>
  </si>
  <si>
    <t>Beverage</t>
  </si>
  <si>
    <t>Tea, coffee and creamer</t>
  </si>
  <si>
    <t>Honey, jam, cereal and cheese</t>
  </si>
  <si>
    <t>Diet &amp; Diabeter foods</t>
  </si>
  <si>
    <t>Staple food</t>
  </si>
  <si>
    <t>Cake mix</t>
  </si>
  <si>
    <t>Spices, soya, sauce and ingredient</t>
  </si>
  <si>
    <t>Canned Food &amp; dried meat</t>
  </si>
  <si>
    <t>Instant Noodle &amp; Food</t>
  </si>
  <si>
    <t>Milk</t>
  </si>
  <si>
    <t>Baby milk &amp; food</t>
  </si>
  <si>
    <t>Snack, biscuit &amp; ready to eat</t>
  </si>
  <si>
    <t>Confectionary, candy &amp; chocolate</t>
  </si>
  <si>
    <t>Cigarette &amp; lighter</t>
  </si>
  <si>
    <t>Medicine</t>
  </si>
  <si>
    <t>Personal care</t>
  </si>
  <si>
    <t>Oral hygiene</t>
  </si>
  <si>
    <t>Paper goods</t>
  </si>
  <si>
    <t>Baby need</t>
  </si>
  <si>
    <t>House hold</t>
  </si>
  <si>
    <t>Battery, film, electrical &amp; lamp</t>
  </si>
  <si>
    <t>Apparel, towel and underwear</t>
  </si>
  <si>
    <t>Comb, accessories &amp; footwear</t>
  </si>
  <si>
    <t>Housewares &amp; party need</t>
  </si>
  <si>
    <t>Offce supplier &amp; stationery</t>
  </si>
  <si>
    <t>Eggs</t>
  </si>
  <si>
    <t>Cake &amp; bread</t>
  </si>
  <si>
    <t>Chilled &amp; frozen product</t>
  </si>
  <si>
    <t>Fruit</t>
  </si>
  <si>
    <t xml:space="preserve">Snack &amp; Candy </t>
  </si>
  <si>
    <t>Price/Unit</t>
  </si>
  <si>
    <t>INDEX MATCH</t>
  </si>
  <si>
    <t xml:space="preserve">Created your own Pivot Table and Automatic Excel Dashboard </t>
  </si>
  <si>
    <t>Fill the column price item within formula Index Match</t>
  </si>
  <si>
    <t>Price/item</t>
  </si>
  <si>
    <t>Data Table</t>
  </si>
  <si>
    <t>Total Quantity Item</t>
  </si>
  <si>
    <t>Average price</t>
  </si>
  <si>
    <t>Income after tax</t>
  </si>
  <si>
    <t>Expense</t>
  </si>
  <si>
    <t>Total Expense</t>
  </si>
  <si>
    <t>Producing Expense</t>
  </si>
  <si>
    <t>Packaging Expense</t>
  </si>
  <si>
    <t xml:space="preserve">Net Income </t>
  </si>
  <si>
    <t>Financial Solution (Profit Target IDR 250 Million)</t>
  </si>
  <si>
    <t>Inventory Stock</t>
  </si>
  <si>
    <t>Administration Expense</t>
  </si>
  <si>
    <t>Service Expense</t>
  </si>
  <si>
    <t>$AD$36</t>
  </si>
  <si>
    <t>$AD$37</t>
  </si>
  <si>
    <t>$AD$39</t>
  </si>
  <si>
    <t>$AD$40</t>
  </si>
  <si>
    <t>$AD$41</t>
  </si>
  <si>
    <t>$AD$42</t>
  </si>
  <si>
    <t>$AD$44</t>
  </si>
  <si>
    <t>$AE$36</t>
  </si>
  <si>
    <t>$AE$37</t>
  </si>
  <si>
    <t>$AE$39</t>
  </si>
  <si>
    <t>$AE$40</t>
  </si>
  <si>
    <t>$AE$41</t>
  </si>
  <si>
    <t>$AE$42</t>
  </si>
  <si>
    <t>$AE$44</t>
  </si>
  <si>
    <t>$AF$36</t>
  </si>
  <si>
    <t>$AF$37</t>
  </si>
  <si>
    <t>$AF$39</t>
  </si>
  <si>
    <t>$AF$40</t>
  </si>
  <si>
    <t>$AF$41</t>
  </si>
  <si>
    <t>$AF$42</t>
  </si>
  <si>
    <t>$AF$44</t>
  </si>
  <si>
    <t>$AG$36</t>
  </si>
  <si>
    <t>$AG$37</t>
  </si>
  <si>
    <t>$AG$39</t>
  </si>
  <si>
    <t>$AG$40</t>
  </si>
  <si>
    <t>$AG$41</t>
  </si>
  <si>
    <t>$AG$42</t>
  </si>
  <si>
    <t>$AG$44</t>
  </si>
  <si>
    <t>Price/item within formula average by category product</t>
  </si>
  <si>
    <t>Allocation Stakeholder Supermarket</t>
  </si>
  <si>
    <t>Supermarket Location A</t>
  </si>
  <si>
    <t>Supermarket Location B</t>
  </si>
  <si>
    <t>Supermarket Location C</t>
  </si>
  <si>
    <t>Supermarket Location D</t>
  </si>
  <si>
    <t>Solving a problem to evaluated potential sales location A to location D</t>
  </si>
  <si>
    <t>Net Sales</t>
  </si>
  <si>
    <t>Accumulation Expense (Payment Period of rent space)</t>
  </si>
  <si>
    <t>Periodic of installment</t>
  </si>
  <si>
    <t>Lease interest expense</t>
  </si>
  <si>
    <t>Periodic on Year</t>
  </si>
  <si>
    <t>Payment of Installment</t>
  </si>
  <si>
    <t>Interest</t>
  </si>
  <si>
    <t>Principal</t>
  </si>
  <si>
    <t>Total Debt</t>
  </si>
  <si>
    <t>Microsoft Excel 16.73 Answer Report</t>
  </si>
  <si>
    <t>Worksheet: [MasterINT.xlsx]Final Case</t>
  </si>
  <si>
    <t>Report Created: 04/06/23 21.01.30</t>
  </si>
  <si>
    <t>Solution Time: 21476529,616 Seconds.</t>
  </si>
  <si>
    <t>Iterations: 9 Subproblems: 0</t>
  </si>
  <si>
    <t>Max Time Unlimited, Iterations Unlimited, Precision 1E-06</t>
  </si>
  <si>
    <t>Max Subproblems Unlimited, Max Integer Sols Unlimited, Integer Tolerance 1%, Solve Without Integer Constraints, Assume NonNegative</t>
  </si>
  <si>
    <t>Objective Cell (Max)</t>
  </si>
  <si>
    <t>$AK$27</t>
  </si>
  <si>
    <t>Net Sales Food Product</t>
  </si>
  <si>
    <t>$AK$21</t>
  </si>
  <si>
    <t>Supermarket Location A Food Product</t>
  </si>
  <si>
    <t>$AL$21</t>
  </si>
  <si>
    <t>Supermarket Location A Non Food Product</t>
  </si>
  <si>
    <t>$AM$21</t>
  </si>
  <si>
    <t>Supermarket Location A General Merchandise Product</t>
  </si>
  <si>
    <t>$AN$21</t>
  </si>
  <si>
    <t>Supermarket Location A Perishable</t>
  </si>
  <si>
    <t>$AK$22</t>
  </si>
  <si>
    <t>Supermarket Location B Food Product</t>
  </si>
  <si>
    <t>$AL$22</t>
  </si>
  <si>
    <t>Supermarket Location B Non Food Product</t>
  </si>
  <si>
    <t>$AM$22</t>
  </si>
  <si>
    <t>Supermarket Location B General Merchandise Product</t>
  </si>
  <si>
    <t>$AN$22</t>
  </si>
  <si>
    <t>Supermarket Location B Perishable</t>
  </si>
  <si>
    <t>$AK$23</t>
  </si>
  <si>
    <t>Supermarket Location C Food Product</t>
  </si>
  <si>
    <t>$AL$23</t>
  </si>
  <si>
    <t>Supermarket Location C Non Food Product</t>
  </si>
  <si>
    <t>$AM$23</t>
  </si>
  <si>
    <t>Supermarket Location C General Merchandise Product</t>
  </si>
  <si>
    <t>$AN$23</t>
  </si>
  <si>
    <t>Supermarket Location C Perishable</t>
  </si>
  <si>
    <t>$AK$24</t>
  </si>
  <si>
    <t>Supermarket Location D Food Product</t>
  </si>
  <si>
    <t>$AL$24</t>
  </si>
  <si>
    <t>Supermarket Location D Non Food Product</t>
  </si>
  <si>
    <t>$AM$24</t>
  </si>
  <si>
    <t>Supermarket Location D General Merchandise Product</t>
  </si>
  <si>
    <t>$AN$24</t>
  </si>
  <si>
    <t>Supermarket Location D Perishable</t>
  </si>
  <si>
    <t>$AK$25</t>
  </si>
  <si>
    <t>Expense Food Product</t>
  </si>
  <si>
    <t>$AK$25&lt;=$AK$26</t>
  </si>
  <si>
    <t>$AL$25</t>
  </si>
  <si>
    <t>Expense Non Food Product</t>
  </si>
  <si>
    <t>$AL$25&lt;=$AL$26</t>
  </si>
  <si>
    <t>$AM$25</t>
  </si>
  <si>
    <t>Expense General Merchandise Product</t>
  </si>
  <si>
    <t>$AM$25&lt;=$AM$26</t>
  </si>
  <si>
    <t>$AN$25</t>
  </si>
  <si>
    <t>Expense Perishable</t>
  </si>
  <si>
    <t>$AN$25&lt;=$AN$26</t>
  </si>
  <si>
    <t>$AO$21</t>
  </si>
  <si>
    <t>$AO$21&lt;=$AP$21</t>
  </si>
  <si>
    <t>$AO$22</t>
  </si>
  <si>
    <t>$AO$22&lt;=$AP$22</t>
  </si>
  <si>
    <t>$AO$23</t>
  </si>
  <si>
    <t>$AO$23&lt;=$AP$23</t>
  </si>
  <si>
    <t>$AO$24</t>
  </si>
  <si>
    <t>$AO$24&lt;=$AP$24</t>
  </si>
  <si>
    <t>Inventory</t>
  </si>
  <si>
    <t xml:space="preserve">Update </t>
  </si>
  <si>
    <t>Total Product</t>
  </si>
  <si>
    <t xml:space="preserve">Food Product </t>
  </si>
  <si>
    <t>Data Table (Increase quantity 5 period +150pcs)</t>
  </si>
  <si>
    <t>Price/item within formula average by category product (Scenario Manager)</t>
  </si>
  <si>
    <t>Macro Table Listing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</si>
</sst>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quot;IDR&quot;#,##0.00_);[Red]\(&quot;IDR&quot;#,##0.00\)"/>
    <numFmt numFmtId="165" formatCode="_(&quot;IDR&quot;* #,##0_);_(&quot;IDR&quot;* \(#,##0\);_(&quot;IDR&quot;* &quot;-&quot;_);_(@_)"/>
    <numFmt numFmtId="166" formatCode="_(&quot;IDR&quot;* #,##0.00_);_(&quot;IDR&quot;* \(#,##0.00\);_(&quot;IDR&quot;* &quot;-&quot;??_);_(@_)"/>
    <numFmt numFmtId="167" formatCode="_([$USD]\ * #,##0_);_([$USD]\ * \(#,##0\);_([$USD]\ * &quot;-&quot;_);_(@_)"/>
    <numFmt numFmtId="168" formatCode="_([$USD]\ * #,##0.00_);_([$USD]\ * \(#,##0.00\);_([$USD]\ * &quot;-&quot;??_);_(@_)"/>
    <numFmt numFmtId="169" formatCode="General\ &quot;Ticket&quot;"/>
    <numFmt numFmtId="170" formatCode="General\ &quot;am&quot;"/>
    <numFmt numFmtId="171" formatCode="General\ &quot;pm&quot;"/>
    <numFmt numFmtId="172" formatCode="_([$USD]\ * #,##0.00_);_([$USD]\ * \(#,##0.00\);_([$USD]\ * &quot;-&quot;_);_(@_)"/>
    <numFmt numFmtId="173" formatCode="General\ &quot;%&quot;"/>
    <numFmt numFmtId="174" formatCode="General\ &quot;Pax&quot;"/>
    <numFmt numFmtId="175" formatCode="0\ &quot;ticket&quot;"/>
    <numFmt numFmtId="176" formatCode="0.0"/>
    <numFmt numFmtId="177" formatCode="0&quot;%&quot;"/>
    <numFmt numFmtId="178" formatCode="_(&quot;IDR&quot;* #,##0.0000_);_(&quot;IDR&quot;* \(#,##0.0000\);_(&quot;IDR&quot;* &quot;-&quot;_);_(@_)"/>
  </numFmts>
  <fonts count="15" x14ac:knownFonts="1">
    <font>
      <sz val="12"/>
      <color theme="1"/>
      <name val="Calibri"/>
      <family val="2"/>
      <scheme val="minor"/>
    </font>
    <font>
      <sz val="12"/>
      <color theme="1"/>
      <name val="Calibri"/>
      <family val="2"/>
      <scheme val="minor"/>
    </font>
    <font>
      <b/>
      <sz val="12"/>
      <color theme="1"/>
      <name val="Calibri"/>
      <family val="2"/>
      <scheme val="minor"/>
    </font>
    <font>
      <sz val="12"/>
      <color theme="4"/>
      <name val="Calibri"/>
      <family val="2"/>
      <scheme val="minor"/>
    </font>
    <font>
      <sz val="10"/>
      <color rgb="FF000000"/>
      <name val="Tahoma"/>
      <family val="2"/>
    </font>
    <font>
      <b/>
      <sz val="10"/>
      <color rgb="FF000000"/>
      <name val="Tahoma"/>
      <family val="2"/>
    </font>
    <font>
      <b/>
      <sz val="12"/>
      <color indexed="18"/>
      <name val="Calibri"/>
      <family val="2"/>
      <scheme val="minor"/>
    </font>
    <font>
      <b/>
      <sz val="12"/>
      <name val="Calibri"/>
      <family val="2"/>
      <scheme val="minor"/>
    </font>
    <font>
      <b/>
      <sz val="18"/>
      <color theme="1"/>
      <name val="Calibri"/>
      <family val="2"/>
      <scheme val="minor"/>
    </font>
    <font>
      <sz val="26"/>
      <color theme="1"/>
      <name val="Calibri"/>
      <family val="2"/>
      <scheme val="minor"/>
    </font>
    <font>
      <b/>
      <sz val="14"/>
      <color indexed="9"/>
      <name val="Calibri"/>
      <family val="2"/>
      <scheme val="minor"/>
    </font>
    <font>
      <b/>
      <sz val="12"/>
      <color indexed="8"/>
      <name val="Calibri"/>
      <family val="2"/>
      <scheme val="minor"/>
    </font>
    <font>
      <sz val="11"/>
      <color indexed="9"/>
      <name val="Calibri"/>
      <family val="2"/>
      <scheme val="minor"/>
    </font>
    <font>
      <sz val="8"/>
      <color theme="1"/>
      <name val="Calibri"/>
      <family val="2"/>
      <scheme val="minor"/>
    </font>
    <font>
      <sz val="12"/>
      <color rgb="FF000000"/>
      <name val="Calibri"/>
      <family val="2"/>
    </font>
  </fonts>
  <fills count="13">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64"/>
      </patternFill>
    </fill>
    <fill>
      <patternFill patternType="solid">
        <fgColor theme="0"/>
        <bgColor indexed="64"/>
      </patternFill>
    </fill>
    <fill>
      <patternFill patternType="solid">
        <fgColor rgb="FF00206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75">
    <xf numFmtId="0" fontId="0" fillId="0" borderId="0" xfId="0"/>
    <xf numFmtId="0" fontId="0" fillId="0" borderId="0" xfId="0" applyAlignment="1">
      <alignment horizontal="center" vertical="center" wrapText="1"/>
    </xf>
    <xf numFmtId="14" fontId="0" fillId="0" borderId="0" xfId="0" applyNumberFormat="1" applyAlignment="1">
      <alignment horizontal="center" vertical="center" wrapText="1"/>
    </xf>
    <xf numFmtId="17" fontId="0" fillId="0" borderId="0" xfId="0" applyNumberFormat="1" applyAlignment="1">
      <alignment horizontal="center" vertical="center" wrapText="1"/>
    </xf>
    <xf numFmtId="0" fontId="0" fillId="0" borderId="0" xfId="0"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xf>
    <xf numFmtId="0" fontId="2" fillId="0" borderId="1" xfId="0" applyFont="1" applyBorder="1" applyAlignment="1">
      <alignment horizontal="center" vertical="center"/>
    </xf>
    <xf numFmtId="0" fontId="0" fillId="0" borderId="0" xfId="0" applyAlignment="1">
      <alignment vertical="center" wrapText="1"/>
    </xf>
    <xf numFmtId="0" fontId="0" fillId="0" borderId="0" xfId="0" quotePrefix="1" applyAlignment="1">
      <alignment horizontal="left" vertical="center" wrapText="1"/>
    </xf>
    <xf numFmtId="0" fontId="2" fillId="0" borderId="0" xfId="0" applyFont="1" applyAlignment="1">
      <alignment horizontal="center" vertical="center" wrapText="1"/>
    </xf>
    <xf numFmtId="0" fontId="2" fillId="0" borderId="0" xfId="0" applyFont="1"/>
    <xf numFmtId="0" fontId="2" fillId="0" borderId="0" xfId="0" applyFont="1" applyAlignment="1">
      <alignment horizontal="center" vertical="center"/>
    </xf>
    <xf numFmtId="0" fontId="2" fillId="0" borderId="0" xfId="0" applyFont="1" applyAlignment="1">
      <alignment horizontal="center"/>
    </xf>
    <xf numFmtId="165" fontId="0" fillId="0" borderId="0" xfId="0" applyNumberFormat="1"/>
    <xf numFmtId="167" fontId="0" fillId="0" borderId="0" xfId="0" applyNumberFormat="1"/>
    <xf numFmtId="167" fontId="2" fillId="0" borderId="0" xfId="0" applyNumberFormat="1" applyFont="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xf numFmtId="0" fontId="0" fillId="0" borderId="9" xfId="0" applyBorder="1"/>
    <xf numFmtId="0" fontId="0" fillId="0" borderId="8" xfId="0" applyBorder="1"/>
    <xf numFmtId="167" fontId="0" fillId="0" borderId="9" xfId="0" applyNumberFormat="1" applyBorder="1"/>
    <xf numFmtId="167" fontId="2" fillId="0" borderId="9" xfId="0" applyNumberFormat="1" applyFont="1" applyBorder="1"/>
    <xf numFmtId="0" fontId="0" fillId="0" borderId="10" xfId="0" applyBorder="1"/>
    <xf numFmtId="167" fontId="2" fillId="0" borderId="11" xfId="0" applyNumberFormat="1" applyFont="1" applyBorder="1"/>
    <xf numFmtId="167" fontId="2" fillId="0" borderId="12" xfId="0" applyNumberFormat="1" applyFont="1" applyBorder="1"/>
    <xf numFmtId="1" fontId="0" fillId="0" borderId="0" xfId="0" applyNumberFormat="1"/>
    <xf numFmtId="0" fontId="0" fillId="0" borderId="5" xfId="0" applyBorder="1"/>
    <xf numFmtId="0" fontId="0" fillId="0" borderId="6" xfId="0" applyBorder="1"/>
    <xf numFmtId="0" fontId="0" fillId="0" borderId="7" xfId="0" applyBorder="1"/>
    <xf numFmtId="10" fontId="0" fillId="0" borderId="0" xfId="0" applyNumberFormat="1"/>
    <xf numFmtId="10" fontId="0" fillId="0" borderId="9" xfId="0" applyNumberFormat="1" applyBorder="1"/>
    <xf numFmtId="20" fontId="0" fillId="0" borderId="0" xfId="0" applyNumberFormat="1"/>
    <xf numFmtId="20" fontId="0" fillId="0" borderId="9" xfId="0" applyNumberFormat="1" applyBorder="1"/>
    <xf numFmtId="0" fontId="0" fillId="0" borderId="11" xfId="0" applyBorder="1"/>
    <xf numFmtId="0" fontId="0" fillId="0" borderId="12" xfId="0" applyBorder="1"/>
    <xf numFmtId="168" fontId="0" fillId="0" borderId="0" xfId="0" applyNumberFormat="1"/>
    <xf numFmtId="168" fontId="2" fillId="0" borderId="0" xfId="0" applyNumberFormat="1" applyFont="1"/>
    <xf numFmtId="0" fontId="3" fillId="0" borderId="0" xfId="0" applyFont="1"/>
    <xf numFmtId="17" fontId="2" fillId="0" borderId="0" xfId="0" applyNumberFormat="1" applyFont="1"/>
    <xf numFmtId="0" fontId="2" fillId="0" borderId="13" xfId="0" applyFont="1" applyBorder="1" applyAlignment="1">
      <alignment horizontal="center"/>
    </xf>
    <xf numFmtId="0" fontId="0" fillId="0" borderId="0" xfId="0" applyAlignment="1">
      <alignment horizontal="right"/>
    </xf>
    <xf numFmtId="169" fontId="0" fillId="0" borderId="8" xfId="0" applyNumberFormat="1" applyBorder="1" applyAlignment="1">
      <alignment horizontal="center" vertical="center"/>
    </xf>
    <xf numFmtId="169" fontId="0" fillId="0" borderId="10" xfId="0" applyNumberFormat="1" applyBorder="1" applyAlignment="1">
      <alignment horizontal="center" vertical="center"/>
    </xf>
    <xf numFmtId="167" fontId="0" fillId="0" borderId="1" xfId="0" applyNumberFormat="1" applyBorder="1"/>
    <xf numFmtId="0" fontId="0" fillId="2" borderId="1" xfId="0" applyFill="1" applyBorder="1"/>
    <xf numFmtId="167" fontId="0" fillId="0" borderId="12" xfId="0" applyNumberFormat="1" applyBorder="1"/>
    <xf numFmtId="167" fontId="2" fillId="0" borderId="6" xfId="0" applyNumberFormat="1" applyFont="1" applyBorder="1" applyAlignment="1">
      <alignment horizontal="center" vertical="center"/>
    </xf>
    <xf numFmtId="167" fontId="2" fillId="0" borderId="7" xfId="0" applyNumberFormat="1" applyFont="1" applyBorder="1"/>
    <xf numFmtId="0" fontId="0" fillId="3" borderId="0" xfId="0" applyFill="1"/>
    <xf numFmtId="0" fontId="0" fillId="0" borderId="1" xfId="0" applyBorder="1" applyAlignment="1">
      <alignment horizontal="right"/>
    </xf>
    <xf numFmtId="170" fontId="0" fillId="0" borderId="1" xfId="0" applyNumberFormat="1" applyBorder="1" applyAlignment="1">
      <alignment horizontal="right"/>
    </xf>
    <xf numFmtId="171" fontId="0" fillId="0" borderId="1" xfId="0" applyNumberFormat="1" applyBorder="1" applyAlignment="1">
      <alignment horizontal="right"/>
    </xf>
    <xf numFmtId="1" fontId="2" fillId="0" borderId="0" xfId="0" applyNumberFormat="1" applyFont="1" applyAlignment="1">
      <alignment horizontal="center" vertical="center" wrapText="1"/>
    </xf>
    <xf numFmtId="1" fontId="0" fillId="0" borderId="0" xfId="0" applyNumberFormat="1" applyAlignment="1">
      <alignment horizontal="left" vertical="center" wrapText="1"/>
    </xf>
    <xf numFmtId="170" fontId="0" fillId="0" borderId="1" xfId="0" applyNumberFormat="1" applyBorder="1" applyAlignment="1">
      <alignment horizontal="center" vertical="center"/>
    </xf>
    <xf numFmtId="171" fontId="0" fillId="0" borderId="1" xfId="0" applyNumberFormat="1" applyBorder="1" applyAlignment="1">
      <alignment horizontal="center" vertical="center"/>
    </xf>
    <xf numFmtId="0" fontId="2" fillId="0" borderId="1" xfId="0" applyFont="1" applyBorder="1"/>
    <xf numFmtId="0" fontId="2" fillId="0" borderId="1" xfId="0" applyFont="1" applyBorder="1" applyAlignment="1">
      <alignment horizontal="center" vertical="center" wrapText="1"/>
    </xf>
    <xf numFmtId="172" fontId="0" fillId="0" borderId="0" xfId="0" applyNumberFormat="1"/>
    <xf numFmtId="172" fontId="2" fillId="0" borderId="0" xfId="0" applyNumberFormat="1" applyFont="1"/>
    <xf numFmtId="0" fontId="0" fillId="0" borderId="17" xfId="0" applyBorder="1"/>
    <xf numFmtId="0" fontId="6" fillId="0" borderId="16" xfId="0" applyFont="1" applyBorder="1" applyAlignment="1">
      <alignment horizontal="center"/>
    </xf>
    <xf numFmtId="0" fontId="0" fillId="0" borderId="18" xfId="0" applyBorder="1"/>
    <xf numFmtId="167" fontId="0" fillId="0" borderId="17" xfId="0" applyNumberFormat="1" applyBorder="1"/>
    <xf numFmtId="167" fontId="0" fillId="0" borderId="18" xfId="0" applyNumberFormat="1" applyBorder="1"/>
    <xf numFmtId="0" fontId="6" fillId="0" borderId="0" xfId="0" applyFont="1" applyAlignment="1">
      <alignment horizontal="center"/>
    </xf>
    <xf numFmtId="0" fontId="7" fillId="0" borderId="0" xfId="0" applyFont="1" applyAlignment="1">
      <alignment horizontal="left"/>
    </xf>
    <xf numFmtId="173" fontId="0" fillId="0" borderId="0" xfId="0" applyNumberFormat="1" applyAlignment="1">
      <alignment horizontal="center" vertical="center" wrapText="1"/>
    </xf>
    <xf numFmtId="0" fontId="2" fillId="0" borderId="1" xfId="0" applyFont="1" applyBorder="1" applyAlignment="1">
      <alignment horizontal="center" wrapText="1"/>
    </xf>
    <xf numFmtId="165" fontId="0" fillId="0" borderId="1" xfId="0" applyNumberFormat="1" applyBorder="1"/>
    <xf numFmtId="172" fontId="0" fillId="0" borderId="0" xfId="0" applyNumberFormat="1" applyAlignment="1">
      <alignment horizontal="center" vertical="center" wrapText="1"/>
    </xf>
    <xf numFmtId="165" fontId="0" fillId="0" borderId="0" xfId="0" applyNumberFormat="1" applyAlignment="1">
      <alignment vertical="center"/>
    </xf>
    <xf numFmtId="1" fontId="0" fillId="0" borderId="0" xfId="0"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174" fontId="0" fillId="0" borderId="0" xfId="0" applyNumberFormat="1" applyAlignment="1">
      <alignment horizontal="center" vertical="center"/>
    </xf>
    <xf numFmtId="0" fontId="0" fillId="0" borderId="0" xfId="0" applyAlignment="1">
      <alignment horizontal="left"/>
    </xf>
    <xf numFmtId="0" fontId="0" fillId="4" borderId="0" xfId="0" applyFill="1"/>
    <xf numFmtId="0" fontId="2" fillId="4" borderId="0" xfId="0" applyFont="1" applyFill="1" applyAlignment="1">
      <alignment horizontal="center" vertical="center" wrapText="1"/>
    </xf>
    <xf numFmtId="14" fontId="0" fillId="0" borderId="0" xfId="0" applyNumberFormat="1" applyAlignment="1">
      <alignment horizontal="center" vertical="center"/>
    </xf>
    <xf numFmtId="0" fontId="2" fillId="5" borderId="0" xfId="0" applyFont="1" applyFill="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0" fillId="5" borderId="0" xfId="0" applyFill="1" applyAlignment="1">
      <alignment horizontal="center" vertical="center" wrapText="1"/>
    </xf>
    <xf numFmtId="0" fontId="2" fillId="5" borderId="0" xfId="0" applyFont="1" applyFill="1" applyAlignment="1">
      <alignment horizontal="left" vertical="center"/>
    </xf>
    <xf numFmtId="0" fontId="0" fillId="5" borderId="0" xfId="0" applyFill="1" applyAlignment="1">
      <alignment horizontal="center" vertical="center"/>
    </xf>
    <xf numFmtId="170" fontId="2" fillId="0" borderId="0" xfId="0" applyNumberFormat="1" applyFont="1" applyAlignment="1">
      <alignment horizontal="center" vertical="center"/>
    </xf>
    <xf numFmtId="171" fontId="2" fillId="0" borderId="0" xfId="0" applyNumberFormat="1" applyFont="1" applyAlignment="1">
      <alignment horizontal="center" vertical="center"/>
    </xf>
    <xf numFmtId="170" fontId="2" fillId="5" borderId="0" xfId="0" applyNumberFormat="1" applyFont="1" applyFill="1" applyAlignment="1">
      <alignment horizontal="left" vertical="center"/>
    </xf>
    <xf numFmtId="171" fontId="2" fillId="5" borderId="0" xfId="0" applyNumberFormat="1" applyFont="1" applyFill="1" applyAlignment="1">
      <alignment horizontal="left" vertical="center"/>
    </xf>
    <xf numFmtId="0" fontId="2" fillId="0" borderId="0" xfId="0" applyFont="1" applyAlignment="1">
      <alignment vertical="center"/>
    </xf>
    <xf numFmtId="0" fontId="2" fillId="0" borderId="9" xfId="0" applyFont="1" applyBorder="1" applyAlignment="1">
      <alignment horizont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2" fillId="0" borderId="10" xfId="0" applyFont="1" applyBorder="1"/>
    <xf numFmtId="0" fontId="0" fillId="0" borderId="5" xfId="0"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167" fontId="0" fillId="0" borderId="0" xfId="0" applyNumberFormat="1" applyAlignment="1">
      <alignment vertical="center"/>
    </xf>
    <xf numFmtId="0" fontId="0" fillId="0" borderId="0" xfId="0" applyAlignment="1">
      <alignment vertical="top" wrapText="1"/>
    </xf>
    <xf numFmtId="0" fontId="2" fillId="0" borderId="5" xfId="0" applyFont="1" applyBorder="1"/>
    <xf numFmtId="9" fontId="0" fillId="0" borderId="0" xfId="0" applyNumberFormat="1"/>
    <xf numFmtId="1" fontId="2" fillId="0" borderId="0" xfId="0" applyNumberFormat="1" applyFont="1"/>
    <xf numFmtId="0" fontId="0" fillId="0" borderId="0" xfId="0" pivotButton="1"/>
    <xf numFmtId="0" fontId="0" fillId="0" borderId="0" xfId="0" applyAlignment="1">
      <alignment horizontal="left" indent="1"/>
    </xf>
    <xf numFmtId="0" fontId="0" fillId="0" borderId="0" xfId="0" applyAlignment="1">
      <alignment horizontal="left" indent="2"/>
    </xf>
    <xf numFmtId="167" fontId="0" fillId="4" borderId="0" xfId="0" applyNumberFormat="1" applyFill="1"/>
    <xf numFmtId="2" fontId="2" fillId="0" borderId="0" xfId="0" applyNumberFormat="1" applyFont="1"/>
    <xf numFmtId="9" fontId="0" fillId="0" borderId="0" xfId="0" applyNumberFormat="1" applyAlignment="1">
      <alignment horizontal="center" vertical="center"/>
    </xf>
    <xf numFmtId="9" fontId="0" fillId="0" borderId="11" xfId="0" applyNumberFormat="1" applyBorder="1" applyAlignment="1">
      <alignment horizontal="center" vertical="center"/>
    </xf>
    <xf numFmtId="9" fontId="0" fillId="0" borderId="9" xfId="0" applyNumberFormat="1" applyBorder="1" applyAlignment="1">
      <alignment horizontal="center" vertical="center"/>
    </xf>
    <xf numFmtId="0" fontId="2" fillId="4" borderId="0" xfId="0" applyFont="1" applyFill="1"/>
    <xf numFmtId="0" fontId="8" fillId="0" borderId="0" xfId="0" applyFont="1" applyAlignment="1">
      <alignment horizontal="left" vertical="center"/>
    </xf>
    <xf numFmtId="0" fontId="9" fillId="0" borderId="0" xfId="0" applyFont="1" applyAlignment="1">
      <alignment horizontal="left" vertical="center"/>
    </xf>
    <xf numFmtId="167" fontId="8" fillId="0" borderId="0" xfId="0" quotePrefix="1" applyNumberFormat="1" applyFont="1" applyAlignment="1">
      <alignment horizontal="left" vertical="center"/>
    </xf>
    <xf numFmtId="0" fontId="2" fillId="4" borderId="0" xfId="0" applyFont="1" applyFill="1" applyAlignment="1">
      <alignment horizontal="center" vertical="center"/>
    </xf>
    <xf numFmtId="0" fontId="0" fillId="0" borderId="8" xfId="0" applyBorder="1" applyAlignment="1">
      <alignment horizontal="center" vertical="center"/>
    </xf>
    <xf numFmtId="167" fontId="0" fillId="0" borderId="9" xfId="0" applyNumberFormat="1" applyBorder="1" applyAlignment="1">
      <alignment vertical="center"/>
    </xf>
    <xf numFmtId="167" fontId="0" fillId="4" borderId="0" xfId="0" quotePrefix="1" applyNumberFormat="1" applyFill="1" applyAlignment="1">
      <alignment vertical="center"/>
    </xf>
    <xf numFmtId="167" fontId="0" fillId="4" borderId="0" xfId="0" quotePrefix="1" applyNumberFormat="1" applyFill="1"/>
    <xf numFmtId="0" fontId="0" fillId="0" borderId="10" xfId="0" applyBorder="1" applyAlignment="1">
      <alignment horizontal="center" vertical="center"/>
    </xf>
    <xf numFmtId="167" fontId="0" fillId="4" borderId="11" xfId="0" quotePrefix="1" applyNumberFormat="1" applyFill="1" applyBorder="1" applyAlignment="1">
      <alignment vertical="center"/>
    </xf>
    <xf numFmtId="167" fontId="0" fillId="4" borderId="11" xfId="0" quotePrefix="1" applyNumberFormat="1" applyFill="1" applyBorder="1"/>
    <xf numFmtId="167" fontId="0" fillId="0" borderId="11" xfId="0" applyNumberFormat="1" applyBorder="1"/>
    <xf numFmtId="167" fontId="0" fillId="0" borderId="12" xfId="0" applyNumberFormat="1" applyBorder="1" applyAlignment="1">
      <alignment vertical="center"/>
    </xf>
    <xf numFmtId="0" fontId="0" fillId="4" borderId="0" xfId="0" applyFill="1" applyAlignment="1">
      <alignment horizontal="right"/>
    </xf>
    <xf numFmtId="0" fontId="2" fillId="0" borderId="7" xfId="0" applyFont="1" applyBorder="1" applyAlignment="1">
      <alignment horizontal="center" vertical="center" wrapText="1"/>
    </xf>
    <xf numFmtId="165" fontId="0" fillId="0" borderId="0" xfId="0" pivotButton="1" applyNumberFormat="1"/>
    <xf numFmtId="14" fontId="0" fillId="0" borderId="0" xfId="0" applyNumberFormat="1"/>
    <xf numFmtId="0" fontId="2" fillId="6" borderId="0" xfId="0" applyFont="1" applyFill="1"/>
    <xf numFmtId="165" fontId="0" fillId="0" borderId="9" xfId="0" applyNumberFormat="1" applyBorder="1"/>
    <xf numFmtId="165" fontId="0" fillId="0" borderId="12" xfId="0" applyNumberFormat="1" applyBorder="1"/>
    <xf numFmtId="165" fontId="0" fillId="0" borderId="24" xfId="0" applyNumberFormat="1" applyBorder="1"/>
    <xf numFmtId="165" fontId="0" fillId="0" borderId="19" xfId="0" applyNumberFormat="1" applyBorder="1"/>
    <xf numFmtId="165" fontId="0" fillId="0" borderId="26" xfId="0" applyNumberFormat="1" applyBorder="1"/>
    <xf numFmtId="167" fontId="0" fillId="0" borderId="5" xfId="0" applyNumberFormat="1" applyBorder="1"/>
    <xf numFmtId="167" fontId="2" fillId="6" borderId="20" xfId="0" applyNumberFormat="1" applyFont="1" applyFill="1" applyBorder="1"/>
    <xf numFmtId="165" fontId="2" fillId="6" borderId="21" xfId="0" applyNumberFormat="1" applyFont="1" applyFill="1" applyBorder="1" applyAlignment="1">
      <alignment horizontal="center" vertical="center"/>
    </xf>
    <xf numFmtId="165" fontId="2" fillId="6" borderId="22" xfId="0" applyNumberFormat="1" applyFont="1" applyFill="1" applyBorder="1" applyAlignment="1">
      <alignment horizontal="center" vertical="center"/>
    </xf>
    <xf numFmtId="169" fontId="2" fillId="6" borderId="23" xfId="0" applyNumberFormat="1" applyFont="1" applyFill="1" applyBorder="1" applyAlignment="1">
      <alignment horizontal="center" vertical="center"/>
    </xf>
    <xf numFmtId="169" fontId="2" fillId="6" borderId="25" xfId="0" applyNumberFormat="1" applyFont="1" applyFill="1" applyBorder="1" applyAlignment="1">
      <alignment horizontal="center" vertical="center"/>
    </xf>
    <xf numFmtId="167" fontId="2" fillId="0" borderId="8" xfId="0" applyNumberFormat="1" applyFont="1" applyBorder="1" applyAlignment="1">
      <alignment horizontal="center" vertical="center"/>
    </xf>
    <xf numFmtId="167" fontId="2" fillId="0" borderId="10" xfId="0" applyNumberFormat="1" applyFont="1" applyBorder="1" applyAlignment="1">
      <alignment horizontal="center" vertical="center"/>
    </xf>
    <xf numFmtId="1" fontId="0" fillId="4" borderId="0" xfId="0" applyNumberFormat="1" applyFill="1"/>
    <xf numFmtId="165" fontId="2" fillId="6" borderId="0" xfId="0" applyNumberFormat="1" applyFont="1" applyFill="1"/>
    <xf numFmtId="0" fontId="0" fillId="4" borderId="0" xfId="0" applyFill="1" applyAlignment="1">
      <alignment horizontal="center" vertical="center"/>
    </xf>
    <xf numFmtId="1" fontId="0" fillId="7" borderId="0" xfId="0" applyNumberFormat="1" applyFill="1"/>
    <xf numFmtId="0" fontId="2" fillId="7" borderId="0" xfId="0" applyFont="1" applyFill="1"/>
    <xf numFmtId="1" fontId="2" fillId="7" borderId="0" xfId="0" applyNumberFormat="1" applyFont="1" applyFill="1"/>
    <xf numFmtId="175" fontId="0" fillId="0" borderId="14" xfId="0" applyNumberFormat="1" applyBorder="1" applyAlignment="1">
      <alignment horizontal="center"/>
    </xf>
    <xf numFmtId="175" fontId="0" fillId="0" borderId="15" xfId="0" applyNumberFormat="1" applyBorder="1" applyAlignment="1">
      <alignment horizontal="center"/>
    </xf>
    <xf numFmtId="0" fontId="10" fillId="8" borderId="19" xfId="0" applyFont="1" applyFill="1" applyBorder="1" applyAlignment="1">
      <alignment horizontal="left"/>
    </xf>
    <xf numFmtId="0" fontId="10" fillId="8" borderId="6" xfId="0" applyFont="1" applyFill="1" applyBorder="1" applyAlignment="1">
      <alignment horizontal="left"/>
    </xf>
    <xf numFmtId="0" fontId="0" fillId="0" borderId="3" xfId="0" applyBorder="1"/>
    <xf numFmtId="0" fontId="11" fillId="9" borderId="0" xfId="0" applyFont="1" applyFill="1" applyAlignment="1">
      <alignment horizontal="left"/>
    </xf>
    <xf numFmtId="0" fontId="6" fillId="9" borderId="3" xfId="0" applyFont="1" applyFill="1" applyBorder="1" applyAlignment="1">
      <alignment horizontal="left"/>
    </xf>
    <xf numFmtId="0" fontId="11" fillId="9" borderId="11" xfId="0" applyFont="1" applyFill="1" applyBorder="1" applyAlignment="1">
      <alignment horizontal="left"/>
    </xf>
    <xf numFmtId="0" fontId="12" fillId="8" borderId="6" xfId="0" applyFont="1" applyFill="1" applyBorder="1" applyAlignment="1">
      <alignment horizontal="right"/>
    </xf>
    <xf numFmtId="0" fontId="12" fillId="8" borderId="19" xfId="0" applyFont="1" applyFill="1" applyBorder="1" applyAlignment="1">
      <alignment horizontal="right"/>
    </xf>
    <xf numFmtId="0" fontId="0" fillId="10" borderId="0" xfId="0" applyFill="1"/>
    <xf numFmtId="0" fontId="13" fillId="0" borderId="0" xfId="0" applyFont="1" applyAlignment="1">
      <alignment vertical="top" wrapText="1"/>
    </xf>
    <xf numFmtId="167" fontId="0" fillId="10" borderId="0" xfId="0" applyNumberFormat="1" applyFill="1"/>
    <xf numFmtId="0" fontId="0" fillId="7" borderId="8" xfId="0" applyFill="1" applyBorder="1"/>
    <xf numFmtId="0" fontId="2" fillId="7" borderId="8" xfId="0" applyFont="1" applyFill="1" applyBorder="1"/>
    <xf numFmtId="0" fontId="2" fillId="7" borderId="10" xfId="0" applyFont="1" applyFill="1" applyBorder="1"/>
    <xf numFmtId="175" fontId="0" fillId="0" borderId="0" xfId="0" applyNumberFormat="1" applyAlignment="1">
      <alignment horizontal="center"/>
    </xf>
    <xf numFmtId="17" fontId="12" fillId="8" borderId="19" xfId="0" applyNumberFormat="1" applyFont="1" applyFill="1" applyBorder="1" applyAlignment="1">
      <alignment horizontal="right"/>
    </xf>
    <xf numFmtId="17" fontId="2" fillId="7" borderId="6" xfId="0" applyNumberFormat="1" applyFont="1" applyFill="1" applyBorder="1"/>
    <xf numFmtId="17" fontId="2" fillId="7" borderId="7" xfId="0" applyNumberFormat="1" applyFont="1" applyFill="1" applyBorder="1"/>
    <xf numFmtId="9" fontId="0" fillId="4" borderId="0" xfId="1" applyFont="1" applyFill="1" applyAlignment="1">
      <alignment horizontal="right"/>
    </xf>
    <xf numFmtId="10" fontId="0" fillId="4" borderId="0" xfId="1" applyNumberFormat="1" applyFont="1" applyFill="1" applyAlignment="1">
      <alignment horizontal="right"/>
    </xf>
    <xf numFmtId="0" fontId="2" fillId="0" borderId="5" xfId="0" applyFont="1"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vertical="center" wrapText="1"/>
    </xf>
    <xf numFmtId="0" fontId="0" fillId="2" borderId="1" xfId="0" applyFill="1" applyBorder="1" applyAlignment="1">
      <alignment horizontal="center" vertical="center"/>
    </xf>
    <xf numFmtId="0" fontId="0" fillId="2" borderId="8" xfId="0" applyFill="1" applyBorder="1" applyAlignment="1">
      <alignment horizontal="center" vertical="center" wrapText="1"/>
    </xf>
    <xf numFmtId="0" fontId="0" fillId="2" borderId="9" xfId="0" applyFill="1" applyBorder="1" applyAlignment="1">
      <alignment vertical="center"/>
    </xf>
    <xf numFmtId="0" fontId="0" fillId="2" borderId="10" xfId="0" applyFill="1" applyBorder="1" applyAlignment="1">
      <alignment horizontal="center" vertical="center" wrapText="1"/>
    </xf>
    <xf numFmtId="0" fontId="0" fillId="2" borderId="12" xfId="0" applyFill="1" applyBorder="1" applyAlignment="1">
      <alignment vertical="center"/>
    </xf>
    <xf numFmtId="0" fontId="0" fillId="11" borderId="0" xfId="0" applyFill="1"/>
    <xf numFmtId="0" fontId="0" fillId="11" borderId="0" xfId="0" applyFill="1" applyAlignment="1">
      <alignment horizontal="center"/>
    </xf>
    <xf numFmtId="0" fontId="0" fillId="11" borderId="0" xfId="0" applyFill="1" applyAlignment="1">
      <alignment horizontal="left"/>
    </xf>
    <xf numFmtId="14" fontId="0" fillId="11" borderId="0" xfId="0" applyNumberFormat="1" applyFill="1" applyAlignment="1">
      <alignment horizontal="left"/>
    </xf>
    <xf numFmtId="165" fontId="0" fillId="11" borderId="0" xfId="0" applyNumberFormat="1" applyFill="1"/>
    <xf numFmtId="0" fontId="0" fillId="11" borderId="0" xfId="0" applyFill="1" applyAlignment="1">
      <alignment vertical="center" wrapText="1"/>
    </xf>
    <xf numFmtId="0" fontId="0" fillId="11" borderId="0" xfId="0" applyFill="1" applyAlignment="1">
      <alignment horizontal="center" vertical="center" wrapText="1"/>
    </xf>
    <xf numFmtId="0" fontId="0" fillId="11" borderId="0" xfId="0" applyFill="1" applyAlignment="1">
      <alignment horizontal="center" vertical="center"/>
    </xf>
    <xf numFmtId="0" fontId="0" fillId="11" borderId="0" xfId="0" applyFill="1" applyAlignment="1">
      <alignment horizontal="left" vertical="center"/>
    </xf>
    <xf numFmtId="9" fontId="0" fillId="11" borderId="0" xfId="1" applyFont="1" applyFill="1"/>
    <xf numFmtId="9" fontId="0" fillId="11" borderId="0" xfId="0" applyNumberFormat="1" applyFill="1"/>
    <xf numFmtId="0" fontId="0" fillId="11" borderId="0" xfId="0" applyFill="1" applyAlignment="1">
      <alignment vertical="center"/>
    </xf>
    <xf numFmtId="165" fontId="0" fillId="11" borderId="0" xfId="0" applyNumberFormat="1" applyFill="1" applyAlignment="1">
      <alignment vertical="center"/>
    </xf>
    <xf numFmtId="9" fontId="2" fillId="11" borderId="0" xfId="1" applyFont="1" applyFill="1"/>
    <xf numFmtId="9" fontId="2" fillId="11" borderId="0" xfId="0" applyNumberFormat="1" applyFont="1" applyFill="1"/>
    <xf numFmtId="0" fontId="0" fillId="12" borderId="0" xfId="0" applyFill="1"/>
    <xf numFmtId="9" fontId="2" fillId="11" borderId="0" xfId="0" applyNumberFormat="1" applyFont="1" applyFill="1" applyAlignment="1">
      <alignment horizontal="right" vertical="center"/>
    </xf>
    <xf numFmtId="0" fontId="0" fillId="11" borderId="0" xfId="0" applyFill="1" applyAlignment="1">
      <alignment horizontal="left" vertical="center" wrapText="1"/>
    </xf>
    <xf numFmtId="14" fontId="0" fillId="11" borderId="8" xfId="0" applyNumberFormat="1" applyFill="1" applyBorder="1" applyAlignment="1">
      <alignment horizontal="center" vertical="center" wrapText="1"/>
    </xf>
    <xf numFmtId="0" fontId="0" fillId="11" borderId="9" xfId="0" applyFill="1" applyBorder="1" applyAlignment="1">
      <alignment vertical="center" wrapText="1"/>
    </xf>
    <xf numFmtId="0" fontId="0" fillId="11" borderId="8" xfId="0" applyFill="1" applyBorder="1" applyAlignment="1">
      <alignment horizontal="center" vertical="center" wrapText="1"/>
    </xf>
    <xf numFmtId="17" fontId="0" fillId="11" borderId="8" xfId="0" applyNumberFormat="1" applyFill="1" applyBorder="1" applyAlignment="1">
      <alignment horizontal="center" vertical="center" wrapText="1"/>
    </xf>
    <xf numFmtId="0" fontId="0" fillId="11" borderId="10" xfId="0" applyFill="1" applyBorder="1" applyAlignment="1">
      <alignment horizontal="center" vertical="center" wrapText="1"/>
    </xf>
    <xf numFmtId="0" fontId="0" fillId="11" borderId="11" xfId="0" applyFill="1" applyBorder="1" applyAlignment="1">
      <alignment horizontal="center" vertical="center" wrapText="1"/>
    </xf>
    <xf numFmtId="0" fontId="2" fillId="11" borderId="5"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0" fillId="11" borderId="0" xfId="0" applyFill="1" applyAlignment="1">
      <alignment horizontal="right" vertical="center"/>
    </xf>
    <xf numFmtId="0" fontId="2" fillId="11" borderId="0" xfId="0" applyFont="1" applyFill="1" applyAlignment="1">
      <alignment horizontal="left" vertical="center"/>
    </xf>
    <xf numFmtId="165" fontId="0" fillId="11" borderId="9" xfId="0" applyNumberFormat="1" applyFill="1" applyBorder="1"/>
    <xf numFmtId="165" fontId="0" fillId="11" borderId="11" xfId="0" applyNumberFormat="1" applyFill="1" applyBorder="1"/>
    <xf numFmtId="165" fontId="0" fillId="11" borderId="12" xfId="0" applyNumberFormat="1" applyFill="1" applyBorder="1"/>
    <xf numFmtId="0" fontId="2" fillId="11" borderId="0" xfId="0" applyFont="1" applyFill="1" applyAlignment="1">
      <alignment horizontal="center" vertical="center"/>
    </xf>
    <xf numFmtId="0" fontId="0" fillId="11" borderId="10" xfId="0" applyFill="1" applyBorder="1" applyAlignment="1">
      <alignment horizontal="center"/>
    </xf>
    <xf numFmtId="14" fontId="2" fillId="11" borderId="5" xfId="0" applyNumberFormat="1" applyFont="1" applyFill="1" applyBorder="1" applyAlignment="1">
      <alignment horizontal="center" vertical="center" wrapText="1"/>
    </xf>
    <xf numFmtId="0" fontId="0" fillId="11" borderId="11" xfId="0" applyFill="1" applyBorder="1"/>
    <xf numFmtId="0" fontId="0" fillId="11" borderId="12" xfId="0" applyFill="1" applyBorder="1"/>
    <xf numFmtId="0" fontId="0" fillId="11" borderId="9" xfId="0" applyFill="1" applyBorder="1"/>
    <xf numFmtId="0" fontId="0" fillId="11" borderId="8" xfId="0" applyFill="1" applyBorder="1" applyAlignment="1">
      <alignment horizontal="right" vertical="center"/>
    </xf>
    <xf numFmtId="0" fontId="0" fillId="11" borderId="10" xfId="0" applyFill="1" applyBorder="1" applyAlignment="1">
      <alignment horizontal="right" vertical="center"/>
    </xf>
    <xf numFmtId="0" fontId="2" fillId="0" borderId="13" xfId="0" applyFont="1" applyBorder="1" applyAlignment="1">
      <alignment horizontal="center" vertical="center"/>
    </xf>
    <xf numFmtId="0" fontId="0" fillId="0" borderId="15" xfId="0" applyBorder="1"/>
    <xf numFmtId="14" fontId="2" fillId="0" borderId="1" xfId="0" applyNumberFormat="1" applyFont="1" applyBorder="1" applyAlignment="1">
      <alignment horizontal="center" vertical="center" wrapText="1"/>
    </xf>
    <xf numFmtId="0" fontId="0" fillId="11" borderId="1" xfId="0" applyFill="1" applyBorder="1"/>
    <xf numFmtId="0" fontId="0" fillId="0" borderId="1" xfId="0" applyBorder="1" applyAlignment="1">
      <alignment horizontal="center" vertical="center" wrapText="1"/>
    </xf>
    <xf numFmtId="0" fontId="0" fillId="0" borderId="1" xfId="0" applyBorder="1" applyAlignment="1">
      <alignment vertical="center" wrapText="1"/>
    </xf>
    <xf numFmtId="17" fontId="0" fillId="0" borderId="1" xfId="0" applyNumberFormat="1" applyBorder="1" applyAlignment="1">
      <alignment horizontal="center" vertical="center" wrapText="1"/>
    </xf>
    <xf numFmtId="0" fontId="2" fillId="11" borderId="1" xfId="0" applyFont="1" applyFill="1" applyBorder="1" applyAlignment="1">
      <alignment horizontal="center" vertical="center"/>
    </xf>
    <xf numFmtId="0" fontId="0" fillId="0" borderId="0" xfId="0" applyAlignment="1">
      <alignment vertical="center"/>
    </xf>
    <xf numFmtId="165" fontId="2" fillId="0" borderId="0" xfId="0" applyNumberFormat="1" applyFont="1" applyAlignment="1">
      <alignment horizontal="center" vertical="center" wrapText="1"/>
    </xf>
    <xf numFmtId="9" fontId="2" fillId="0" borderId="0" xfId="0" applyNumberFormat="1" applyFont="1"/>
    <xf numFmtId="9" fontId="2" fillId="0" borderId="0" xfId="0" applyNumberFormat="1" applyFont="1" applyAlignment="1">
      <alignment vertical="center"/>
    </xf>
    <xf numFmtId="165" fontId="2" fillId="0" borderId="0" xfId="0" applyNumberFormat="1" applyFont="1"/>
    <xf numFmtId="165" fontId="2" fillId="0" borderId="0" xfId="0" applyNumberFormat="1" applyFont="1" applyAlignment="1">
      <alignment vertical="center"/>
    </xf>
    <xf numFmtId="165" fontId="0" fillId="0" borderId="11" xfId="0" applyNumberFormat="1" applyBorder="1"/>
    <xf numFmtId="165" fontId="0" fillId="10" borderId="0" xfId="0" applyNumberFormat="1" applyFill="1"/>
    <xf numFmtId="9" fontId="0" fillId="0" borderId="0" xfId="1" applyFont="1" applyFill="1" applyBorder="1"/>
    <xf numFmtId="177" fontId="0" fillId="0" borderId="0" xfId="1" applyNumberFormat="1" applyFont="1" applyFill="1" applyBorder="1"/>
    <xf numFmtId="0" fontId="0" fillId="0" borderId="0" xfId="0" applyAlignment="1">
      <alignment horizontal="right" vertical="center"/>
    </xf>
    <xf numFmtId="176" fontId="0" fillId="0" borderId="0" xfId="0" applyNumberFormat="1"/>
    <xf numFmtId="178" fontId="0" fillId="0" borderId="0" xfId="0" applyNumberFormat="1"/>
    <xf numFmtId="166" fontId="0" fillId="0" borderId="0" xfId="0" applyNumberFormat="1"/>
    <xf numFmtId="0" fontId="0" fillId="0" borderId="1" xfId="0" applyBorder="1" applyAlignment="1">
      <alignment horizontal="left" vertical="center"/>
    </xf>
    <xf numFmtId="1" fontId="0" fillId="0" borderId="0" xfId="0" applyNumberFormat="1" applyAlignment="1">
      <alignment horizontal="center" vertical="center"/>
    </xf>
    <xf numFmtId="164" fontId="0" fillId="0" borderId="0" xfId="0" applyNumberFormat="1"/>
    <xf numFmtId="0" fontId="2" fillId="0" borderId="0" xfId="0" applyFont="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5" borderId="0" xfId="0" applyFill="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xf>
    <xf numFmtId="0" fontId="2" fillId="0" borderId="9" xfId="0" applyFont="1" applyBorder="1" applyAlignment="1">
      <alignment horizontal="center"/>
    </xf>
    <xf numFmtId="0" fontId="2" fillId="0" borderId="9"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Alignment="1">
      <alignment horizontal="left" vertical="top"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cellXfs>
  <cellStyles count="2">
    <cellStyle name="Normal" xfId="0" builtinId="0"/>
    <cellStyle name="Percent" xfId="1" builtinId="5"/>
  </cellStyles>
  <dxfs count="303">
    <dxf>
      <fill>
        <patternFill>
          <fgColor theme="6" tint="0.39994506668294322"/>
        </patternFill>
      </fill>
    </dxf>
    <dxf>
      <fill>
        <patternFill>
          <bgColor theme="6" tint="0.39994506668294322"/>
        </patternFill>
      </fill>
    </dxf>
    <dxf>
      <fill>
        <patternFill>
          <bgColor theme="0" tint="-4.9989318521683403E-2"/>
        </patternFill>
      </fill>
    </dxf>
    <dxf>
      <fill>
        <patternFill>
          <bgColor theme="0" tint="-0.14996795556505021"/>
        </patternFill>
      </fill>
    </dxf>
    <dxf>
      <fill>
        <patternFill>
          <bgColor theme="6" tint="0.59996337778862885"/>
        </patternFill>
      </fill>
    </dxf>
    <dxf>
      <font>
        <color theme="1"/>
      </font>
      <fill>
        <patternFill>
          <bgColor rgb="FF00B050"/>
        </patternFill>
      </fill>
    </dxf>
    <dxf>
      <fill>
        <patternFill>
          <bgColor rgb="FFFF0000"/>
        </patternFill>
      </fill>
    </dxf>
    <dxf>
      <fill>
        <patternFill>
          <bgColor theme="7" tint="0.59996337778862885"/>
        </patternFill>
      </fill>
    </dxf>
    <dxf>
      <fill>
        <patternFill>
          <bgColor theme="6" tint="0.59996337778862885"/>
        </patternFill>
      </fill>
    </dxf>
    <dxf>
      <fill>
        <patternFill>
          <bgColor theme="7" tint="0.59996337778862885"/>
        </patternFill>
      </fill>
    </dxf>
    <dxf>
      <fill>
        <patternFill>
          <bgColor theme="7" tint="0.59996337778862885"/>
        </patternFill>
      </fill>
    </dxf>
    <dxf>
      <fill>
        <patternFill>
          <bgColor theme="6" tint="0.59996337778862885"/>
        </patternFill>
      </fill>
    </dxf>
    <dxf>
      <fill>
        <patternFill>
          <bgColor theme="7" tint="0.59996337778862885"/>
        </patternFill>
      </fill>
    </dxf>
    <dxf>
      <fill>
        <patternFill>
          <bgColor theme="7" tint="0.59996337778862885"/>
        </patternFill>
      </fill>
    </dxf>
    <dxf>
      <fill>
        <patternFill>
          <bgColor theme="6" tint="0.59996337778862885"/>
        </patternFill>
      </fill>
    </dxf>
    <dxf>
      <fill>
        <patternFill>
          <bgColor theme="7" tint="0.59996337778862885"/>
        </patternFill>
      </fill>
    </dxf>
    <dxf>
      <fill>
        <patternFill>
          <fgColor theme="6" tint="0.39994506668294322"/>
        </patternFill>
      </fill>
    </dxf>
    <dxf>
      <fill>
        <patternFill>
          <bgColor theme="6" tint="0.39994506668294322"/>
        </patternFill>
      </fill>
    </dxf>
    <dxf>
      <fill>
        <patternFill>
          <bgColor theme="0" tint="-4.9989318521683403E-2"/>
        </patternFill>
      </fill>
    </dxf>
    <dxf>
      <fill>
        <patternFill>
          <bgColor theme="0" tint="-0.14996795556505021"/>
        </patternFill>
      </fill>
    </dxf>
    <dxf>
      <fill>
        <patternFill>
          <bgColor theme="6" tint="0.59996337778862885"/>
        </patternFill>
      </fill>
    </dxf>
    <dxf>
      <fill>
        <patternFill>
          <bgColor theme="6" tint="0.59996337778862885"/>
        </patternFill>
      </fill>
    </dxf>
    <dxf>
      <font>
        <color theme="1"/>
      </font>
      <fill>
        <patternFill>
          <bgColor rgb="FF00B050"/>
        </patternFill>
      </fill>
    </dxf>
    <dxf>
      <fill>
        <patternFill>
          <bgColor rgb="FFFF0000"/>
        </patternFill>
      </fill>
    </dxf>
    <dxf>
      <numFmt numFmtId="1" formatCode="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numFmt numFmtId="1" formatCode="0"/>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general"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dxf>
    <dxf>
      <font>
        <b val="0"/>
      </font>
      <numFmt numFmtId="165" formatCode="_(&quot;IDR&quot;* #,##0_);_(&quot;IDR&quot;* \(#,##0\);_(&quot;IDR&quot;* &quot;-&quot;_);_(@_)"/>
      <fill>
        <patternFill patternType="none">
          <fgColor indexed="64"/>
          <bgColor auto="1"/>
        </patternFill>
      </fill>
    </dxf>
    <dxf>
      <font>
        <b val="0"/>
      </font>
      <numFmt numFmtId="13" formatCode="0%"/>
      <fill>
        <patternFill patternType="none">
          <fgColor indexed="64"/>
          <bgColor auto="1"/>
        </patternFill>
      </fill>
      <alignment horizontal="center" vertical="center" textRotation="0" wrapText="0" indent="0" justifyLastLine="0" shrinkToFit="0" readingOrder="0"/>
    </dxf>
    <dxf>
      <font>
        <b val="0"/>
      </font>
      <numFmt numFmtId="165" formatCode="_(&quot;IDR&quot;* #,##0_);_(&quot;IDR&quot;* \(#,##0\);_(&quot;IDR&quot;* &quot;-&quot;_);_(@_)"/>
      <fill>
        <patternFill patternType="none">
          <fgColor indexed="64"/>
          <bgColor auto="1"/>
        </patternFill>
      </fill>
    </dxf>
    <dxf>
      <font>
        <b val="0"/>
      </font>
      <fill>
        <patternFill patternType="none">
          <fgColor indexed="64"/>
          <bgColor auto="1"/>
        </patternFill>
      </fill>
      <alignment horizontal="center" vertical="center" textRotation="0" wrapText="0" indent="0" justifyLastLine="0" shrinkToFit="0" readingOrder="0"/>
    </dxf>
    <dxf>
      <font>
        <b val="0"/>
      </font>
      <fill>
        <patternFill patternType="none">
          <fgColor indexed="64"/>
          <bgColor auto="1"/>
        </patternFill>
      </fill>
      <alignment horizontal="general" vertical="center" textRotation="0" wrapText="0" indent="0" justifyLastLine="0" shrinkToFit="0" readingOrder="0"/>
    </dxf>
    <dxf>
      <font>
        <b val="0"/>
      </font>
      <fill>
        <patternFill patternType="none">
          <fgColor indexed="64"/>
          <bgColor auto="1"/>
        </patternFill>
      </fill>
      <alignment horizontal="general" vertical="center" textRotation="0" wrapText="0" indent="0" justifyLastLine="0" shrinkToFit="0" readingOrder="0"/>
    </dxf>
    <dxf>
      <font>
        <b val="0"/>
      </font>
      <fill>
        <patternFill patternType="none">
          <fgColor indexed="64"/>
          <bgColor auto="1"/>
        </patternFill>
      </fill>
      <alignment horizontal="center" vertical="center" textRotation="0" wrapText="0" indent="0" justifyLastLine="0" shrinkToFit="0" readingOrder="0"/>
    </dxf>
    <dxf>
      <font>
        <b val="0"/>
        <family val="2"/>
      </font>
      <fill>
        <patternFill patternType="none">
          <fgColor indexed="64"/>
          <bgColor auto="1"/>
        </patternFill>
      </fill>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dxf>
    <dxf>
      <numFmt numFmtId="1" formatCode="0"/>
      <fill>
        <patternFill patternType="none">
          <fgColor indexed="64"/>
          <bgColor indexed="65"/>
        </patternFill>
      </fill>
      <alignment horizontal="center" vertical="center" textRotation="0" wrapText="0" indent="0" justifyLastLine="0" shrinkToFit="0" readingOrder="0"/>
    </dxf>
    <dxf>
      <numFmt numFmtId="1" formatCode="0"/>
      <fill>
        <patternFill patternType="none">
          <fgColor indexed="64"/>
          <bgColor indexed="65"/>
        </patternFill>
      </fill>
      <alignment horizontal="center" vertical="center" textRotation="0" wrapText="0" indent="0" justifyLastLine="0" shrinkToFit="0" readingOrder="0"/>
    </dxf>
    <dxf>
      <numFmt numFmtId="1" formatCode="0"/>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dxf>
    <dxf>
      <numFmt numFmtId="165" formatCode="_(&quot;IDR&quot;* #,##0_);_(&quot;IDR&quot;* \(#,##0\);_(&quot;IDR&quot;* &quot;-&quot;_);_(@_)"/>
      <fill>
        <patternFill patternType="none">
          <fgColor indexed="64"/>
          <bgColor indexed="65"/>
        </patternFill>
      </fill>
    </dxf>
    <dxf>
      <numFmt numFmtId="13" formatCode="0%"/>
      <fill>
        <patternFill patternType="none">
          <fgColor indexed="64"/>
          <bgColor indexed="65"/>
        </patternFill>
      </fill>
      <alignment horizontal="center" vertical="center" textRotation="0" wrapText="0" indent="0" justifyLastLine="0" shrinkToFit="0" readingOrder="0"/>
    </dxf>
    <dxf>
      <numFmt numFmtId="165" formatCode="_(&quot;IDR&quot;* #,##0_);_(&quot;IDR&quot;* \(#,##0\);_(&quot;IDR&quot;* &quot;-&quot;_);_(@_)"/>
      <fill>
        <patternFill patternType="none">
          <fgColor indexed="64"/>
          <bgColor indexed="65"/>
        </patternFill>
      </fill>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center" vertical="center" textRotation="0" wrapText="1" indent="0" justifyLastLine="0" shrinkToFit="0" readingOrder="0"/>
    </dxf>
    <dxf>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medium">
          <color indexed="64"/>
        </top>
      </border>
    </dxf>
    <dxf>
      <fill>
        <patternFill patternType="none">
          <fgColor indexed="64"/>
          <bgColor auto="1"/>
        </patternFill>
      </fill>
    </dxf>
    <dxf>
      <font>
        <b/>
        <i val="0"/>
        <strike val="0"/>
        <condense val="0"/>
        <extend val="0"/>
        <outline val="0"/>
        <shadow val="0"/>
        <u val="none"/>
        <vertAlign val="baseline"/>
        <sz val="12"/>
        <color theme="1"/>
        <name val="Calibri"/>
        <family val="2"/>
        <scheme val="minor"/>
      </font>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horizontal="center"/>
    </dxf>
    <dxf>
      <alignment wrapText="1"/>
    </dxf>
    <dxf>
      <alignment vertical="center"/>
    </dxf>
    <dxf>
      <alignment vertical="cent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horizontal="center"/>
    </dxf>
    <dxf>
      <alignment wrapText="1"/>
    </dxf>
    <dxf>
      <alignment vertical="center"/>
    </dxf>
    <dxf>
      <alignment vertical="cent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vertical="center"/>
    </dxf>
    <dxf>
      <alignment vertical="center"/>
    </dxf>
    <dxf>
      <fill>
        <patternFill>
          <bgColor theme="0"/>
        </patternFill>
      </fill>
    </dxf>
    <dxf>
      <fill>
        <patternFill>
          <bgColor theme="0"/>
        </patternFill>
      </fill>
    </dxf>
    <dxf>
      <alignment vertical="center"/>
    </dxf>
    <dxf>
      <alignment vertical="center"/>
    </dxf>
    <dxf>
      <alignment horizontal="center"/>
    </dxf>
    <dxf>
      <alignment horizontal="cent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vertical="center"/>
    </dxf>
    <dxf>
      <alignment vertical="center"/>
    </dxf>
    <dxf>
      <alignment horizontal="center"/>
    </dxf>
    <dxf>
      <alignment horizontal="center"/>
    </dxf>
    <dxf>
      <alignment wrapText="1"/>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vertical="center"/>
    </dxf>
    <dxf>
      <alignment vertical="center"/>
    </dxf>
    <dxf>
      <alignment horizontal="center"/>
    </dxf>
    <dxf>
      <alignment horizontal="cent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vertical="center"/>
    </dxf>
    <dxf>
      <alignment vertical="center"/>
    </dxf>
    <dxf>
      <alignment horizontal="center"/>
    </dxf>
    <dxf>
      <alignment horizontal="cent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vertical="center"/>
    </dxf>
    <dxf>
      <alignment vertical="center"/>
    </dxf>
    <dxf>
      <alignment horizontal="center"/>
    </dxf>
    <dxf>
      <alignment horizontal="center"/>
    </dxf>
    <dxf>
      <alignment horizontal="center"/>
    </dxf>
    <dxf>
      <alignment vertical="center"/>
    </dxf>
    <dxf>
      <alignment wrapText="1"/>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alignment vertical="center"/>
    </dxf>
    <dxf>
      <alignment vertical="center"/>
    </dxf>
    <dxf>
      <fill>
        <patternFill>
          <bgColor theme="0"/>
        </patternFill>
      </fill>
    </dxf>
    <dxf>
      <fill>
        <patternFill>
          <bgColor theme="0"/>
        </patternFill>
      </fill>
    </dxf>
    <dxf>
      <fill>
        <patternFill>
          <bgColor theme="0"/>
        </patternFill>
      </fill>
    </dxf>
    <dxf>
      <alignment vertical="center"/>
    </dxf>
    <dxf>
      <alignment vertical="center"/>
    </dxf>
    <dxf>
      <alignment horizontal="center"/>
    </dxf>
    <dxf>
      <alignment horizontal="cent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vertical="center"/>
    </dxf>
    <dxf>
      <alignment vertical="center"/>
    </dxf>
    <dxf>
      <alignment vertical="center"/>
    </dxf>
    <dxf>
      <alignment horizontal="center"/>
    </dxf>
    <dxf>
      <alignment horizontal="cent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alignment vertical="center"/>
    </dxf>
    <dxf>
      <alignment vertical="center"/>
    </dxf>
    <dxf>
      <fill>
        <patternFill>
          <bgColor theme="0"/>
        </patternFill>
      </fill>
    </dxf>
    <dxf>
      <fill>
        <patternFill>
          <bgColor theme="0"/>
        </patternFill>
      </fill>
    </dxf>
    <dxf>
      <fill>
        <patternFill>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alignment horizontal="center"/>
    </dxf>
    <dxf>
      <alignment horizontal="center"/>
    </dxf>
    <dxf>
      <alignment vertical="center"/>
    </dxf>
    <dxf>
      <alignment vertical="center"/>
    </dxf>
    <dxf>
      <fill>
        <patternFill>
          <bgColor theme="0"/>
        </patternFill>
      </fill>
    </dxf>
    <dxf>
      <fill>
        <patternFill>
          <bgColor theme="0"/>
        </patternFill>
      </fill>
    </dxf>
    <dxf>
      <fill>
        <patternFill>
          <bgColor theme="0"/>
        </patternFill>
      </fill>
    </dxf>
    <dxf>
      <numFmt numFmtId="0" formatCode="General"/>
    </dxf>
    <dxf>
      <numFmt numFmtId="0" formatCode="General"/>
    </dxf>
    <dxf>
      <alignment horizontal="center" vertical="center" textRotation="0" wrapText="0" indent="0" justifyLastLine="0" shrinkToFit="0" readingOrder="0"/>
    </dxf>
    <dxf>
      <alignment horizontal="center" vertical="center" textRotation="0" wrapText="0" indent="0" justifyLastLine="0" shrinkToFit="0" readingOrder="0"/>
    </dxf>
    <dxf>
      <numFmt numFmtId="179" formatCode="dd/mm/yy"/>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79" formatCode="dd/mm/yy"/>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numFmt numFmtId="0" formatCode="General"/>
      <alignment horizontal="center" vertical="center" textRotation="0" indent="0" justifyLastLine="0" shrinkToFit="0" readingOrder="0"/>
    </dxf>
    <dxf>
      <numFmt numFmtId="0" formatCode="General"/>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center" vertical="center" textRotation="0" wrapText="1" indent="0" justifyLastLine="0" shrinkToFit="0" readingOrder="0"/>
    </dxf>
    <dxf>
      <numFmt numFmtId="165" formatCode="_(&quot;IDR&quot;* #,##0_);_(&quot;IDR&quot;* \(#,##0\);_(&quot;IDR&quot;* &quot;-&quot;_);_(@_)"/>
    </dxf>
    <dxf>
      <numFmt numFmtId="165" formatCode="_(&quot;IDR&quot;* #,##0_);_(&quot;IDR&quot;* \(#,##0\);_(&quot;IDR&quot;* &quot;-&quot;_);_(@_)"/>
    </dxf>
    <dxf>
      <numFmt numFmtId="165" formatCode="_(&quot;IDR&quot;* #,##0_);_(&quot;IDR&quot;* \(#,##0\);_(&quot;IDR&quot;* &quot;-&quot;_);_(@_)"/>
    </dxf>
    <dxf>
      <numFmt numFmtId="165" formatCode="_(&quot;IDR&quot;* #,##0_);_(&quot;IDR&quot;* \(#,##0\);_(&quot;IDR&quot;* &quot;-&quot;_);_(@_)"/>
    </dxf>
    <dxf>
      <numFmt numFmtId="165" formatCode="_(&quot;IDR&quot;* #,##0_);_(&quot;IDR&quot;* \(#,##0\);_(&quot;IDR&quot;* &quot;-&quot;_);_(@_)"/>
    </dxf>
    <dxf>
      <numFmt numFmtId="165" formatCode="_(&quot;IDR&quot;* #,##0_);_(&quot;IDR&quot;* \(#,##0\);_(&quot;IDR&quot;* &quot;-&quot;_);_(@_)"/>
    </dxf>
  </dxfs>
  <tableStyles count="0" defaultTableStyle="TableStyleMedium2" defaultPivotStyle="PivotStyleLight16"/>
  <colors>
    <mruColors>
      <color rgb="FFFFD579"/>
      <color rgb="FF0096FF"/>
      <color rgb="FF9437FF"/>
      <color rgb="FF73FEFF"/>
      <color rgb="FFD883FF"/>
      <color rgb="FFFF2F92"/>
      <color rgb="FF4E8F00"/>
      <color rgb="FF7A81FF"/>
      <color rgb="FF941651"/>
      <color rgb="FFFFFD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worksheet" Target="worksheets/sheet25.xml"/><Relationship Id="rId39" Type="http://schemas.microsoft.com/office/2007/relationships/slicerCache" Target="slicerCaches/slicerCache8.xml"/><Relationship Id="rId21" Type="http://schemas.openxmlformats.org/officeDocument/2006/relationships/worksheet" Target="worksheets/sheet20.xml"/><Relationship Id="rId34" Type="http://schemas.microsoft.com/office/2007/relationships/slicerCache" Target="slicerCaches/slicerCache3.xml"/><Relationship Id="rId42" Type="http://schemas.microsoft.com/office/2007/relationships/slicerCache" Target="slicerCaches/slicerCache11.xml"/><Relationship Id="rId47" Type="http://schemas.openxmlformats.org/officeDocument/2006/relationships/sharedStrings" Target="sharedStrings.xml"/><Relationship Id="rId7" Type="http://schemas.openxmlformats.org/officeDocument/2006/relationships/worksheet" Target="worksheets/sheet6.xml"/><Relationship Id="rId2" Type="http://schemas.openxmlformats.org/officeDocument/2006/relationships/worksheet" Target="worksheets/sheet2.xml"/><Relationship Id="rId16" Type="http://schemas.openxmlformats.org/officeDocument/2006/relationships/worksheet" Target="worksheets/sheet15.xml"/><Relationship Id="rId29" Type="http://schemas.openxmlformats.org/officeDocument/2006/relationships/worksheet" Target="worksheets/sheet28.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10.xml"/><Relationship Id="rId24" Type="http://schemas.openxmlformats.org/officeDocument/2006/relationships/worksheet" Target="worksheets/sheet23.xml"/><Relationship Id="rId32" Type="http://schemas.microsoft.com/office/2007/relationships/slicerCache" Target="slicerCaches/slicerCache1.xml"/><Relationship Id="rId37" Type="http://schemas.microsoft.com/office/2007/relationships/slicerCache" Target="slicerCaches/slicerCache6.xml"/><Relationship Id="rId40" Type="http://schemas.microsoft.com/office/2007/relationships/slicerCache" Target="slicerCaches/slicerCache9.xml"/><Relationship Id="rId45" Type="http://schemas.openxmlformats.org/officeDocument/2006/relationships/theme" Target="theme/theme1.xml"/><Relationship Id="rId5" Type="http://schemas.openxmlformats.org/officeDocument/2006/relationships/chartsheet" Target="chartsheets/sheet1.xml"/><Relationship Id="rId15" Type="http://schemas.openxmlformats.org/officeDocument/2006/relationships/worksheet" Target="worksheets/sheet14.xml"/><Relationship Id="rId23" Type="http://schemas.openxmlformats.org/officeDocument/2006/relationships/worksheet" Target="worksheets/sheet22.xml"/><Relationship Id="rId28" Type="http://schemas.openxmlformats.org/officeDocument/2006/relationships/worksheet" Target="worksheets/sheet27.xml"/><Relationship Id="rId36" Type="http://schemas.microsoft.com/office/2007/relationships/slicerCache" Target="slicerCaches/slicerCache5.xml"/><Relationship Id="rId10" Type="http://schemas.openxmlformats.org/officeDocument/2006/relationships/worksheet" Target="worksheets/sheet9.xml"/><Relationship Id="rId19" Type="http://schemas.openxmlformats.org/officeDocument/2006/relationships/worksheet" Target="worksheets/sheet18.xml"/><Relationship Id="rId31" Type="http://schemas.openxmlformats.org/officeDocument/2006/relationships/pivotCacheDefinition" Target="pivotCache/pivotCacheDefinition2.xml"/><Relationship Id="rId44" Type="http://schemas.microsoft.com/office/2007/relationships/slicerCache" Target="slicerCaches/slicerCache13.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3.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pivotCacheDefinition" Target="pivotCache/pivotCacheDefinition1.xml"/><Relationship Id="rId35" Type="http://schemas.microsoft.com/office/2007/relationships/slicerCache" Target="slicerCaches/slicerCache4.xml"/><Relationship Id="rId43" Type="http://schemas.microsoft.com/office/2007/relationships/slicerCache" Target="slicerCaches/slicerCache12.xml"/><Relationship Id="rId48" Type="http://schemas.openxmlformats.org/officeDocument/2006/relationships/calcChain" Target="calcChain.xml"/><Relationship Id="rId8" Type="http://schemas.openxmlformats.org/officeDocument/2006/relationships/worksheet" Target="worksheets/sheet7.xml"/><Relationship Id="rId3" Type="http://schemas.openxmlformats.org/officeDocument/2006/relationships/worksheet" Target="worksheets/sheet3.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worksheet" Target="worksheets/sheet24.xml"/><Relationship Id="rId33" Type="http://schemas.microsoft.com/office/2007/relationships/slicerCache" Target="slicerCaches/slicerCache2.xml"/><Relationship Id="rId38" Type="http://schemas.microsoft.com/office/2007/relationships/slicerCache" Target="slicerCaches/slicerCache7.xml"/><Relationship Id="rId46" Type="http://schemas.openxmlformats.org/officeDocument/2006/relationships/styles" Target="styles.xml"/><Relationship Id="rId20" Type="http://schemas.openxmlformats.org/officeDocument/2006/relationships/worksheet" Target="worksheets/sheet19.xml"/><Relationship Id="rId41" Type="http://schemas.microsoft.com/office/2007/relationships/slicerCache" Target="slicerCaches/slicerCache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Frequency Destination Airport (Domestic)</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'ADD2'!$C$4:$C$21</c:f>
              <c:strCache>
                <c:ptCount val="18"/>
                <c:pt idx="0">
                  <c:v>Kualanamu, Medan</c:v>
                </c:pt>
                <c:pt idx="1">
                  <c:v>Ngurah Rai, Denpasar Bali</c:v>
                </c:pt>
                <c:pt idx="2">
                  <c:v>Adisutjipto, DIY </c:v>
                </c:pt>
                <c:pt idx="3">
                  <c:v>Pattimura, Ambon</c:v>
                </c:pt>
                <c:pt idx="4">
                  <c:v>Juanda, Surabaya</c:v>
                </c:pt>
                <c:pt idx="5">
                  <c:v>Sultan Mahmud Badaruddin II, Palembang</c:v>
                </c:pt>
                <c:pt idx="6">
                  <c:v>Sultan Hasanuddin, Sulawesi Selatan</c:v>
                </c:pt>
                <c:pt idx="7">
                  <c:v>Sultan Thaha, Jambi</c:v>
                </c:pt>
                <c:pt idx="8">
                  <c:v>Minangkabau, Padang</c:v>
                </c:pt>
                <c:pt idx="9">
                  <c:v>Adisumarno, Solo</c:v>
                </c:pt>
                <c:pt idx="10">
                  <c:v>Abdul Rachman Saleh, Malang</c:v>
                </c:pt>
                <c:pt idx="11">
                  <c:v>Zainuddin Abdul Madjid, Praya</c:v>
                </c:pt>
                <c:pt idx="12">
                  <c:v>Radin Inten II, Bandar Lampung</c:v>
                </c:pt>
                <c:pt idx="13">
                  <c:v>Sultan Syarif Kasim II, Riau</c:v>
                </c:pt>
                <c:pt idx="14">
                  <c:v>Sultan Iskanda Muda, Aceh</c:v>
                </c:pt>
                <c:pt idx="15">
                  <c:v>Supadio, Pontianak</c:v>
                </c:pt>
                <c:pt idx="16">
                  <c:v>Jenderal Ahmad Yani, Semarang</c:v>
                </c:pt>
                <c:pt idx="17">
                  <c:v>Hang Nadim, Kepulauan Riau</c:v>
                </c:pt>
              </c:strCache>
            </c:strRef>
          </c:cat>
          <c:val>
            <c:numRef>
              <c:f>'ADD2'!$E$4:$E$21</c:f>
              <c:numCache>
                <c:formatCode>General</c:formatCode>
                <c:ptCount val="18"/>
                <c:pt idx="0">
                  <c:v>3</c:v>
                </c:pt>
                <c:pt idx="1">
                  <c:v>10</c:v>
                </c:pt>
                <c:pt idx="2">
                  <c:v>4</c:v>
                </c:pt>
                <c:pt idx="3">
                  <c:v>4</c:v>
                </c:pt>
                <c:pt idx="4">
                  <c:v>4</c:v>
                </c:pt>
                <c:pt idx="5">
                  <c:v>3</c:v>
                </c:pt>
                <c:pt idx="6">
                  <c:v>1</c:v>
                </c:pt>
                <c:pt idx="7">
                  <c:v>3</c:v>
                </c:pt>
                <c:pt idx="8">
                  <c:v>4</c:v>
                </c:pt>
                <c:pt idx="9">
                  <c:v>2</c:v>
                </c:pt>
                <c:pt idx="10">
                  <c:v>3</c:v>
                </c:pt>
                <c:pt idx="11">
                  <c:v>3</c:v>
                </c:pt>
                <c:pt idx="12">
                  <c:v>2</c:v>
                </c:pt>
                <c:pt idx="13">
                  <c:v>2</c:v>
                </c:pt>
                <c:pt idx="14">
                  <c:v>3</c:v>
                </c:pt>
                <c:pt idx="15">
                  <c:v>5</c:v>
                </c:pt>
                <c:pt idx="16">
                  <c:v>1</c:v>
                </c:pt>
                <c:pt idx="17">
                  <c:v>1</c:v>
                </c:pt>
              </c:numCache>
            </c:numRef>
          </c:val>
          <c:extLst>
            <c:ext xmlns:c16="http://schemas.microsoft.com/office/drawing/2014/chart" uri="{C3380CC4-5D6E-409C-BE32-E72D297353CC}">
              <c16:uniqueId val="{00000000-E22E-6044-BF68-DAE1856C6A21}"/>
            </c:ext>
          </c:extLst>
        </c:ser>
        <c:dLbls>
          <c:dLblPos val="inEnd"/>
          <c:showLegendKey val="0"/>
          <c:showVal val="1"/>
          <c:showCatName val="0"/>
          <c:showSerName val="0"/>
          <c:showPercent val="0"/>
          <c:showBubbleSize val="0"/>
        </c:dLbls>
        <c:gapWidth val="100"/>
        <c:axId val="1433495776"/>
        <c:axId val="1367752672"/>
      </c:barChart>
      <c:catAx>
        <c:axId val="1433495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7752672"/>
        <c:crosses val="autoZero"/>
        <c:auto val="1"/>
        <c:lblAlgn val="ctr"/>
        <c:lblOffset val="100"/>
        <c:noMultiLvlLbl val="0"/>
      </c:catAx>
      <c:valAx>
        <c:axId val="13677526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3349577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Frequency Destination Airport (International)</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'ADD2'!$D$4:$D$22</c:f>
              <c:strCache>
                <c:ptCount val="19"/>
                <c:pt idx="0">
                  <c:v>Narita Tokyo International Airport</c:v>
                </c:pt>
                <c:pt idx="1">
                  <c:v>Istanbul Turkey International Airport</c:v>
                </c:pt>
                <c:pt idx="2">
                  <c:v>Schiphol International Airport</c:v>
                </c:pt>
                <c:pt idx="3">
                  <c:v>Osaka Japan International Airport</c:v>
                </c:pt>
                <c:pt idx="4">
                  <c:v>Seri BegawanInternational Airport</c:v>
                </c:pt>
                <c:pt idx="5">
                  <c:v>Baiyun International Airport</c:v>
                </c:pt>
                <c:pt idx="6">
                  <c:v>Zurich International Airport</c:v>
                </c:pt>
                <c:pt idx="7">
                  <c:v>Brisbane International Airport</c:v>
                </c:pt>
                <c:pt idx="8">
                  <c:v>Darwin International Airport</c:v>
                </c:pt>
                <c:pt idx="9">
                  <c:v>Adelaide International Airport</c:v>
                </c:pt>
                <c:pt idx="10">
                  <c:v>Kopenhagen International Airport</c:v>
                </c:pt>
                <c:pt idx="11">
                  <c:v>Capital International Airport</c:v>
                </c:pt>
                <c:pt idx="12">
                  <c:v>Da Nang International Airport</c:v>
                </c:pt>
                <c:pt idx="13">
                  <c:v>Suvarnabhumi International Airport</c:v>
                </c:pt>
                <c:pt idx="14">
                  <c:v>Hanoi International Airport</c:v>
                </c:pt>
                <c:pt idx="15">
                  <c:v>Indira Gandhi International Airport</c:v>
                </c:pt>
                <c:pt idx="16">
                  <c:v>Vancouver International Airport</c:v>
                </c:pt>
                <c:pt idx="17">
                  <c:v>Kuala Lumpur International Airport</c:v>
                </c:pt>
                <c:pt idx="18">
                  <c:v>Seattle International Airport</c:v>
                </c:pt>
              </c:strCache>
            </c:strRef>
          </c:cat>
          <c:val>
            <c:numRef>
              <c:f>'ADD2'!$F$4:$F$22</c:f>
              <c:numCache>
                <c:formatCode>General</c:formatCode>
                <c:ptCount val="19"/>
                <c:pt idx="0">
                  <c:v>4</c:v>
                </c:pt>
                <c:pt idx="1">
                  <c:v>4</c:v>
                </c:pt>
                <c:pt idx="2">
                  <c:v>3</c:v>
                </c:pt>
                <c:pt idx="3">
                  <c:v>3</c:v>
                </c:pt>
                <c:pt idx="4">
                  <c:v>3</c:v>
                </c:pt>
                <c:pt idx="5">
                  <c:v>4</c:v>
                </c:pt>
                <c:pt idx="6">
                  <c:v>5</c:v>
                </c:pt>
                <c:pt idx="7">
                  <c:v>2</c:v>
                </c:pt>
                <c:pt idx="8">
                  <c:v>5</c:v>
                </c:pt>
                <c:pt idx="9">
                  <c:v>4</c:v>
                </c:pt>
                <c:pt idx="10">
                  <c:v>2</c:v>
                </c:pt>
                <c:pt idx="11">
                  <c:v>3</c:v>
                </c:pt>
                <c:pt idx="12">
                  <c:v>2</c:v>
                </c:pt>
                <c:pt idx="13">
                  <c:v>3</c:v>
                </c:pt>
                <c:pt idx="14">
                  <c:v>2</c:v>
                </c:pt>
                <c:pt idx="15">
                  <c:v>2</c:v>
                </c:pt>
                <c:pt idx="16">
                  <c:v>1</c:v>
                </c:pt>
                <c:pt idx="17">
                  <c:v>4</c:v>
                </c:pt>
                <c:pt idx="18">
                  <c:v>1</c:v>
                </c:pt>
              </c:numCache>
            </c:numRef>
          </c:val>
          <c:extLst>
            <c:ext xmlns:c16="http://schemas.microsoft.com/office/drawing/2014/chart" uri="{C3380CC4-5D6E-409C-BE32-E72D297353CC}">
              <c16:uniqueId val="{00000000-A8ED-7D46-AF23-740C531E63A9}"/>
            </c:ext>
          </c:extLst>
        </c:ser>
        <c:dLbls>
          <c:showLegendKey val="0"/>
          <c:showVal val="0"/>
          <c:showCatName val="0"/>
          <c:showSerName val="0"/>
          <c:showPercent val="0"/>
          <c:showBubbleSize val="0"/>
        </c:dLbls>
        <c:gapWidth val="100"/>
        <c:axId val="1470448496"/>
        <c:axId val="1416116800"/>
      </c:barChart>
      <c:catAx>
        <c:axId val="147044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16116800"/>
        <c:crosses val="autoZero"/>
        <c:auto val="1"/>
        <c:lblAlgn val="ctr"/>
        <c:lblOffset val="100"/>
        <c:noMultiLvlLbl val="0"/>
      </c:catAx>
      <c:valAx>
        <c:axId val="1416116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70448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800" b="1" i="0" u="none" strike="noStrike" kern="1200" cap="none" spc="50" baseline="0">
                <a:solidFill>
                  <a:schemeClr val="tx1"/>
                </a:solidFill>
                <a:latin typeface="+mn-lt"/>
                <a:ea typeface="+mn-ea"/>
                <a:cs typeface="+mn-cs"/>
              </a:defRPr>
            </a:pPr>
            <a:r>
              <a:rPr lang="en-US" b="1">
                <a:solidFill>
                  <a:schemeClr val="tx1"/>
                </a:solidFill>
              </a:rPr>
              <a:t>Frequency Domestic Airlines</a:t>
            </a:r>
          </a:p>
        </c:rich>
      </c:tx>
      <c:overlay val="0"/>
      <c:spPr>
        <a:noFill/>
        <a:ln>
          <a:noFill/>
        </a:ln>
        <a:effectLst/>
      </c:spPr>
      <c:txPr>
        <a:bodyPr rot="0" spcFirstLastPara="1" vertOverflow="ellipsis" vert="horz" wrap="square" anchor="ctr" anchorCtr="1"/>
        <a:lstStyle/>
        <a:p>
          <a:pPr>
            <a:defRPr sz="1800" b="1" i="0" u="none" strike="noStrike" kern="1200" cap="none" spc="5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noFill/>
            <a:ln w="25400" cap="flat" cmpd="sng" algn="ctr">
              <a:solidFill>
                <a:schemeClr val="accent6"/>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'ADD2'!$J$4:$J$14</c:f>
              <c:strCache>
                <c:ptCount val="11"/>
                <c:pt idx="0">
                  <c:v>Indonesia AirAsia</c:v>
                </c:pt>
                <c:pt idx="1">
                  <c:v>Super Air Jet</c:v>
                </c:pt>
                <c:pt idx="2">
                  <c:v>Sriwijaya Air</c:v>
                </c:pt>
                <c:pt idx="3">
                  <c:v>NAM Air</c:v>
                </c:pt>
                <c:pt idx="4">
                  <c:v>Airfast </c:v>
                </c:pt>
                <c:pt idx="5">
                  <c:v>Batik Air</c:v>
                </c:pt>
                <c:pt idx="6">
                  <c:v>Lion Air</c:v>
                </c:pt>
                <c:pt idx="7">
                  <c:v>Garuda Indonesia</c:v>
                </c:pt>
                <c:pt idx="8">
                  <c:v>Citilink</c:v>
                </c:pt>
                <c:pt idx="9">
                  <c:v>Pelita Air</c:v>
                </c:pt>
                <c:pt idx="10">
                  <c:v>Transnusa</c:v>
                </c:pt>
              </c:strCache>
            </c:strRef>
          </c:cat>
          <c:val>
            <c:numRef>
              <c:f>'ADD2'!$L$4:$L$14</c:f>
              <c:numCache>
                <c:formatCode>General</c:formatCode>
                <c:ptCount val="11"/>
                <c:pt idx="0">
                  <c:v>7</c:v>
                </c:pt>
                <c:pt idx="1">
                  <c:v>4</c:v>
                </c:pt>
                <c:pt idx="2">
                  <c:v>4</c:v>
                </c:pt>
                <c:pt idx="3">
                  <c:v>3</c:v>
                </c:pt>
                <c:pt idx="4">
                  <c:v>4</c:v>
                </c:pt>
                <c:pt idx="5">
                  <c:v>11</c:v>
                </c:pt>
                <c:pt idx="6">
                  <c:v>8</c:v>
                </c:pt>
                <c:pt idx="7">
                  <c:v>12</c:v>
                </c:pt>
                <c:pt idx="8">
                  <c:v>3</c:v>
                </c:pt>
                <c:pt idx="9">
                  <c:v>2</c:v>
                </c:pt>
                <c:pt idx="10">
                  <c:v>1</c:v>
                </c:pt>
              </c:numCache>
            </c:numRef>
          </c:val>
          <c:extLst>
            <c:ext xmlns:c16="http://schemas.microsoft.com/office/drawing/2014/chart" uri="{C3380CC4-5D6E-409C-BE32-E72D297353CC}">
              <c16:uniqueId val="{00000000-9ACA-EC4A-9E8C-3A85FB2601C0}"/>
            </c:ext>
          </c:extLst>
        </c:ser>
        <c:dLbls>
          <c:showLegendKey val="0"/>
          <c:showVal val="0"/>
          <c:showCatName val="0"/>
          <c:showSerName val="0"/>
          <c:showPercent val="0"/>
          <c:showBubbleSize val="0"/>
        </c:dLbls>
        <c:gapWidth val="164"/>
        <c:overlap val="-35"/>
        <c:axId val="1470122816"/>
        <c:axId val="1470554688"/>
      </c:barChart>
      <c:catAx>
        <c:axId val="1470122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0554688"/>
        <c:crosses val="autoZero"/>
        <c:auto val="1"/>
        <c:lblAlgn val="ctr"/>
        <c:lblOffset val="100"/>
        <c:noMultiLvlLbl val="0"/>
      </c:catAx>
      <c:valAx>
        <c:axId val="14705546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01228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800" b="1" i="0" u="none" strike="noStrike" kern="1200" cap="none" spc="50" baseline="0">
                <a:solidFill>
                  <a:schemeClr val="tx1"/>
                </a:solidFill>
                <a:latin typeface="+mn-lt"/>
                <a:ea typeface="+mn-ea"/>
                <a:cs typeface="+mn-cs"/>
              </a:defRPr>
            </a:pPr>
            <a:r>
              <a:rPr lang="en-US" b="1">
                <a:solidFill>
                  <a:schemeClr val="tx1"/>
                </a:solidFill>
              </a:rPr>
              <a:t>Frequency International Airlines</a:t>
            </a:r>
          </a:p>
        </c:rich>
      </c:tx>
      <c:overlay val="0"/>
      <c:spPr>
        <a:noFill/>
        <a:ln>
          <a:noFill/>
        </a:ln>
        <a:effectLst/>
      </c:spPr>
      <c:txPr>
        <a:bodyPr rot="0" spcFirstLastPara="1" vertOverflow="ellipsis" vert="horz" wrap="square" anchor="ctr" anchorCtr="1"/>
        <a:lstStyle/>
        <a:p>
          <a:pPr>
            <a:defRPr sz="1800" b="1" i="0" u="none" strike="noStrike" kern="1200" cap="none" spc="50" baseline="0">
              <a:solidFill>
                <a:schemeClr val="tx1"/>
              </a:solidFill>
              <a:latin typeface="+mn-lt"/>
              <a:ea typeface="+mn-ea"/>
              <a:cs typeface="+mn-cs"/>
            </a:defRPr>
          </a:pPr>
          <a:endParaRPr lang="en-US"/>
        </a:p>
      </c:txPr>
    </c:title>
    <c:autoTitleDeleted val="0"/>
    <c:plotArea>
      <c:layout>
        <c:manualLayout>
          <c:layoutTarget val="inner"/>
          <c:xMode val="edge"/>
          <c:yMode val="edge"/>
          <c:x val="5.7573213663214495E-2"/>
          <c:y val="0.12696532330210164"/>
          <c:w val="0.92290016093741223"/>
          <c:h val="0.71423884060543485"/>
        </c:manualLayout>
      </c:layout>
      <c:barChart>
        <c:barDir val="col"/>
        <c:grouping val="clustered"/>
        <c:varyColors val="0"/>
        <c:ser>
          <c:idx val="0"/>
          <c:order val="0"/>
          <c:spPr>
            <a:noFill/>
            <a:ln w="25400" cap="flat" cmpd="sng" algn="ctr">
              <a:solidFill>
                <a:schemeClr val="accent6"/>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'ADD2'!$K$4:$K$14</c:f>
              <c:strCache>
                <c:ptCount val="11"/>
                <c:pt idx="0">
                  <c:v>Singapore Airlines</c:v>
                </c:pt>
                <c:pt idx="1">
                  <c:v>Emirates </c:v>
                </c:pt>
                <c:pt idx="2">
                  <c:v>Qatar Airways</c:v>
                </c:pt>
                <c:pt idx="3">
                  <c:v>All Nippon Airways</c:v>
                </c:pt>
                <c:pt idx="4">
                  <c:v>Turkish Airlines</c:v>
                </c:pt>
                <c:pt idx="5">
                  <c:v>Japan Airlines </c:v>
                </c:pt>
                <c:pt idx="6">
                  <c:v>Saudia Airlines</c:v>
                </c:pt>
                <c:pt idx="7">
                  <c:v>Air France Airlines</c:v>
                </c:pt>
                <c:pt idx="8">
                  <c:v>Cathay Pacific Airlines</c:v>
                </c:pt>
                <c:pt idx="9">
                  <c:v>Thai Airways International Airlines</c:v>
                </c:pt>
                <c:pt idx="10">
                  <c:v>Malaysia Airlines</c:v>
                </c:pt>
              </c:strCache>
            </c:strRef>
          </c:cat>
          <c:val>
            <c:numRef>
              <c:f>'ADD2'!$M$4:$M$14</c:f>
              <c:numCache>
                <c:formatCode>General</c:formatCode>
                <c:ptCount val="11"/>
                <c:pt idx="0">
                  <c:v>8</c:v>
                </c:pt>
                <c:pt idx="1">
                  <c:v>10</c:v>
                </c:pt>
                <c:pt idx="2">
                  <c:v>5</c:v>
                </c:pt>
                <c:pt idx="3">
                  <c:v>4</c:v>
                </c:pt>
                <c:pt idx="4">
                  <c:v>7</c:v>
                </c:pt>
                <c:pt idx="5">
                  <c:v>2</c:v>
                </c:pt>
                <c:pt idx="6">
                  <c:v>5</c:v>
                </c:pt>
                <c:pt idx="7">
                  <c:v>4</c:v>
                </c:pt>
                <c:pt idx="8">
                  <c:v>7</c:v>
                </c:pt>
                <c:pt idx="9">
                  <c:v>5</c:v>
                </c:pt>
                <c:pt idx="10">
                  <c:v>4</c:v>
                </c:pt>
              </c:numCache>
            </c:numRef>
          </c:val>
          <c:extLst>
            <c:ext xmlns:c16="http://schemas.microsoft.com/office/drawing/2014/chart" uri="{C3380CC4-5D6E-409C-BE32-E72D297353CC}">
              <c16:uniqueId val="{00000000-D461-6E46-B40E-C1184991FB68}"/>
            </c:ext>
          </c:extLst>
        </c:ser>
        <c:dLbls>
          <c:showLegendKey val="0"/>
          <c:showVal val="0"/>
          <c:showCatName val="0"/>
          <c:showSerName val="0"/>
          <c:showPercent val="0"/>
          <c:showBubbleSize val="0"/>
        </c:dLbls>
        <c:gapWidth val="164"/>
        <c:overlap val="-35"/>
        <c:axId val="1472084640"/>
        <c:axId val="1472086368"/>
      </c:barChart>
      <c:catAx>
        <c:axId val="1472084640"/>
        <c:scaling>
          <c:orientation val="minMax"/>
        </c:scaling>
        <c:delete val="0"/>
        <c:axPos val="b"/>
        <c:numFmt formatCode="General" sourceLinked="1"/>
        <c:majorTickMark val="none"/>
        <c:minorTickMark val="none"/>
        <c:tickLblPos val="low"/>
        <c:spPr>
          <a:noFill/>
          <a:ln>
            <a:noFill/>
          </a:ln>
          <a:effectLst/>
        </c:spPr>
        <c:txPr>
          <a:bodyPr rot="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472086368"/>
        <c:crosses val="autoZero"/>
        <c:auto val="1"/>
        <c:lblAlgn val="ctr"/>
        <c:lblOffset val="100"/>
        <c:noMultiLvlLbl val="0"/>
      </c:catAx>
      <c:valAx>
        <c:axId val="1472086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20846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Frequency Flight Date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'ADD2'!$Q$4:$Q$10</c:f>
              <c:strCache>
                <c:ptCount val="7"/>
                <c:pt idx="0">
                  <c:v>Sunday </c:v>
                </c:pt>
                <c:pt idx="1">
                  <c:v>Monday</c:v>
                </c:pt>
                <c:pt idx="2">
                  <c:v>Tuesday</c:v>
                </c:pt>
                <c:pt idx="3">
                  <c:v>Wednesday</c:v>
                </c:pt>
                <c:pt idx="4">
                  <c:v>Thursday</c:v>
                </c:pt>
                <c:pt idx="5">
                  <c:v>Friday</c:v>
                </c:pt>
                <c:pt idx="6">
                  <c:v>Saturday</c:v>
                </c:pt>
              </c:strCache>
            </c:strRef>
          </c:cat>
          <c:val>
            <c:numRef>
              <c:f>'ADD2'!$S$4:$S$10</c:f>
              <c:numCache>
                <c:formatCode>General</c:formatCode>
                <c:ptCount val="7"/>
                <c:pt idx="0">
                  <c:v>14</c:v>
                </c:pt>
                <c:pt idx="1">
                  <c:v>18</c:v>
                </c:pt>
                <c:pt idx="2">
                  <c:v>25</c:v>
                </c:pt>
                <c:pt idx="3">
                  <c:v>23</c:v>
                </c:pt>
                <c:pt idx="4">
                  <c:v>21</c:v>
                </c:pt>
                <c:pt idx="5">
                  <c:v>12</c:v>
                </c:pt>
                <c:pt idx="6">
                  <c:v>7</c:v>
                </c:pt>
              </c:numCache>
            </c:numRef>
          </c:val>
          <c:smooth val="0"/>
          <c:extLst>
            <c:ext xmlns:c16="http://schemas.microsoft.com/office/drawing/2014/chart" uri="{C3380CC4-5D6E-409C-BE32-E72D297353CC}">
              <c16:uniqueId val="{00000000-C80D-414A-AF3F-15D816F64045}"/>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480687728"/>
        <c:axId val="1367918128"/>
      </c:lineChart>
      <c:catAx>
        <c:axId val="148068772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367918128"/>
        <c:crosses val="autoZero"/>
        <c:auto val="1"/>
        <c:lblAlgn val="ctr"/>
        <c:lblOffset val="100"/>
        <c:noMultiLvlLbl val="0"/>
      </c:catAx>
      <c:valAx>
        <c:axId val="1367918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480687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FREQUENCY</a:t>
            </a:r>
            <a:r>
              <a:rPr lang="en-US" baseline="0"/>
              <a:t> FLIGHT TIME</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lineChart>
        <c:grouping val="standard"/>
        <c:varyColors val="0"/>
        <c:ser>
          <c:idx val="0"/>
          <c:order val="0"/>
          <c:spPr>
            <a:ln w="25400" cap="rnd">
              <a:solidFill>
                <a:schemeClr val="lt1"/>
              </a:solidFill>
              <a:round/>
            </a:ln>
            <a:effectLst>
              <a:outerShdw dist="25400" dir="2700000" algn="tl" rotWithShape="0">
                <a:schemeClr val="accent1"/>
              </a:outerShdw>
            </a:effectLst>
          </c:spPr>
          <c:marker>
            <c:symbol val="none"/>
          </c:marker>
          <c:dLbls>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'ADD2'!$R$4:$R$10</c:f>
              <c:strCache>
                <c:ptCount val="7"/>
                <c:pt idx="0">
                  <c:v>9am</c:v>
                </c:pt>
                <c:pt idx="1">
                  <c:v>1pm</c:v>
                </c:pt>
                <c:pt idx="2">
                  <c:v>3pm</c:v>
                </c:pt>
                <c:pt idx="3">
                  <c:v>7pm</c:v>
                </c:pt>
                <c:pt idx="4">
                  <c:v>9pm</c:v>
                </c:pt>
                <c:pt idx="5">
                  <c:v>12pm</c:v>
                </c:pt>
                <c:pt idx="6">
                  <c:v>3am</c:v>
                </c:pt>
              </c:strCache>
            </c:strRef>
          </c:cat>
          <c:val>
            <c:numRef>
              <c:f>'ADD2'!$T$4:$T$10</c:f>
              <c:numCache>
                <c:formatCode>General</c:formatCode>
                <c:ptCount val="7"/>
                <c:pt idx="0">
                  <c:v>35</c:v>
                </c:pt>
                <c:pt idx="1">
                  <c:v>18</c:v>
                </c:pt>
                <c:pt idx="2">
                  <c:v>32</c:v>
                </c:pt>
                <c:pt idx="3">
                  <c:v>23</c:v>
                </c:pt>
                <c:pt idx="4">
                  <c:v>35</c:v>
                </c:pt>
                <c:pt idx="5">
                  <c:v>12</c:v>
                </c:pt>
                <c:pt idx="6">
                  <c:v>32</c:v>
                </c:pt>
              </c:numCache>
            </c:numRef>
          </c:val>
          <c:smooth val="0"/>
          <c:extLst>
            <c:ext xmlns:c16="http://schemas.microsoft.com/office/drawing/2014/chart" uri="{C3380CC4-5D6E-409C-BE32-E72D297353CC}">
              <c16:uniqueId val="{00000000-6133-4146-AE7A-522C5C6B87CF}"/>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480891696"/>
        <c:axId val="1456833472"/>
      </c:lineChart>
      <c:catAx>
        <c:axId val="14808916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456833472"/>
        <c:crosses val="autoZero"/>
        <c:auto val="1"/>
        <c:lblAlgn val="ctr"/>
        <c:lblOffset val="100"/>
        <c:noMultiLvlLbl val="0"/>
      </c:catAx>
      <c:valAx>
        <c:axId val="1456833472"/>
        <c:scaling>
          <c:orientation val="minMax"/>
        </c:scaling>
        <c:delete val="1"/>
        <c:axPos val="l"/>
        <c:numFmt formatCode="General" sourceLinked="1"/>
        <c:majorTickMark val="none"/>
        <c:minorTickMark val="none"/>
        <c:tickLblPos val="nextTo"/>
        <c:crossAx val="14808916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Excel.xlsx]PivotTable!PivotTable1</c:name>
    <c:fmtId val="1"/>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a:t>Pivot</a:t>
            </a:r>
            <a:r>
              <a:rPr lang="en-US" baseline="0"/>
              <a:t> Table Airlines (Customer Service) Period on 2023</a:t>
            </a:r>
            <a:endParaRPr lang="en-US"/>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PivotTable!$B$3:$B$5</c:f>
              <c:strCache>
                <c:ptCount val="1"/>
                <c:pt idx="0">
                  <c:v>Soekarno-Hatta Airport - 1/16/23</c:v>
                </c:pt>
              </c:strCache>
            </c:strRef>
          </c:tx>
          <c:spPr>
            <a:noFill/>
            <a:ln w="25400" cap="flat" cmpd="sng" algn="ctr">
              <a:solidFill>
                <a:schemeClr val="accent1"/>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PivotTable!$A$6:$A$25</c:f>
              <c:multiLvlStrCache>
                <c:ptCount val="12"/>
                <c:lvl>
                  <c:pt idx="0">
                    <c:v>Sum of Price (IDR)</c:v>
                  </c:pt>
                  <c:pt idx="1">
                    <c:v>Max of Refund Description</c:v>
                  </c:pt>
                  <c:pt idx="2">
                    <c:v>Average of Total Payment</c:v>
                  </c:pt>
                  <c:pt idx="3">
                    <c:v>Sum of Price (IDR)</c:v>
                  </c:pt>
                  <c:pt idx="4">
                    <c:v>Max of Refund Description</c:v>
                  </c:pt>
                  <c:pt idx="5">
                    <c:v>Average of Total Payment</c:v>
                  </c:pt>
                  <c:pt idx="6">
                    <c:v>Sum of Price (IDR)</c:v>
                  </c:pt>
                  <c:pt idx="7">
                    <c:v>Max of Refund Description</c:v>
                  </c:pt>
                  <c:pt idx="8">
                    <c:v>Average of Total Payment</c:v>
                  </c:pt>
                  <c:pt idx="9">
                    <c:v>Sum of Price (IDR)</c:v>
                  </c:pt>
                  <c:pt idx="10">
                    <c:v>Max of Refund Description</c:v>
                  </c:pt>
                  <c:pt idx="11">
                    <c:v>Average of Total Payment</c:v>
                  </c:pt>
                </c:lvl>
                <c:lvl>
                  <c:pt idx="0">
                    <c:v>Abdul Salim Goddard</c:v>
                  </c:pt>
                  <c:pt idx="3">
                    <c:v>Beverly Sugiantno Wiradjaja</c:v>
                  </c:pt>
                  <c:pt idx="6">
                    <c:v>Justin Michael Emeraldo</c:v>
                  </c:pt>
                  <c:pt idx="9">
                    <c:v>Philip Edward Martin</c:v>
                  </c:pt>
                </c:lvl>
              </c:multiLvlStrCache>
            </c:multiLvlStrRef>
          </c:cat>
          <c:val>
            <c:numRef>
              <c:f>PivotTable!$B$6:$B$25</c:f>
              <c:numCache>
                <c:formatCode>_("IDR"* #,##0_);_("IDR"* \(#,##0\);_("IDR"* "-"_);_(@_)</c:formatCode>
                <c:ptCount val="12"/>
                <c:pt idx="9">
                  <c:v>2200000</c:v>
                </c:pt>
                <c:pt idx="11">
                  <c:v>2420000</c:v>
                </c:pt>
              </c:numCache>
            </c:numRef>
          </c:val>
          <c:extLst>
            <c:ext xmlns:c16="http://schemas.microsoft.com/office/drawing/2014/chart" uri="{C3380CC4-5D6E-409C-BE32-E72D297353CC}">
              <c16:uniqueId val="{00000000-F67A-284E-8A7C-7143A1A78BB7}"/>
            </c:ext>
          </c:extLst>
        </c:ser>
        <c:ser>
          <c:idx val="1"/>
          <c:order val="1"/>
          <c:tx>
            <c:strRef>
              <c:f>PivotTable!$C$3:$C$5</c:f>
              <c:strCache>
                <c:ptCount val="1"/>
                <c:pt idx="0">
                  <c:v>Soekarno-Hatta Airport - 2/23/23</c:v>
                </c:pt>
              </c:strCache>
            </c:strRef>
          </c:tx>
          <c:spPr>
            <a:noFill/>
            <a:ln w="25400" cap="flat" cmpd="sng" algn="ctr">
              <a:solidFill>
                <a:schemeClr val="accent2"/>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PivotTable!$A$6:$A$25</c:f>
              <c:multiLvlStrCache>
                <c:ptCount val="12"/>
                <c:lvl>
                  <c:pt idx="0">
                    <c:v>Sum of Price (IDR)</c:v>
                  </c:pt>
                  <c:pt idx="1">
                    <c:v>Max of Refund Description</c:v>
                  </c:pt>
                  <c:pt idx="2">
                    <c:v>Average of Total Payment</c:v>
                  </c:pt>
                  <c:pt idx="3">
                    <c:v>Sum of Price (IDR)</c:v>
                  </c:pt>
                  <c:pt idx="4">
                    <c:v>Max of Refund Description</c:v>
                  </c:pt>
                  <c:pt idx="5">
                    <c:v>Average of Total Payment</c:v>
                  </c:pt>
                  <c:pt idx="6">
                    <c:v>Sum of Price (IDR)</c:v>
                  </c:pt>
                  <c:pt idx="7">
                    <c:v>Max of Refund Description</c:v>
                  </c:pt>
                  <c:pt idx="8">
                    <c:v>Average of Total Payment</c:v>
                  </c:pt>
                  <c:pt idx="9">
                    <c:v>Sum of Price (IDR)</c:v>
                  </c:pt>
                  <c:pt idx="10">
                    <c:v>Max of Refund Description</c:v>
                  </c:pt>
                  <c:pt idx="11">
                    <c:v>Average of Total Payment</c:v>
                  </c:pt>
                </c:lvl>
                <c:lvl>
                  <c:pt idx="0">
                    <c:v>Abdul Salim Goddard</c:v>
                  </c:pt>
                  <c:pt idx="3">
                    <c:v>Beverly Sugiantno Wiradjaja</c:v>
                  </c:pt>
                  <c:pt idx="6">
                    <c:v>Justin Michael Emeraldo</c:v>
                  </c:pt>
                  <c:pt idx="9">
                    <c:v>Philip Edward Martin</c:v>
                  </c:pt>
                </c:lvl>
              </c:multiLvlStrCache>
            </c:multiLvlStrRef>
          </c:cat>
          <c:val>
            <c:numRef>
              <c:f>PivotTable!$C$6:$C$25</c:f>
              <c:numCache>
                <c:formatCode>_("IDR"* #,##0_);_("IDR"* \(#,##0\);_("IDR"* "-"_);_(@_)</c:formatCode>
                <c:ptCount val="12"/>
                <c:pt idx="0">
                  <c:v>2200000</c:v>
                </c:pt>
                <c:pt idx="2">
                  <c:v>2420000</c:v>
                </c:pt>
              </c:numCache>
            </c:numRef>
          </c:val>
          <c:extLst>
            <c:ext xmlns:c16="http://schemas.microsoft.com/office/drawing/2014/chart" uri="{C3380CC4-5D6E-409C-BE32-E72D297353CC}">
              <c16:uniqueId val="{00000001-F67A-284E-8A7C-7143A1A78BB7}"/>
            </c:ext>
          </c:extLst>
        </c:ser>
        <c:ser>
          <c:idx val="2"/>
          <c:order val="2"/>
          <c:tx>
            <c:strRef>
              <c:f>PivotTable!$D$3:$D$5</c:f>
              <c:strCache>
                <c:ptCount val="1"/>
                <c:pt idx="0">
                  <c:v>Soekarno-Hatta Airport - 6/1/2023</c:v>
                </c:pt>
              </c:strCache>
            </c:strRef>
          </c:tx>
          <c:spPr>
            <a:noFill/>
            <a:ln w="25400" cap="flat" cmpd="sng" algn="ctr">
              <a:solidFill>
                <a:schemeClr val="accent3"/>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PivotTable!$A$6:$A$25</c:f>
              <c:multiLvlStrCache>
                <c:ptCount val="12"/>
                <c:lvl>
                  <c:pt idx="0">
                    <c:v>Sum of Price (IDR)</c:v>
                  </c:pt>
                  <c:pt idx="1">
                    <c:v>Max of Refund Description</c:v>
                  </c:pt>
                  <c:pt idx="2">
                    <c:v>Average of Total Payment</c:v>
                  </c:pt>
                  <c:pt idx="3">
                    <c:v>Sum of Price (IDR)</c:v>
                  </c:pt>
                  <c:pt idx="4">
                    <c:v>Max of Refund Description</c:v>
                  </c:pt>
                  <c:pt idx="5">
                    <c:v>Average of Total Payment</c:v>
                  </c:pt>
                  <c:pt idx="6">
                    <c:v>Sum of Price (IDR)</c:v>
                  </c:pt>
                  <c:pt idx="7">
                    <c:v>Max of Refund Description</c:v>
                  </c:pt>
                  <c:pt idx="8">
                    <c:v>Average of Total Payment</c:v>
                  </c:pt>
                  <c:pt idx="9">
                    <c:v>Sum of Price (IDR)</c:v>
                  </c:pt>
                  <c:pt idx="10">
                    <c:v>Max of Refund Description</c:v>
                  </c:pt>
                  <c:pt idx="11">
                    <c:v>Average of Total Payment</c:v>
                  </c:pt>
                </c:lvl>
                <c:lvl>
                  <c:pt idx="0">
                    <c:v>Abdul Salim Goddard</c:v>
                  </c:pt>
                  <c:pt idx="3">
                    <c:v>Beverly Sugiantno Wiradjaja</c:v>
                  </c:pt>
                  <c:pt idx="6">
                    <c:v>Justin Michael Emeraldo</c:v>
                  </c:pt>
                  <c:pt idx="9">
                    <c:v>Philip Edward Martin</c:v>
                  </c:pt>
                </c:lvl>
              </c:multiLvlStrCache>
            </c:multiLvlStrRef>
          </c:cat>
          <c:val>
            <c:numRef>
              <c:f>PivotTable!$D$6:$D$25</c:f>
              <c:numCache>
                <c:formatCode>_("IDR"* #,##0_);_("IDR"* \(#,##0\);_("IDR"* "-"_);_(@_)</c:formatCode>
                <c:ptCount val="12"/>
                <c:pt idx="3">
                  <c:v>2200000</c:v>
                </c:pt>
                <c:pt idx="5">
                  <c:v>2420000</c:v>
                </c:pt>
                <c:pt idx="6">
                  <c:v>2200000</c:v>
                </c:pt>
                <c:pt idx="8">
                  <c:v>2420000</c:v>
                </c:pt>
              </c:numCache>
            </c:numRef>
          </c:val>
          <c:extLst>
            <c:ext xmlns:c16="http://schemas.microsoft.com/office/drawing/2014/chart" uri="{C3380CC4-5D6E-409C-BE32-E72D297353CC}">
              <c16:uniqueId val="{00000002-F67A-284E-8A7C-7143A1A78BB7}"/>
            </c:ext>
          </c:extLst>
        </c:ser>
        <c:dLbls>
          <c:showLegendKey val="0"/>
          <c:showVal val="0"/>
          <c:showCatName val="0"/>
          <c:showSerName val="0"/>
          <c:showPercent val="0"/>
          <c:showBubbleSize val="0"/>
        </c:dLbls>
        <c:gapWidth val="150"/>
        <c:axId val="2114680367"/>
        <c:axId val="2090677807"/>
      </c:barChart>
      <c:catAx>
        <c:axId val="2114680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90677807"/>
        <c:crosses val="autoZero"/>
        <c:auto val="1"/>
        <c:lblAlgn val="ctr"/>
        <c:lblOffset val="100"/>
        <c:noMultiLvlLbl val="0"/>
      </c:catAx>
      <c:valAx>
        <c:axId val="2090677807"/>
        <c:scaling>
          <c:orientation val="minMax"/>
        </c:scaling>
        <c:delete val="0"/>
        <c:axPos val="l"/>
        <c:majorGridlines>
          <c:spPr>
            <a:ln w="9525">
              <a:solidFill>
                <a:schemeClr val="tx1">
                  <a:lumMod val="15000"/>
                  <a:lumOff val="85000"/>
                </a:schemeClr>
              </a:solidFill>
            </a:ln>
            <a:effectLst/>
          </c:spPr>
        </c:majorGridlines>
        <c:numFmt formatCode="_(&quot;IDR&quot;* #,##0_);_(&quot;IDR&quot;* \(#,##0\);_(&quot;ID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114680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cap="all" spc="0" baseline="0">
                <a:solidFill>
                  <a:schemeClr val="tx1"/>
                </a:solidFill>
                <a:latin typeface="+mn-lt"/>
                <a:ea typeface="+mn-ea"/>
                <a:cs typeface="+mn-cs"/>
              </a:defRPr>
            </a:pPr>
            <a:r>
              <a:rPr lang="en-US" b="1">
                <a:solidFill>
                  <a:schemeClr val="tx1"/>
                </a:solidFill>
              </a:rPr>
              <a:t>Quantity of Flight on March 23</a:t>
            </a:r>
          </a:p>
        </c:rich>
      </c:tx>
      <c:overlay val="0"/>
      <c:spPr>
        <a:noFill/>
        <a:ln>
          <a:noFill/>
        </a:ln>
        <a:effectLst/>
      </c:spPr>
      <c:txPr>
        <a:bodyPr rot="0" spcFirstLastPara="1" vertOverflow="ellipsis" vert="horz" wrap="square" anchor="ctr" anchorCtr="1"/>
        <a:lstStyle/>
        <a:p>
          <a:pPr>
            <a:defRPr sz="1440" b="1" i="0" u="none" strike="noStrike" kern="1200" cap="all" spc="0" baseline="0">
              <a:solidFill>
                <a:schemeClr val="tx1"/>
              </a:solidFill>
              <a:latin typeface="+mn-lt"/>
              <a:ea typeface="+mn-ea"/>
              <a:cs typeface="+mn-cs"/>
            </a:defRPr>
          </a:pPr>
          <a:endParaRPr lang="en-US"/>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'Sales Inventory'!$U$4:$U$49</c:f>
              <c:numCache>
                <c:formatCode>m/d/yyyy</c:formatCode>
                <c:ptCount val="46"/>
                <c:pt idx="0">
                  <c:v>44986</c:v>
                </c:pt>
                <c:pt idx="1">
                  <c:v>44987</c:v>
                </c:pt>
                <c:pt idx="2">
                  <c:v>44988</c:v>
                </c:pt>
                <c:pt idx="3">
                  <c:v>44989</c:v>
                </c:pt>
                <c:pt idx="4">
                  <c:v>44990</c:v>
                </c:pt>
                <c:pt idx="5">
                  <c:v>44991</c:v>
                </c:pt>
                <c:pt idx="6">
                  <c:v>44992</c:v>
                </c:pt>
                <c:pt idx="7">
                  <c:v>44993</c:v>
                </c:pt>
                <c:pt idx="8">
                  <c:v>44994</c:v>
                </c:pt>
                <c:pt idx="9">
                  <c:v>44995</c:v>
                </c:pt>
                <c:pt idx="10">
                  <c:v>44996</c:v>
                </c:pt>
                <c:pt idx="11">
                  <c:v>44997</c:v>
                </c:pt>
                <c:pt idx="12">
                  <c:v>44998</c:v>
                </c:pt>
                <c:pt idx="13">
                  <c:v>44999</c:v>
                </c:pt>
                <c:pt idx="14">
                  <c:v>45000</c:v>
                </c:pt>
                <c:pt idx="15">
                  <c:v>45001</c:v>
                </c:pt>
                <c:pt idx="16">
                  <c:v>45002</c:v>
                </c:pt>
                <c:pt idx="17">
                  <c:v>45003</c:v>
                </c:pt>
                <c:pt idx="18">
                  <c:v>45004</c:v>
                </c:pt>
                <c:pt idx="19">
                  <c:v>45005</c:v>
                </c:pt>
                <c:pt idx="20">
                  <c:v>45006</c:v>
                </c:pt>
                <c:pt idx="21">
                  <c:v>45007</c:v>
                </c:pt>
                <c:pt idx="22">
                  <c:v>45008</c:v>
                </c:pt>
                <c:pt idx="23">
                  <c:v>45009</c:v>
                </c:pt>
                <c:pt idx="24">
                  <c:v>45010</c:v>
                </c:pt>
                <c:pt idx="25">
                  <c:v>45011</c:v>
                </c:pt>
                <c:pt idx="26">
                  <c:v>45012</c:v>
                </c:pt>
                <c:pt idx="27">
                  <c:v>45013</c:v>
                </c:pt>
                <c:pt idx="28">
                  <c:v>45014</c:v>
                </c:pt>
                <c:pt idx="29">
                  <c:v>45015</c:v>
                </c:pt>
                <c:pt idx="30">
                  <c:v>45016</c:v>
                </c:pt>
                <c:pt idx="31">
                  <c:v>45017</c:v>
                </c:pt>
                <c:pt idx="32">
                  <c:v>45018</c:v>
                </c:pt>
                <c:pt idx="33">
                  <c:v>45019</c:v>
                </c:pt>
                <c:pt idx="34">
                  <c:v>45020</c:v>
                </c:pt>
                <c:pt idx="35">
                  <c:v>45021</c:v>
                </c:pt>
                <c:pt idx="36">
                  <c:v>45022</c:v>
                </c:pt>
                <c:pt idx="37">
                  <c:v>45023</c:v>
                </c:pt>
                <c:pt idx="38">
                  <c:v>45024</c:v>
                </c:pt>
                <c:pt idx="39">
                  <c:v>45025</c:v>
                </c:pt>
                <c:pt idx="40">
                  <c:v>45026</c:v>
                </c:pt>
                <c:pt idx="41">
                  <c:v>45027</c:v>
                </c:pt>
                <c:pt idx="42">
                  <c:v>45028</c:v>
                </c:pt>
                <c:pt idx="43">
                  <c:v>45029</c:v>
                </c:pt>
                <c:pt idx="44">
                  <c:v>45030</c:v>
                </c:pt>
                <c:pt idx="45">
                  <c:v>45031</c:v>
                </c:pt>
              </c:numCache>
            </c:numRef>
          </c:cat>
          <c:val>
            <c:numRef>
              <c:f>'Sales Inventory'!$Z$4:$Z$49</c:f>
              <c:numCache>
                <c:formatCode>General</c:formatCode>
                <c:ptCount val="46"/>
                <c:pt idx="0">
                  <c:v>25</c:v>
                </c:pt>
                <c:pt idx="1">
                  <c:v>18</c:v>
                </c:pt>
                <c:pt idx="2">
                  <c:v>33</c:v>
                </c:pt>
                <c:pt idx="3">
                  <c:v>22</c:v>
                </c:pt>
                <c:pt idx="4">
                  <c:v>17</c:v>
                </c:pt>
                <c:pt idx="5">
                  <c:v>12</c:v>
                </c:pt>
                <c:pt idx="6">
                  <c:v>28</c:v>
                </c:pt>
                <c:pt idx="7">
                  <c:v>38</c:v>
                </c:pt>
                <c:pt idx="8">
                  <c:v>25</c:v>
                </c:pt>
                <c:pt idx="9">
                  <c:v>72</c:v>
                </c:pt>
                <c:pt idx="10">
                  <c:v>65</c:v>
                </c:pt>
                <c:pt idx="11">
                  <c:v>42</c:v>
                </c:pt>
                <c:pt idx="12">
                  <c:v>51</c:v>
                </c:pt>
                <c:pt idx="13">
                  <c:v>27</c:v>
                </c:pt>
                <c:pt idx="14">
                  <c:v>39</c:v>
                </c:pt>
                <c:pt idx="15">
                  <c:v>26</c:v>
                </c:pt>
                <c:pt idx="16">
                  <c:v>45</c:v>
                </c:pt>
                <c:pt idx="17">
                  <c:v>50</c:v>
                </c:pt>
                <c:pt idx="18">
                  <c:v>37</c:v>
                </c:pt>
                <c:pt idx="19">
                  <c:v>32</c:v>
                </c:pt>
                <c:pt idx="20">
                  <c:v>77</c:v>
                </c:pt>
                <c:pt idx="21">
                  <c:v>64</c:v>
                </c:pt>
                <c:pt idx="22">
                  <c:v>80</c:v>
                </c:pt>
                <c:pt idx="23">
                  <c:v>65</c:v>
                </c:pt>
                <c:pt idx="24">
                  <c:v>32</c:v>
                </c:pt>
                <c:pt idx="25">
                  <c:v>30</c:v>
                </c:pt>
                <c:pt idx="26">
                  <c:v>80</c:v>
                </c:pt>
                <c:pt idx="27">
                  <c:v>70</c:v>
                </c:pt>
                <c:pt idx="28">
                  <c:v>68</c:v>
                </c:pt>
                <c:pt idx="29">
                  <c:v>101</c:v>
                </c:pt>
                <c:pt idx="30">
                  <c:v>92</c:v>
                </c:pt>
                <c:pt idx="31">
                  <c:v>115</c:v>
                </c:pt>
                <c:pt idx="32">
                  <c:v>88</c:v>
                </c:pt>
                <c:pt idx="33">
                  <c:v>76</c:v>
                </c:pt>
                <c:pt idx="34">
                  <c:v>35</c:v>
                </c:pt>
                <c:pt idx="35">
                  <c:v>39</c:v>
                </c:pt>
                <c:pt idx="36">
                  <c:v>46</c:v>
                </c:pt>
                <c:pt idx="37">
                  <c:v>42</c:v>
                </c:pt>
                <c:pt idx="38">
                  <c:v>31</c:v>
                </c:pt>
                <c:pt idx="39">
                  <c:v>38</c:v>
                </c:pt>
                <c:pt idx="40">
                  <c:v>52</c:v>
                </c:pt>
                <c:pt idx="41">
                  <c:v>55</c:v>
                </c:pt>
                <c:pt idx="42">
                  <c:v>135</c:v>
                </c:pt>
                <c:pt idx="43">
                  <c:v>75</c:v>
                </c:pt>
                <c:pt idx="44">
                  <c:v>144</c:v>
                </c:pt>
                <c:pt idx="45">
                  <c:v>62</c:v>
                </c:pt>
              </c:numCache>
            </c:numRef>
          </c:val>
          <c:smooth val="0"/>
          <c:extLst>
            <c:ext xmlns:c16="http://schemas.microsoft.com/office/drawing/2014/chart" uri="{C3380CC4-5D6E-409C-BE32-E72D297353CC}">
              <c16:uniqueId val="{00000000-8F52-254A-AA2C-1931B7BDACB1}"/>
            </c:ext>
          </c:extLst>
        </c:ser>
        <c:dLbls>
          <c:dLblPos val="ctr"/>
          <c:showLegendKey val="0"/>
          <c:showVal val="1"/>
          <c:showCatName val="0"/>
          <c:showSerName val="0"/>
          <c:showPercent val="0"/>
          <c:showBubbleSize val="0"/>
        </c:dLbls>
        <c:marker val="1"/>
        <c:smooth val="0"/>
        <c:axId val="1456019632"/>
        <c:axId val="1416569968"/>
      </c:lineChart>
      <c:dateAx>
        <c:axId val="1456019632"/>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416569968"/>
        <c:crosses val="autoZero"/>
        <c:auto val="1"/>
        <c:lblOffset val="100"/>
        <c:baseTimeUnit val="days"/>
      </c:dateAx>
      <c:valAx>
        <c:axId val="1416569968"/>
        <c:scaling>
          <c:orientation val="minMax"/>
        </c:scaling>
        <c:delete val="1"/>
        <c:axPos val="l"/>
        <c:numFmt formatCode="General" sourceLinked="1"/>
        <c:majorTickMark val="none"/>
        <c:minorTickMark val="none"/>
        <c:tickLblPos val="nextTo"/>
        <c:crossAx val="1456019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r>
              <a:rPr lang="en-US">
                <a:solidFill>
                  <a:schemeClr val="tx1"/>
                </a:solidFill>
              </a:rPr>
              <a:t>Income</a:t>
            </a:r>
            <a:r>
              <a:rPr lang="en-US" baseline="0">
                <a:solidFill>
                  <a:schemeClr val="tx1"/>
                </a:solidFill>
              </a:rPr>
              <a:t> Airlines Reporting on March 23</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solidFill>
              <a:latin typeface="+mn-lt"/>
              <a:ea typeface="+mn-ea"/>
              <a:cs typeface="+mn-cs"/>
            </a:defRPr>
          </a:pPr>
          <a:endParaRPr lang="en-US"/>
        </a:p>
      </c:txPr>
    </c:title>
    <c:autoTitleDeleted val="0"/>
    <c:plotArea>
      <c:layout/>
      <c:areaChart>
        <c:grouping val="standard"/>
        <c:varyColors val="0"/>
        <c:ser>
          <c:idx val="0"/>
          <c:order val="0"/>
          <c:spPr>
            <a:pattFill prst="ltUpDiag">
              <a:fgClr>
                <a:schemeClr val="accent1"/>
              </a:fgClr>
              <a:bgClr>
                <a:schemeClr val="accent1">
                  <a:lumMod val="20000"/>
                  <a:lumOff val="80000"/>
                </a:schemeClr>
              </a:bgClr>
            </a:pattFill>
            <a:ln>
              <a:noFill/>
            </a:ln>
            <a:effectLst>
              <a:innerShdw blurRad="114300">
                <a:schemeClr val="accent1"/>
              </a:innerShdw>
            </a:effectLst>
          </c:spPr>
          <c:cat>
            <c:numRef>
              <c:f>'Sales Inventory'!$U$4:$U$49</c:f>
              <c:numCache>
                <c:formatCode>m/d/yyyy</c:formatCode>
                <c:ptCount val="46"/>
                <c:pt idx="0">
                  <c:v>44986</c:v>
                </c:pt>
                <c:pt idx="1">
                  <c:v>44987</c:v>
                </c:pt>
                <c:pt idx="2">
                  <c:v>44988</c:v>
                </c:pt>
                <c:pt idx="3">
                  <c:v>44989</c:v>
                </c:pt>
                <c:pt idx="4">
                  <c:v>44990</c:v>
                </c:pt>
                <c:pt idx="5">
                  <c:v>44991</c:v>
                </c:pt>
                <c:pt idx="6">
                  <c:v>44992</c:v>
                </c:pt>
                <c:pt idx="7">
                  <c:v>44993</c:v>
                </c:pt>
                <c:pt idx="8">
                  <c:v>44994</c:v>
                </c:pt>
                <c:pt idx="9">
                  <c:v>44995</c:v>
                </c:pt>
                <c:pt idx="10">
                  <c:v>44996</c:v>
                </c:pt>
                <c:pt idx="11">
                  <c:v>44997</c:v>
                </c:pt>
                <c:pt idx="12">
                  <c:v>44998</c:v>
                </c:pt>
                <c:pt idx="13">
                  <c:v>44999</c:v>
                </c:pt>
                <c:pt idx="14">
                  <c:v>45000</c:v>
                </c:pt>
                <c:pt idx="15">
                  <c:v>45001</c:v>
                </c:pt>
                <c:pt idx="16">
                  <c:v>45002</c:v>
                </c:pt>
                <c:pt idx="17">
                  <c:v>45003</c:v>
                </c:pt>
                <c:pt idx="18">
                  <c:v>45004</c:v>
                </c:pt>
                <c:pt idx="19">
                  <c:v>45005</c:v>
                </c:pt>
                <c:pt idx="20">
                  <c:v>45006</c:v>
                </c:pt>
                <c:pt idx="21">
                  <c:v>45007</c:v>
                </c:pt>
                <c:pt idx="22">
                  <c:v>45008</c:v>
                </c:pt>
                <c:pt idx="23">
                  <c:v>45009</c:v>
                </c:pt>
                <c:pt idx="24">
                  <c:v>45010</c:v>
                </c:pt>
                <c:pt idx="25">
                  <c:v>45011</c:v>
                </c:pt>
                <c:pt idx="26">
                  <c:v>45012</c:v>
                </c:pt>
                <c:pt idx="27">
                  <c:v>45013</c:v>
                </c:pt>
                <c:pt idx="28">
                  <c:v>45014</c:v>
                </c:pt>
                <c:pt idx="29">
                  <c:v>45015</c:v>
                </c:pt>
                <c:pt idx="30">
                  <c:v>45016</c:v>
                </c:pt>
                <c:pt idx="31">
                  <c:v>45017</c:v>
                </c:pt>
                <c:pt idx="32">
                  <c:v>45018</c:v>
                </c:pt>
                <c:pt idx="33">
                  <c:v>45019</c:v>
                </c:pt>
                <c:pt idx="34">
                  <c:v>45020</c:v>
                </c:pt>
                <c:pt idx="35">
                  <c:v>45021</c:v>
                </c:pt>
                <c:pt idx="36">
                  <c:v>45022</c:v>
                </c:pt>
                <c:pt idx="37">
                  <c:v>45023</c:v>
                </c:pt>
                <c:pt idx="38">
                  <c:v>45024</c:v>
                </c:pt>
                <c:pt idx="39">
                  <c:v>45025</c:v>
                </c:pt>
                <c:pt idx="40">
                  <c:v>45026</c:v>
                </c:pt>
                <c:pt idx="41">
                  <c:v>45027</c:v>
                </c:pt>
                <c:pt idx="42">
                  <c:v>45028</c:v>
                </c:pt>
                <c:pt idx="43">
                  <c:v>45029</c:v>
                </c:pt>
                <c:pt idx="44">
                  <c:v>45030</c:v>
                </c:pt>
                <c:pt idx="45">
                  <c:v>45031</c:v>
                </c:pt>
              </c:numCache>
            </c:numRef>
          </c:cat>
          <c:val>
            <c:numRef>
              <c:f>'Sales Inventory'!$AB$4:$AB$49</c:f>
              <c:numCache>
                <c:formatCode>_("IDR"* #,##0_);_("IDR"* \(#,##0\);_("IDR"* "-"_);_(@_)</c:formatCode>
                <c:ptCount val="46"/>
                <c:pt idx="0">
                  <c:v>17813825</c:v>
                </c:pt>
                <c:pt idx="1">
                  <c:v>53361342</c:v>
                </c:pt>
                <c:pt idx="2">
                  <c:v>35178000</c:v>
                </c:pt>
                <c:pt idx="3">
                  <c:v>38738788</c:v>
                </c:pt>
                <c:pt idx="4">
                  <c:v>33643000</c:v>
                </c:pt>
                <c:pt idx="5">
                  <c:v>6084000</c:v>
                </c:pt>
                <c:pt idx="6">
                  <c:v>15736000</c:v>
                </c:pt>
                <c:pt idx="7">
                  <c:v>27702000</c:v>
                </c:pt>
                <c:pt idx="8">
                  <c:v>14500000</c:v>
                </c:pt>
                <c:pt idx="9">
                  <c:v>66096000</c:v>
                </c:pt>
                <c:pt idx="10">
                  <c:v>67120950</c:v>
                </c:pt>
                <c:pt idx="11">
                  <c:v>372330000</c:v>
                </c:pt>
                <c:pt idx="12">
                  <c:v>252552000</c:v>
                </c:pt>
                <c:pt idx="13">
                  <c:v>146250900</c:v>
                </c:pt>
                <c:pt idx="14">
                  <c:v>449085000</c:v>
                </c:pt>
                <c:pt idx="15">
                  <c:v>216190000</c:v>
                </c:pt>
                <c:pt idx="16">
                  <c:v>235845000</c:v>
                </c:pt>
                <c:pt idx="17">
                  <c:v>263550000</c:v>
                </c:pt>
                <c:pt idx="18">
                  <c:v>78403000</c:v>
                </c:pt>
                <c:pt idx="19">
                  <c:v>152576000</c:v>
                </c:pt>
                <c:pt idx="20">
                  <c:v>178332000</c:v>
                </c:pt>
                <c:pt idx="21">
                  <c:v>178291200</c:v>
                </c:pt>
                <c:pt idx="22">
                  <c:v>57004240</c:v>
                </c:pt>
                <c:pt idx="23">
                  <c:v>192693735</c:v>
                </c:pt>
                <c:pt idx="24">
                  <c:v>34112000</c:v>
                </c:pt>
                <c:pt idx="25">
                  <c:v>52825620</c:v>
                </c:pt>
                <c:pt idx="26">
                  <c:v>158320000</c:v>
                </c:pt>
                <c:pt idx="27">
                  <c:v>35490000</c:v>
                </c:pt>
                <c:pt idx="28">
                  <c:v>66640000</c:v>
                </c:pt>
                <c:pt idx="29">
                  <c:v>80497000</c:v>
                </c:pt>
                <c:pt idx="30">
                  <c:v>56120000</c:v>
                </c:pt>
                <c:pt idx="31">
                  <c:v>122130000</c:v>
                </c:pt>
                <c:pt idx="32">
                  <c:v>54384000</c:v>
                </c:pt>
                <c:pt idx="33">
                  <c:v>475433200</c:v>
                </c:pt>
                <c:pt idx="34">
                  <c:v>167898500</c:v>
                </c:pt>
                <c:pt idx="35">
                  <c:v>166326615</c:v>
                </c:pt>
                <c:pt idx="36">
                  <c:v>500848000</c:v>
                </c:pt>
                <c:pt idx="37">
                  <c:v>419034000</c:v>
                </c:pt>
                <c:pt idx="38">
                  <c:v>259403970</c:v>
                </c:pt>
                <c:pt idx="39">
                  <c:v>187758000</c:v>
                </c:pt>
                <c:pt idx="40">
                  <c:v>109616000</c:v>
                </c:pt>
                <c:pt idx="41">
                  <c:v>373219000</c:v>
                </c:pt>
                <c:pt idx="42">
                  <c:v>174420000</c:v>
                </c:pt>
                <c:pt idx="43">
                  <c:v>245632500</c:v>
                </c:pt>
                <c:pt idx="44">
                  <c:v>102607632</c:v>
                </c:pt>
                <c:pt idx="45">
                  <c:v>183800178</c:v>
                </c:pt>
              </c:numCache>
            </c:numRef>
          </c:val>
          <c:extLst>
            <c:ext xmlns:c16="http://schemas.microsoft.com/office/drawing/2014/chart" uri="{C3380CC4-5D6E-409C-BE32-E72D297353CC}">
              <c16:uniqueId val="{00000000-5206-8C44-B87F-10C847D2CDFF}"/>
            </c:ext>
          </c:extLst>
        </c:ser>
        <c:dLbls>
          <c:showLegendKey val="0"/>
          <c:showVal val="0"/>
          <c:showCatName val="0"/>
          <c:showSerName val="0"/>
          <c:showPercent val="0"/>
          <c:showBubbleSize val="0"/>
        </c:dLbls>
        <c:axId val="1479583920"/>
        <c:axId val="1479691904"/>
      </c:areaChart>
      <c:dateAx>
        <c:axId val="1479583920"/>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solidFill>
                <a:latin typeface="+mn-lt"/>
                <a:ea typeface="+mn-ea"/>
                <a:cs typeface="+mn-cs"/>
              </a:defRPr>
            </a:pPr>
            <a:endParaRPr lang="en-US"/>
          </a:p>
        </c:txPr>
        <c:crossAx val="1479691904"/>
        <c:crosses val="autoZero"/>
        <c:auto val="1"/>
        <c:lblOffset val="100"/>
        <c:baseTimeUnit val="days"/>
      </c:dateAx>
      <c:valAx>
        <c:axId val="147969190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_(&quot;IDR&quot;* #,##0_);_(&quot;IDR&quot;* \(#,##0\);_(&quot;IDR&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7958392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cap="all" spc="0" baseline="0">
                <a:solidFill>
                  <a:schemeClr val="tx1"/>
                </a:solidFill>
                <a:latin typeface="+mn-lt"/>
                <a:ea typeface="+mn-ea"/>
                <a:cs typeface="+mn-cs"/>
              </a:defRPr>
            </a:pPr>
            <a:r>
              <a:rPr lang="en-US" b="1">
                <a:solidFill>
                  <a:schemeClr val="tx1"/>
                </a:solidFill>
              </a:rPr>
              <a:t>Quantity of Flight on March 23</a:t>
            </a:r>
          </a:p>
        </c:rich>
      </c:tx>
      <c:overlay val="0"/>
      <c:spPr>
        <a:noFill/>
        <a:ln>
          <a:noFill/>
        </a:ln>
        <a:effectLst/>
      </c:spPr>
      <c:txPr>
        <a:bodyPr rot="0" spcFirstLastPara="1" vertOverflow="ellipsis" vert="horz" wrap="square" anchor="ctr" anchorCtr="1"/>
        <a:lstStyle/>
        <a:p>
          <a:pPr>
            <a:defRPr sz="1440" b="1" i="0" u="none" strike="noStrike" kern="1200" cap="all" spc="0" baseline="0">
              <a:solidFill>
                <a:schemeClr val="tx1"/>
              </a:solidFill>
              <a:latin typeface="+mn-lt"/>
              <a:ea typeface="+mn-ea"/>
              <a:cs typeface="+mn-cs"/>
            </a:defRPr>
          </a:pPr>
          <a:endParaRPr lang="en-US"/>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'Sales Inventory'!$U$4:$U$49</c:f>
              <c:numCache>
                <c:formatCode>m/d/yyyy</c:formatCode>
                <c:ptCount val="46"/>
                <c:pt idx="0">
                  <c:v>44986</c:v>
                </c:pt>
                <c:pt idx="1">
                  <c:v>44987</c:v>
                </c:pt>
                <c:pt idx="2">
                  <c:v>44988</c:v>
                </c:pt>
                <c:pt idx="3">
                  <c:v>44989</c:v>
                </c:pt>
                <c:pt idx="4">
                  <c:v>44990</c:v>
                </c:pt>
                <c:pt idx="5">
                  <c:v>44991</c:v>
                </c:pt>
                <c:pt idx="6">
                  <c:v>44992</c:v>
                </c:pt>
                <c:pt idx="7">
                  <c:v>44993</c:v>
                </c:pt>
                <c:pt idx="8">
                  <c:v>44994</c:v>
                </c:pt>
                <c:pt idx="9">
                  <c:v>44995</c:v>
                </c:pt>
                <c:pt idx="10">
                  <c:v>44996</c:v>
                </c:pt>
                <c:pt idx="11">
                  <c:v>44997</c:v>
                </c:pt>
                <c:pt idx="12">
                  <c:v>44998</c:v>
                </c:pt>
                <c:pt idx="13">
                  <c:v>44999</c:v>
                </c:pt>
                <c:pt idx="14">
                  <c:v>45000</c:v>
                </c:pt>
                <c:pt idx="15">
                  <c:v>45001</c:v>
                </c:pt>
                <c:pt idx="16">
                  <c:v>45002</c:v>
                </c:pt>
                <c:pt idx="17">
                  <c:v>45003</c:v>
                </c:pt>
                <c:pt idx="18">
                  <c:v>45004</c:v>
                </c:pt>
                <c:pt idx="19">
                  <c:v>45005</c:v>
                </c:pt>
                <c:pt idx="20">
                  <c:v>45006</c:v>
                </c:pt>
                <c:pt idx="21">
                  <c:v>45007</c:v>
                </c:pt>
                <c:pt idx="22">
                  <c:v>45008</c:v>
                </c:pt>
                <c:pt idx="23">
                  <c:v>45009</c:v>
                </c:pt>
                <c:pt idx="24">
                  <c:v>45010</c:v>
                </c:pt>
                <c:pt idx="25">
                  <c:v>45011</c:v>
                </c:pt>
                <c:pt idx="26">
                  <c:v>45012</c:v>
                </c:pt>
                <c:pt idx="27">
                  <c:v>45013</c:v>
                </c:pt>
                <c:pt idx="28">
                  <c:v>45014</c:v>
                </c:pt>
                <c:pt idx="29">
                  <c:v>45015</c:v>
                </c:pt>
                <c:pt idx="30">
                  <c:v>45016</c:v>
                </c:pt>
                <c:pt idx="31">
                  <c:v>45017</c:v>
                </c:pt>
                <c:pt idx="32">
                  <c:v>45018</c:v>
                </c:pt>
                <c:pt idx="33">
                  <c:v>45019</c:v>
                </c:pt>
                <c:pt idx="34">
                  <c:v>45020</c:v>
                </c:pt>
                <c:pt idx="35">
                  <c:v>45021</c:v>
                </c:pt>
                <c:pt idx="36">
                  <c:v>45022</c:v>
                </c:pt>
                <c:pt idx="37">
                  <c:v>45023</c:v>
                </c:pt>
                <c:pt idx="38">
                  <c:v>45024</c:v>
                </c:pt>
                <c:pt idx="39">
                  <c:v>45025</c:v>
                </c:pt>
                <c:pt idx="40">
                  <c:v>45026</c:v>
                </c:pt>
                <c:pt idx="41">
                  <c:v>45027</c:v>
                </c:pt>
                <c:pt idx="42">
                  <c:v>45028</c:v>
                </c:pt>
                <c:pt idx="43">
                  <c:v>45029</c:v>
                </c:pt>
                <c:pt idx="44">
                  <c:v>45030</c:v>
                </c:pt>
                <c:pt idx="45">
                  <c:v>45031</c:v>
                </c:pt>
              </c:numCache>
            </c:numRef>
          </c:cat>
          <c:val>
            <c:numRef>
              <c:f>'Sales Inventory'!$Z$4:$Z$49</c:f>
              <c:numCache>
                <c:formatCode>General</c:formatCode>
                <c:ptCount val="46"/>
                <c:pt idx="0">
                  <c:v>25</c:v>
                </c:pt>
                <c:pt idx="1">
                  <c:v>18</c:v>
                </c:pt>
                <c:pt idx="2">
                  <c:v>33</c:v>
                </c:pt>
                <c:pt idx="3">
                  <c:v>22</c:v>
                </c:pt>
                <c:pt idx="4">
                  <c:v>17</c:v>
                </c:pt>
                <c:pt idx="5">
                  <c:v>12</c:v>
                </c:pt>
                <c:pt idx="6">
                  <c:v>28</c:v>
                </c:pt>
                <c:pt idx="7">
                  <c:v>38</c:v>
                </c:pt>
                <c:pt idx="8">
                  <c:v>25</c:v>
                </c:pt>
                <c:pt idx="9">
                  <c:v>72</c:v>
                </c:pt>
                <c:pt idx="10">
                  <c:v>65</c:v>
                </c:pt>
                <c:pt idx="11">
                  <c:v>42</c:v>
                </c:pt>
                <c:pt idx="12">
                  <c:v>51</c:v>
                </c:pt>
                <c:pt idx="13">
                  <c:v>27</c:v>
                </c:pt>
                <c:pt idx="14">
                  <c:v>39</c:v>
                </c:pt>
                <c:pt idx="15">
                  <c:v>26</c:v>
                </c:pt>
                <c:pt idx="16">
                  <c:v>45</c:v>
                </c:pt>
                <c:pt idx="17">
                  <c:v>50</c:v>
                </c:pt>
                <c:pt idx="18">
                  <c:v>37</c:v>
                </c:pt>
                <c:pt idx="19">
                  <c:v>32</c:v>
                </c:pt>
                <c:pt idx="20">
                  <c:v>77</c:v>
                </c:pt>
                <c:pt idx="21">
                  <c:v>64</c:v>
                </c:pt>
                <c:pt idx="22">
                  <c:v>80</c:v>
                </c:pt>
                <c:pt idx="23">
                  <c:v>65</c:v>
                </c:pt>
                <c:pt idx="24">
                  <c:v>32</c:v>
                </c:pt>
                <c:pt idx="25">
                  <c:v>30</c:v>
                </c:pt>
                <c:pt idx="26">
                  <c:v>80</c:v>
                </c:pt>
                <c:pt idx="27">
                  <c:v>70</c:v>
                </c:pt>
                <c:pt idx="28">
                  <c:v>68</c:v>
                </c:pt>
                <c:pt idx="29">
                  <c:v>101</c:v>
                </c:pt>
                <c:pt idx="30">
                  <c:v>92</c:v>
                </c:pt>
                <c:pt idx="31">
                  <c:v>115</c:v>
                </c:pt>
                <c:pt idx="32">
                  <c:v>88</c:v>
                </c:pt>
                <c:pt idx="33">
                  <c:v>76</c:v>
                </c:pt>
                <c:pt idx="34">
                  <c:v>35</c:v>
                </c:pt>
                <c:pt idx="35">
                  <c:v>39</c:v>
                </c:pt>
                <c:pt idx="36">
                  <c:v>46</c:v>
                </c:pt>
                <c:pt idx="37">
                  <c:v>42</c:v>
                </c:pt>
                <c:pt idx="38">
                  <c:v>31</c:v>
                </c:pt>
                <c:pt idx="39">
                  <c:v>38</c:v>
                </c:pt>
                <c:pt idx="40">
                  <c:v>52</c:v>
                </c:pt>
                <c:pt idx="41">
                  <c:v>55</c:v>
                </c:pt>
                <c:pt idx="42">
                  <c:v>135</c:v>
                </c:pt>
                <c:pt idx="43">
                  <c:v>75</c:v>
                </c:pt>
                <c:pt idx="44">
                  <c:v>144</c:v>
                </c:pt>
                <c:pt idx="45">
                  <c:v>62</c:v>
                </c:pt>
              </c:numCache>
            </c:numRef>
          </c:val>
          <c:smooth val="0"/>
          <c:extLst>
            <c:ext xmlns:c16="http://schemas.microsoft.com/office/drawing/2014/chart" uri="{C3380CC4-5D6E-409C-BE32-E72D297353CC}">
              <c16:uniqueId val="{00000000-3670-F44D-B937-5948D889DB4D}"/>
            </c:ext>
          </c:extLst>
        </c:ser>
        <c:dLbls>
          <c:dLblPos val="ctr"/>
          <c:showLegendKey val="0"/>
          <c:showVal val="1"/>
          <c:showCatName val="0"/>
          <c:showSerName val="0"/>
          <c:showPercent val="0"/>
          <c:showBubbleSize val="0"/>
        </c:dLbls>
        <c:marker val="1"/>
        <c:smooth val="0"/>
        <c:axId val="1456019632"/>
        <c:axId val="1416569968"/>
      </c:lineChart>
      <c:dateAx>
        <c:axId val="1456019632"/>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416569968"/>
        <c:crosses val="autoZero"/>
        <c:auto val="1"/>
        <c:lblOffset val="100"/>
        <c:baseTimeUnit val="days"/>
      </c:dateAx>
      <c:valAx>
        <c:axId val="1416569968"/>
        <c:scaling>
          <c:orientation val="minMax"/>
        </c:scaling>
        <c:delete val="1"/>
        <c:axPos val="l"/>
        <c:numFmt formatCode="General" sourceLinked="1"/>
        <c:majorTickMark val="none"/>
        <c:minorTickMark val="none"/>
        <c:tickLblPos val="nextTo"/>
        <c:crossAx val="1456019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cap="all" spc="0" baseline="0">
                <a:solidFill>
                  <a:schemeClr val="tx1"/>
                </a:solidFill>
                <a:latin typeface="+mn-lt"/>
                <a:ea typeface="+mn-ea"/>
                <a:cs typeface="+mn-cs"/>
              </a:defRPr>
            </a:pPr>
            <a:r>
              <a:rPr lang="en-US" b="1">
                <a:solidFill>
                  <a:schemeClr val="tx1"/>
                </a:solidFill>
              </a:rPr>
              <a:t>Quantity of Flight on March 23</a:t>
            </a:r>
          </a:p>
        </c:rich>
      </c:tx>
      <c:overlay val="0"/>
      <c:spPr>
        <a:noFill/>
        <a:ln>
          <a:noFill/>
        </a:ln>
        <a:effectLst/>
      </c:spPr>
      <c:txPr>
        <a:bodyPr rot="0" spcFirstLastPara="1" vertOverflow="ellipsis" vert="horz" wrap="square" anchor="ctr" anchorCtr="1"/>
        <a:lstStyle/>
        <a:p>
          <a:pPr>
            <a:defRPr sz="1440" b="1" i="0" u="none" strike="noStrike" kern="1200" cap="all" spc="0" baseline="0">
              <a:solidFill>
                <a:schemeClr val="tx1"/>
              </a:solidFill>
              <a:latin typeface="+mn-lt"/>
              <a:ea typeface="+mn-ea"/>
              <a:cs typeface="+mn-cs"/>
            </a:defRPr>
          </a:pPr>
          <a:endParaRPr lang="en-US"/>
        </a:p>
      </c:txPr>
    </c:title>
    <c:autoTitleDeleted val="0"/>
    <c:plotArea>
      <c:layout/>
      <c:lineChart>
        <c:grouping val="stacke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'Sales Inventory'!$U$4:$U$49</c:f>
              <c:numCache>
                <c:formatCode>m/d/yyyy</c:formatCode>
                <c:ptCount val="46"/>
                <c:pt idx="0">
                  <c:v>44986</c:v>
                </c:pt>
                <c:pt idx="1">
                  <c:v>44987</c:v>
                </c:pt>
                <c:pt idx="2">
                  <c:v>44988</c:v>
                </c:pt>
                <c:pt idx="3">
                  <c:v>44989</c:v>
                </c:pt>
                <c:pt idx="4">
                  <c:v>44990</c:v>
                </c:pt>
                <c:pt idx="5">
                  <c:v>44991</c:v>
                </c:pt>
                <c:pt idx="6">
                  <c:v>44992</c:v>
                </c:pt>
                <c:pt idx="7">
                  <c:v>44993</c:v>
                </c:pt>
                <c:pt idx="8">
                  <c:v>44994</c:v>
                </c:pt>
                <c:pt idx="9">
                  <c:v>44995</c:v>
                </c:pt>
                <c:pt idx="10">
                  <c:v>44996</c:v>
                </c:pt>
                <c:pt idx="11">
                  <c:v>44997</c:v>
                </c:pt>
                <c:pt idx="12">
                  <c:v>44998</c:v>
                </c:pt>
                <c:pt idx="13">
                  <c:v>44999</c:v>
                </c:pt>
                <c:pt idx="14">
                  <c:v>45000</c:v>
                </c:pt>
                <c:pt idx="15">
                  <c:v>45001</c:v>
                </c:pt>
                <c:pt idx="16">
                  <c:v>45002</c:v>
                </c:pt>
                <c:pt idx="17">
                  <c:v>45003</c:v>
                </c:pt>
                <c:pt idx="18">
                  <c:v>45004</c:v>
                </c:pt>
                <c:pt idx="19">
                  <c:v>45005</c:v>
                </c:pt>
                <c:pt idx="20">
                  <c:v>45006</c:v>
                </c:pt>
                <c:pt idx="21">
                  <c:v>45007</c:v>
                </c:pt>
                <c:pt idx="22">
                  <c:v>45008</c:v>
                </c:pt>
                <c:pt idx="23">
                  <c:v>45009</c:v>
                </c:pt>
                <c:pt idx="24">
                  <c:v>45010</c:v>
                </c:pt>
                <c:pt idx="25">
                  <c:v>45011</c:v>
                </c:pt>
                <c:pt idx="26">
                  <c:v>45012</c:v>
                </c:pt>
                <c:pt idx="27">
                  <c:v>45013</c:v>
                </c:pt>
                <c:pt idx="28">
                  <c:v>45014</c:v>
                </c:pt>
                <c:pt idx="29">
                  <c:v>45015</c:v>
                </c:pt>
                <c:pt idx="30">
                  <c:v>45016</c:v>
                </c:pt>
                <c:pt idx="31">
                  <c:v>45017</c:v>
                </c:pt>
                <c:pt idx="32">
                  <c:v>45018</c:v>
                </c:pt>
                <c:pt idx="33">
                  <c:v>45019</c:v>
                </c:pt>
                <c:pt idx="34">
                  <c:v>45020</c:v>
                </c:pt>
                <c:pt idx="35">
                  <c:v>45021</c:v>
                </c:pt>
                <c:pt idx="36">
                  <c:v>45022</c:v>
                </c:pt>
                <c:pt idx="37">
                  <c:v>45023</c:v>
                </c:pt>
                <c:pt idx="38">
                  <c:v>45024</c:v>
                </c:pt>
                <c:pt idx="39">
                  <c:v>45025</c:v>
                </c:pt>
                <c:pt idx="40">
                  <c:v>45026</c:v>
                </c:pt>
                <c:pt idx="41">
                  <c:v>45027</c:v>
                </c:pt>
                <c:pt idx="42">
                  <c:v>45028</c:v>
                </c:pt>
                <c:pt idx="43">
                  <c:v>45029</c:v>
                </c:pt>
                <c:pt idx="44">
                  <c:v>45030</c:v>
                </c:pt>
                <c:pt idx="45">
                  <c:v>45031</c:v>
                </c:pt>
              </c:numCache>
            </c:numRef>
          </c:cat>
          <c:val>
            <c:numRef>
              <c:f>'Sales Inventory'!$Z$4:$Z$49</c:f>
              <c:numCache>
                <c:formatCode>General</c:formatCode>
                <c:ptCount val="46"/>
                <c:pt idx="0">
                  <c:v>25</c:v>
                </c:pt>
                <c:pt idx="1">
                  <c:v>18</c:v>
                </c:pt>
                <c:pt idx="2">
                  <c:v>33</c:v>
                </c:pt>
                <c:pt idx="3">
                  <c:v>22</c:v>
                </c:pt>
                <c:pt idx="4">
                  <c:v>17</c:v>
                </c:pt>
                <c:pt idx="5">
                  <c:v>12</c:v>
                </c:pt>
                <c:pt idx="6">
                  <c:v>28</c:v>
                </c:pt>
                <c:pt idx="7">
                  <c:v>38</c:v>
                </c:pt>
                <c:pt idx="8">
                  <c:v>25</c:v>
                </c:pt>
                <c:pt idx="9">
                  <c:v>72</c:v>
                </c:pt>
                <c:pt idx="10">
                  <c:v>65</c:v>
                </c:pt>
                <c:pt idx="11">
                  <c:v>42</c:v>
                </c:pt>
                <c:pt idx="12">
                  <c:v>51</c:v>
                </c:pt>
                <c:pt idx="13">
                  <c:v>27</c:v>
                </c:pt>
                <c:pt idx="14">
                  <c:v>39</c:v>
                </c:pt>
                <c:pt idx="15">
                  <c:v>26</c:v>
                </c:pt>
                <c:pt idx="16">
                  <c:v>45</c:v>
                </c:pt>
                <c:pt idx="17">
                  <c:v>50</c:v>
                </c:pt>
                <c:pt idx="18">
                  <c:v>37</c:v>
                </c:pt>
                <c:pt idx="19">
                  <c:v>32</c:v>
                </c:pt>
                <c:pt idx="20">
                  <c:v>77</c:v>
                </c:pt>
                <c:pt idx="21">
                  <c:v>64</c:v>
                </c:pt>
                <c:pt idx="22">
                  <c:v>80</c:v>
                </c:pt>
                <c:pt idx="23">
                  <c:v>65</c:v>
                </c:pt>
                <c:pt idx="24">
                  <c:v>32</c:v>
                </c:pt>
                <c:pt idx="25">
                  <c:v>30</c:v>
                </c:pt>
                <c:pt idx="26">
                  <c:v>80</c:v>
                </c:pt>
                <c:pt idx="27">
                  <c:v>70</c:v>
                </c:pt>
                <c:pt idx="28">
                  <c:v>68</c:v>
                </c:pt>
                <c:pt idx="29">
                  <c:v>101</c:v>
                </c:pt>
                <c:pt idx="30">
                  <c:v>92</c:v>
                </c:pt>
                <c:pt idx="31">
                  <c:v>115</c:v>
                </c:pt>
                <c:pt idx="32">
                  <c:v>88</c:v>
                </c:pt>
                <c:pt idx="33">
                  <c:v>76</c:v>
                </c:pt>
                <c:pt idx="34">
                  <c:v>35</c:v>
                </c:pt>
                <c:pt idx="35">
                  <c:v>39</c:v>
                </c:pt>
                <c:pt idx="36">
                  <c:v>46</c:v>
                </c:pt>
                <c:pt idx="37">
                  <c:v>42</c:v>
                </c:pt>
                <c:pt idx="38">
                  <c:v>31</c:v>
                </c:pt>
                <c:pt idx="39">
                  <c:v>38</c:v>
                </c:pt>
                <c:pt idx="40">
                  <c:v>52</c:v>
                </c:pt>
                <c:pt idx="41">
                  <c:v>55</c:v>
                </c:pt>
                <c:pt idx="42">
                  <c:v>135</c:v>
                </c:pt>
                <c:pt idx="43">
                  <c:v>75</c:v>
                </c:pt>
                <c:pt idx="44">
                  <c:v>144</c:v>
                </c:pt>
                <c:pt idx="45">
                  <c:v>62</c:v>
                </c:pt>
              </c:numCache>
            </c:numRef>
          </c:val>
          <c:smooth val="0"/>
          <c:extLst>
            <c:ext xmlns:c16="http://schemas.microsoft.com/office/drawing/2014/chart" uri="{C3380CC4-5D6E-409C-BE32-E72D297353CC}">
              <c16:uniqueId val="{00000000-DEC7-A84D-B181-FED44149962E}"/>
            </c:ext>
          </c:extLst>
        </c:ser>
        <c:dLbls>
          <c:dLblPos val="ctr"/>
          <c:showLegendKey val="0"/>
          <c:showVal val="1"/>
          <c:showCatName val="0"/>
          <c:showSerName val="0"/>
          <c:showPercent val="0"/>
          <c:showBubbleSize val="0"/>
        </c:dLbls>
        <c:marker val="1"/>
        <c:smooth val="0"/>
        <c:axId val="1456019632"/>
        <c:axId val="1416569968"/>
      </c:lineChart>
      <c:dateAx>
        <c:axId val="1456019632"/>
        <c:scaling>
          <c:orientation val="minMax"/>
        </c:scaling>
        <c:delete val="0"/>
        <c:axPos val="b"/>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416569968"/>
        <c:crosses val="autoZero"/>
        <c:auto val="1"/>
        <c:lblOffset val="100"/>
        <c:baseTimeUnit val="days"/>
      </c:dateAx>
      <c:valAx>
        <c:axId val="1416569968"/>
        <c:scaling>
          <c:orientation val="minMax"/>
        </c:scaling>
        <c:delete val="1"/>
        <c:axPos val="l"/>
        <c:numFmt formatCode="General" sourceLinked="1"/>
        <c:majorTickMark val="none"/>
        <c:minorTickMark val="none"/>
        <c:tickLblPos val="nextTo"/>
        <c:crossAx val="1456019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[Portofolio Excel.xlsx]Automatic Dashboard_PV!PivotTable17</c:name>
    <c:fmtId val="4"/>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Remarks Schedulled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a:outerShdw blurRad="57150" dist="19050" dir="5400000" algn="ctr" rotWithShape="0">
              <a:srgbClr val="000000">
                <a:alpha val="63000"/>
              </a:srgbClr>
            </a:outerShdw>
          </a:effectLst>
        </c:spPr>
      </c:pivotFmt>
      <c:pivotFmt>
        <c:idx val="6"/>
        <c:spPr>
          <a:solidFill>
            <a:schemeClr val="accent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a:outerShdw blurRad="57150" dist="19050" dir="5400000" algn="ctr" rotWithShape="0">
              <a:srgbClr val="000000">
                <a:alpha val="63000"/>
              </a:srgbClr>
            </a:outerShdw>
          </a:effectLst>
        </c:spPr>
      </c:pivotFmt>
      <c:pivotFmt>
        <c:idx val="8"/>
        <c:spPr>
          <a:solidFill>
            <a:schemeClr val="accent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C000"/>
          </a:solidFill>
          <a:ln>
            <a:noFill/>
          </a:ln>
          <a:effectLst>
            <a:outerShdw blurRad="57150" dist="19050" dir="5400000" algn="ctr" rotWithShape="0">
              <a:srgbClr val="000000">
                <a:alpha val="63000"/>
              </a:srgbClr>
            </a:outerShdw>
          </a:effectLst>
        </c:spPr>
      </c:pivotFmt>
      <c:pivotFmt>
        <c:idx val="10"/>
        <c:spPr>
          <a:solidFill>
            <a:schemeClr val="accent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soli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'Automatic Dashboard_PV'!$G$2</c:f>
              <c:strCache>
                <c:ptCount val="1"/>
                <c:pt idx="0">
                  <c:v>Total</c:v>
                </c:pt>
              </c:strCache>
            </c:strRef>
          </c:tx>
          <c:spPr>
            <a:solidFill>
              <a:schemeClr val="accent2">
                <a:lumMod val="75000"/>
              </a:schemeClr>
            </a:solidFill>
            <a:ln>
              <a:noFill/>
            </a:ln>
            <a:effectLst>
              <a:outerShdw blurRad="57150" dist="19050" dir="5400000" algn="ctr" rotWithShape="0">
                <a:srgbClr val="000000">
                  <a:alpha val="63000"/>
                </a:srgbClr>
              </a:outerShdw>
            </a:effectLst>
          </c:spPr>
          <c:invertIfNegative val="0"/>
          <c:dPt>
            <c:idx val="0"/>
            <c:invertIfNegative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5E5E-854E-AA3A-903418AA23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'Automatic Dashboard_PV'!$F$3:$F$5</c:f>
              <c:strCache>
                <c:ptCount val="2"/>
                <c:pt idx="0">
                  <c:v>Cancelled</c:v>
                </c:pt>
                <c:pt idx="1">
                  <c:v>Confirmed</c:v>
                </c:pt>
              </c:strCache>
            </c:strRef>
          </c:cat>
          <c:val>
            <c:numRef>
              <c:f>'Automatic Dashboard_PV'!$G$3:$G$5</c:f>
              <c:numCache>
                <c:formatCode>General</c:formatCode>
                <c:ptCount val="2"/>
                <c:pt idx="0">
                  <c:v>29</c:v>
                </c:pt>
                <c:pt idx="1">
                  <c:v>91</c:v>
                </c:pt>
              </c:numCache>
            </c:numRef>
          </c:val>
          <c:extLst>
            <c:ext xmlns:c16="http://schemas.microsoft.com/office/drawing/2014/chart" uri="{C3380CC4-5D6E-409C-BE32-E72D297353CC}">
              <c16:uniqueId val="{00000005-5E5E-854E-AA3A-903418AA2349}"/>
            </c:ext>
          </c:extLst>
        </c:ser>
        <c:dLbls>
          <c:showLegendKey val="0"/>
          <c:showVal val="0"/>
          <c:showCatName val="0"/>
          <c:showSerName val="0"/>
          <c:showPercent val="0"/>
          <c:showBubbleSize val="0"/>
        </c:dLbls>
        <c:gapWidth val="115"/>
        <c:overlap val="-20"/>
        <c:axId val="1612751263"/>
        <c:axId val="1609447727"/>
      </c:barChart>
      <c:catAx>
        <c:axId val="161275126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9447727"/>
        <c:crosses val="autoZero"/>
        <c:auto val="1"/>
        <c:lblAlgn val="ctr"/>
        <c:lblOffset val="100"/>
        <c:noMultiLvlLbl val="0"/>
      </c:catAx>
      <c:valAx>
        <c:axId val="16094477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12751263"/>
        <c:crosses val="autoZero"/>
        <c:crossBetween val="between"/>
      </c:valAx>
      <c:spPr>
        <a:noFill/>
        <a:ln>
          <a:noFill/>
        </a:ln>
        <a:effectLst/>
      </c:spPr>
    </c:plotArea>
    <c:plotVisOnly val="1"/>
    <c:dispBlanksAs val="gap"/>
    <c:showDLblsOverMax val="0"/>
    <c:extLst/>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Excel.xlsx]Automatic Dashboard_PV!PivotTable18</c:name>
    <c:fmtId val="4"/>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Origin</a:t>
            </a:r>
            <a:r>
              <a:rPr lang="en-US" b="1" baseline="0">
                <a:solidFill>
                  <a:schemeClr val="bg1"/>
                </a:solidFill>
              </a:rPr>
              <a:t> Airport </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3FE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2F92"/>
          </a:solidFill>
          <a:ln>
            <a:noFill/>
          </a:ln>
          <a:effectLst/>
        </c:spPr>
      </c:pivotFmt>
    </c:pivotFmts>
    <c:plotArea>
      <c:layout/>
      <c:barChart>
        <c:barDir val="col"/>
        <c:grouping val="clustered"/>
        <c:varyColors val="0"/>
        <c:ser>
          <c:idx val="0"/>
          <c:order val="0"/>
          <c:tx>
            <c:strRef>
              <c:f>'Automatic Dashboard_PV'!$G$8</c:f>
              <c:strCache>
                <c:ptCount val="1"/>
                <c:pt idx="0">
                  <c:v>Total</c:v>
                </c:pt>
              </c:strCache>
            </c:strRef>
          </c:tx>
          <c:spPr>
            <a:solidFill>
              <a:srgbClr val="73FEFF"/>
            </a:solidFill>
            <a:ln>
              <a:noFill/>
            </a:ln>
            <a:effectLst/>
          </c:spPr>
          <c:invertIfNegative val="0"/>
          <c:dPt>
            <c:idx val="1"/>
            <c:invertIfNegative val="0"/>
            <c:bubble3D val="0"/>
            <c:spPr>
              <a:solidFill>
                <a:srgbClr val="FF2F92"/>
              </a:solidFill>
              <a:ln>
                <a:noFill/>
              </a:ln>
              <a:effectLst/>
            </c:spPr>
            <c:extLst>
              <c:ext xmlns:c16="http://schemas.microsoft.com/office/drawing/2014/chart" uri="{C3380CC4-5D6E-409C-BE32-E72D297353CC}">
                <c16:uniqueId val="{00000001-1182-4B46-A433-C30C203D21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'Automatic Dashboard_PV'!$F$9:$F$11</c:f>
              <c:strCache>
                <c:ptCount val="2"/>
                <c:pt idx="0">
                  <c:v>Singapore Changi Airport</c:v>
                </c:pt>
                <c:pt idx="1">
                  <c:v>Soekarno-Hatta Airport</c:v>
                </c:pt>
              </c:strCache>
            </c:strRef>
          </c:cat>
          <c:val>
            <c:numRef>
              <c:f>'Automatic Dashboard_PV'!$G$9:$G$11</c:f>
              <c:numCache>
                <c:formatCode>General</c:formatCode>
                <c:ptCount val="2"/>
                <c:pt idx="0">
                  <c:v>61</c:v>
                </c:pt>
                <c:pt idx="1">
                  <c:v>59</c:v>
                </c:pt>
              </c:numCache>
            </c:numRef>
          </c:val>
          <c:extLst>
            <c:ext xmlns:c16="http://schemas.microsoft.com/office/drawing/2014/chart" uri="{C3380CC4-5D6E-409C-BE32-E72D297353CC}">
              <c16:uniqueId val="{00000000-1182-4B46-A433-C30C203D21F9}"/>
            </c:ext>
          </c:extLst>
        </c:ser>
        <c:dLbls>
          <c:showLegendKey val="0"/>
          <c:showVal val="0"/>
          <c:showCatName val="0"/>
          <c:showSerName val="0"/>
          <c:showPercent val="0"/>
          <c:showBubbleSize val="0"/>
        </c:dLbls>
        <c:gapWidth val="219"/>
        <c:overlap val="-27"/>
        <c:axId val="1143419103"/>
        <c:axId val="1606105327"/>
      </c:barChart>
      <c:catAx>
        <c:axId val="114341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06105327"/>
        <c:crosses val="autoZero"/>
        <c:auto val="1"/>
        <c:lblAlgn val="ctr"/>
        <c:lblOffset val="100"/>
        <c:noMultiLvlLbl val="0"/>
      </c:catAx>
      <c:valAx>
        <c:axId val="1606105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4341910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Excel.xlsx]Automatic Dashboard_PV!PivotTable19</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bg1"/>
                </a:solidFill>
              </a:rPr>
              <a:t>Arrival</a:t>
            </a:r>
            <a:r>
              <a:rPr lang="en-US" b="1" baseline="0">
                <a:solidFill>
                  <a:schemeClr val="bg1"/>
                </a:solidFill>
              </a:rPr>
              <a:t> Date Frequency</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2600"/>
          </a:solidFill>
          <a:ln w="19050">
            <a:solidFill>
              <a:schemeClr val="lt1"/>
            </a:solidFill>
          </a:ln>
          <a:effectLst/>
        </c:spPr>
      </c:pivotFmt>
      <c:pivotFmt>
        <c:idx val="11"/>
        <c:spPr>
          <a:solidFill>
            <a:srgbClr val="D883FF"/>
          </a:solidFill>
          <a:ln w="19050">
            <a:solidFill>
              <a:schemeClr val="lt1"/>
            </a:solidFill>
          </a:ln>
          <a:effectLst/>
        </c:spPr>
      </c:pivotFmt>
      <c:pivotFmt>
        <c:idx val="12"/>
        <c:spPr>
          <a:solidFill>
            <a:srgbClr val="FFFC00"/>
          </a:solidFill>
          <a:ln w="19050">
            <a:solidFill>
              <a:schemeClr val="lt1"/>
            </a:solidFill>
          </a:ln>
          <a:effectLst/>
        </c:spPr>
      </c:pivotFmt>
      <c:pivotFmt>
        <c:idx val="13"/>
        <c:spPr>
          <a:solidFill>
            <a:srgbClr val="76D6FF"/>
          </a:solidFill>
          <a:ln w="19050">
            <a:solidFill>
              <a:schemeClr val="lt1"/>
            </a:solidFill>
          </a:ln>
          <a:effectLst/>
        </c:spPr>
      </c:pivotFmt>
      <c:pivotFmt>
        <c:idx val="14"/>
        <c:spPr>
          <a:solidFill>
            <a:srgbClr val="FF40FF"/>
          </a:solidFill>
          <a:ln w="19050">
            <a:solidFill>
              <a:schemeClr val="lt1"/>
            </a:solidFill>
          </a:ln>
          <a:effectLst/>
        </c:spPr>
      </c:pivotFmt>
      <c:pivotFmt>
        <c:idx val="15"/>
        <c:spPr>
          <a:solidFill>
            <a:srgbClr val="8EFA00"/>
          </a:solidFill>
          <a:ln w="19050">
            <a:solidFill>
              <a:schemeClr val="lt1"/>
            </a:solidFill>
          </a:ln>
          <a:effectLst/>
        </c:spPr>
      </c:pivotFmt>
      <c:pivotFmt>
        <c:idx val="16"/>
        <c:spPr>
          <a:solidFill>
            <a:srgbClr val="FF9300"/>
          </a:solidFill>
          <a:ln w="19050">
            <a:solidFill>
              <a:schemeClr val="lt1"/>
            </a:solidFill>
          </a:ln>
          <a:effectLst/>
        </c:spPr>
      </c:pivotFmt>
    </c:pivotFmts>
    <c:plotArea>
      <c:layout>
        <c:manualLayout>
          <c:layoutTarget val="inner"/>
          <c:xMode val="edge"/>
          <c:yMode val="edge"/>
          <c:x val="0.211460430579089"/>
          <c:y val="0.17945168963254596"/>
          <c:w val="0.46258098275690229"/>
          <c:h val="0.75283997703412076"/>
        </c:manualLayout>
      </c:layout>
      <c:doughnutChart>
        <c:varyColors val="1"/>
        <c:ser>
          <c:idx val="0"/>
          <c:order val="0"/>
          <c:tx>
            <c:strRef>
              <c:f>'Automatic Dashboard_PV'!$G$14</c:f>
              <c:strCache>
                <c:ptCount val="1"/>
                <c:pt idx="0">
                  <c:v>Total</c:v>
                </c:pt>
              </c:strCache>
            </c:strRef>
          </c:tx>
          <c:dPt>
            <c:idx val="0"/>
            <c:bubble3D val="0"/>
            <c:spPr>
              <a:solidFill>
                <a:srgbClr val="FF2600"/>
              </a:solidFill>
              <a:ln w="19050">
                <a:solidFill>
                  <a:schemeClr val="lt1"/>
                </a:solidFill>
              </a:ln>
              <a:effectLst/>
            </c:spPr>
            <c:extLst>
              <c:ext xmlns:c16="http://schemas.microsoft.com/office/drawing/2014/chart" uri="{C3380CC4-5D6E-409C-BE32-E72D297353CC}">
                <c16:uniqueId val="{00000001-2E41-0943-88E4-363AC39668EB}"/>
              </c:ext>
            </c:extLst>
          </c:dPt>
          <c:dPt>
            <c:idx val="1"/>
            <c:bubble3D val="0"/>
            <c:spPr>
              <a:solidFill>
                <a:srgbClr val="D883FF"/>
              </a:solidFill>
              <a:ln w="19050">
                <a:solidFill>
                  <a:schemeClr val="lt1"/>
                </a:solidFill>
              </a:ln>
              <a:effectLst/>
            </c:spPr>
            <c:extLst>
              <c:ext xmlns:c16="http://schemas.microsoft.com/office/drawing/2014/chart" uri="{C3380CC4-5D6E-409C-BE32-E72D297353CC}">
                <c16:uniqueId val="{00000003-2E41-0943-88E4-363AC39668EB}"/>
              </c:ext>
            </c:extLst>
          </c:dPt>
          <c:dPt>
            <c:idx val="2"/>
            <c:bubble3D val="0"/>
            <c:spPr>
              <a:solidFill>
                <a:srgbClr val="FFFC00"/>
              </a:solidFill>
              <a:ln w="19050">
                <a:solidFill>
                  <a:schemeClr val="lt1"/>
                </a:solidFill>
              </a:ln>
              <a:effectLst/>
            </c:spPr>
            <c:extLst>
              <c:ext xmlns:c16="http://schemas.microsoft.com/office/drawing/2014/chart" uri="{C3380CC4-5D6E-409C-BE32-E72D297353CC}">
                <c16:uniqueId val="{00000005-2E41-0943-88E4-363AC39668EB}"/>
              </c:ext>
            </c:extLst>
          </c:dPt>
          <c:dPt>
            <c:idx val="3"/>
            <c:bubble3D val="0"/>
            <c:spPr>
              <a:solidFill>
                <a:srgbClr val="76D6FF"/>
              </a:solidFill>
              <a:ln w="19050">
                <a:solidFill>
                  <a:schemeClr val="lt1"/>
                </a:solidFill>
              </a:ln>
              <a:effectLst/>
            </c:spPr>
            <c:extLst>
              <c:ext xmlns:c16="http://schemas.microsoft.com/office/drawing/2014/chart" uri="{C3380CC4-5D6E-409C-BE32-E72D297353CC}">
                <c16:uniqueId val="{00000007-2E41-0943-88E4-363AC39668EB}"/>
              </c:ext>
            </c:extLst>
          </c:dPt>
          <c:dPt>
            <c:idx val="4"/>
            <c:bubble3D val="0"/>
            <c:spPr>
              <a:solidFill>
                <a:srgbClr val="FF40FF"/>
              </a:solidFill>
              <a:ln w="19050">
                <a:solidFill>
                  <a:schemeClr val="lt1"/>
                </a:solidFill>
              </a:ln>
              <a:effectLst/>
            </c:spPr>
            <c:extLst>
              <c:ext xmlns:c16="http://schemas.microsoft.com/office/drawing/2014/chart" uri="{C3380CC4-5D6E-409C-BE32-E72D297353CC}">
                <c16:uniqueId val="{00000009-2E41-0943-88E4-363AC39668EB}"/>
              </c:ext>
            </c:extLst>
          </c:dPt>
          <c:dPt>
            <c:idx val="5"/>
            <c:bubble3D val="0"/>
            <c:spPr>
              <a:solidFill>
                <a:srgbClr val="8EFA00"/>
              </a:solidFill>
              <a:ln w="19050">
                <a:solidFill>
                  <a:schemeClr val="lt1"/>
                </a:solidFill>
              </a:ln>
              <a:effectLst/>
            </c:spPr>
            <c:extLst>
              <c:ext xmlns:c16="http://schemas.microsoft.com/office/drawing/2014/chart" uri="{C3380CC4-5D6E-409C-BE32-E72D297353CC}">
                <c16:uniqueId val="{0000000B-2E41-0943-88E4-363AC39668EB}"/>
              </c:ext>
            </c:extLst>
          </c:dPt>
          <c:dPt>
            <c:idx val="6"/>
            <c:bubble3D val="0"/>
            <c:spPr>
              <a:solidFill>
                <a:srgbClr val="FF9300"/>
              </a:solidFill>
              <a:ln w="19050">
                <a:solidFill>
                  <a:schemeClr val="lt1"/>
                </a:solidFill>
              </a:ln>
              <a:effectLst/>
            </c:spPr>
            <c:extLst>
              <c:ext xmlns:c16="http://schemas.microsoft.com/office/drawing/2014/chart" uri="{C3380CC4-5D6E-409C-BE32-E72D297353CC}">
                <c16:uniqueId val="{0000000D-2E41-0943-88E4-363AC39668EB}"/>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'Automatic Dashboard_PV'!$F$15:$F$22</c:f>
              <c:strCache>
                <c:ptCount val="7"/>
                <c:pt idx="0">
                  <c:v>Sunday</c:v>
                </c:pt>
                <c:pt idx="1">
                  <c:v>Monday</c:v>
                </c:pt>
                <c:pt idx="2">
                  <c:v>Tuesday</c:v>
                </c:pt>
                <c:pt idx="3">
                  <c:v>Wednesday</c:v>
                </c:pt>
                <c:pt idx="4">
                  <c:v>Thursday</c:v>
                </c:pt>
                <c:pt idx="5">
                  <c:v>Friday</c:v>
                </c:pt>
                <c:pt idx="6">
                  <c:v>Saturday</c:v>
                </c:pt>
              </c:strCache>
            </c:strRef>
          </c:cat>
          <c:val>
            <c:numRef>
              <c:f>'Automatic Dashboard_PV'!$G$15:$G$22</c:f>
              <c:numCache>
                <c:formatCode>General</c:formatCode>
                <c:ptCount val="7"/>
                <c:pt idx="0">
                  <c:v>14</c:v>
                </c:pt>
                <c:pt idx="1">
                  <c:v>18</c:v>
                </c:pt>
                <c:pt idx="2">
                  <c:v>25</c:v>
                </c:pt>
                <c:pt idx="3">
                  <c:v>23</c:v>
                </c:pt>
                <c:pt idx="4">
                  <c:v>21</c:v>
                </c:pt>
                <c:pt idx="5">
                  <c:v>12</c:v>
                </c:pt>
                <c:pt idx="6">
                  <c:v>7</c:v>
                </c:pt>
              </c:numCache>
            </c:numRef>
          </c:val>
          <c:extLst>
            <c:ext xmlns:c16="http://schemas.microsoft.com/office/drawing/2014/chart" uri="{C3380CC4-5D6E-409C-BE32-E72D297353CC}">
              <c16:uniqueId val="{0000000E-2E41-0943-88E4-363AC39668E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Excel.xlsx]Automatic Dashboard_PV!PivotTable19</c:name>
    <c:fmtId val="5"/>
  </c:pivotSource>
  <c:chart>
    <c:title>
      <c:tx>
        <c:rich>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r>
              <a:rPr lang="en-US" sz="1400">
                <a:solidFill>
                  <a:schemeClr val="bg1"/>
                </a:solidFill>
              </a:rPr>
              <a:t>Arrival</a:t>
            </a:r>
            <a:r>
              <a:rPr lang="en-US" sz="1400" baseline="0">
                <a:solidFill>
                  <a:schemeClr val="bg1"/>
                </a:solidFill>
              </a:rPr>
              <a:t> Date </a:t>
            </a:r>
            <a:endParaRPr lang="en-US" sz="1400">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rgbClr val="FFFF00"/>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'Automatic Dashboard_PV'!$G$14</c:f>
              <c:strCache>
                <c:ptCount val="1"/>
                <c:pt idx="0">
                  <c:v>Total</c:v>
                </c:pt>
              </c:strCache>
            </c:strRef>
          </c:tx>
          <c:spPr>
            <a:ln w="31750" cap="rnd">
              <a:solidFill>
                <a:srgbClr val="FFFF00"/>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'Automatic Dashboard_PV'!$F$15:$F$22</c:f>
              <c:strCache>
                <c:ptCount val="7"/>
                <c:pt idx="0">
                  <c:v>Sunday</c:v>
                </c:pt>
                <c:pt idx="1">
                  <c:v>Monday</c:v>
                </c:pt>
                <c:pt idx="2">
                  <c:v>Tuesday</c:v>
                </c:pt>
                <c:pt idx="3">
                  <c:v>Wednesday</c:v>
                </c:pt>
                <c:pt idx="4">
                  <c:v>Thursday</c:v>
                </c:pt>
                <c:pt idx="5">
                  <c:v>Friday</c:v>
                </c:pt>
                <c:pt idx="6">
                  <c:v>Saturday</c:v>
                </c:pt>
              </c:strCache>
            </c:strRef>
          </c:cat>
          <c:val>
            <c:numRef>
              <c:f>'Automatic Dashboard_PV'!$G$15:$G$22</c:f>
              <c:numCache>
                <c:formatCode>General</c:formatCode>
                <c:ptCount val="7"/>
                <c:pt idx="0">
                  <c:v>14</c:v>
                </c:pt>
                <c:pt idx="1">
                  <c:v>18</c:v>
                </c:pt>
                <c:pt idx="2">
                  <c:v>25</c:v>
                </c:pt>
                <c:pt idx="3">
                  <c:v>23</c:v>
                </c:pt>
                <c:pt idx="4">
                  <c:v>21</c:v>
                </c:pt>
                <c:pt idx="5">
                  <c:v>12</c:v>
                </c:pt>
                <c:pt idx="6">
                  <c:v>7</c:v>
                </c:pt>
              </c:numCache>
            </c:numRef>
          </c:val>
          <c:smooth val="0"/>
          <c:extLst>
            <c:ext xmlns:c16="http://schemas.microsoft.com/office/drawing/2014/chart" uri="{C3380CC4-5D6E-409C-BE32-E72D297353CC}">
              <c16:uniqueId val="{00000000-DE30-1E4E-BABD-18397D17E020}"/>
            </c:ext>
          </c:extLst>
        </c:ser>
        <c:dLbls>
          <c:dLblPos val="ctr"/>
          <c:showLegendKey val="0"/>
          <c:showVal val="1"/>
          <c:showCatName val="0"/>
          <c:showSerName val="0"/>
          <c:showPercent val="0"/>
          <c:showBubbleSize val="0"/>
        </c:dLbls>
        <c:marker val="1"/>
        <c:smooth val="0"/>
        <c:axId val="1143226383"/>
        <c:axId val="1173817919"/>
      </c:lineChart>
      <c:catAx>
        <c:axId val="11432263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b" anchorCtr="0"/>
          <a:lstStyle/>
          <a:p>
            <a:pPr>
              <a:defRPr sz="900" b="0" i="0" u="none" strike="noStrike" kern="1200" cap="all" baseline="0">
                <a:solidFill>
                  <a:schemeClr val="bg1"/>
                </a:solidFill>
                <a:latin typeface="+mn-lt"/>
                <a:ea typeface="+mn-ea"/>
                <a:cs typeface="+mn-cs"/>
              </a:defRPr>
            </a:pPr>
            <a:endParaRPr lang="en-US"/>
          </a:p>
        </c:txPr>
        <c:crossAx val="1173817919"/>
        <c:crosses val="autoZero"/>
        <c:auto val="1"/>
        <c:lblAlgn val="ctr"/>
        <c:lblOffset val="100"/>
        <c:noMultiLvlLbl val="0"/>
      </c:catAx>
      <c:valAx>
        <c:axId val="117381791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14322638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Excel.xlsx]Automatic Dashboard_PV!PivotTable20</c:name>
    <c:fmtId val="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Airlines</a:t>
            </a:r>
            <a:r>
              <a:rPr lang="en-US" baseline="0">
                <a:solidFill>
                  <a:schemeClr val="bg1"/>
                </a:solidFill>
              </a:rPr>
              <a:t> Percentage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1"/>
          <c:showVal val="0"/>
          <c:showCatName val="1"/>
          <c:showSerName val="0"/>
          <c:showPercent val="1"/>
          <c:showBubbleSize val="0"/>
          <c:extLst>
            <c:ext xmlns:c15="http://schemas.microsoft.com/office/drawing/2012/chart" uri="{CE6537A1-D6FC-4f65-9D91-7224C49458BB}"/>
          </c:extLst>
        </c:dLbl>
      </c:pivotFmt>
      <c:pivotFmt>
        <c:idx val="25"/>
        <c:spPr>
          <a:solidFill>
            <a:schemeClr val="accent6">
              <a:lumMod val="50000"/>
            </a:schemeClr>
          </a:solidFill>
          <a:ln w="19050">
            <a:solidFill>
              <a:schemeClr val="lt1"/>
            </a:solidFill>
          </a:ln>
          <a:effectLst/>
        </c:spPr>
      </c:pivotFmt>
      <c:pivotFmt>
        <c:idx val="26"/>
        <c:spPr>
          <a:solidFill>
            <a:srgbClr val="FF0000"/>
          </a:solidFill>
          <a:ln w="19050">
            <a:solidFill>
              <a:schemeClr val="lt1"/>
            </a:solidFill>
          </a:ln>
          <a:effectLst/>
        </c:spPr>
      </c:pivotFmt>
      <c:pivotFmt>
        <c:idx val="27"/>
        <c:spPr>
          <a:solidFill>
            <a:srgbClr val="0070C0"/>
          </a:solidFill>
          <a:ln w="19050">
            <a:solidFill>
              <a:schemeClr val="lt1"/>
            </a:solidFill>
          </a:ln>
          <a:effectLst/>
        </c:spPr>
      </c:pivotFmt>
      <c:pivotFmt>
        <c:idx val="28"/>
        <c:spPr>
          <a:solidFill>
            <a:srgbClr val="FF8AD8"/>
          </a:solidFill>
          <a:ln w="19050">
            <a:solidFill>
              <a:schemeClr val="lt1"/>
            </a:solidFill>
          </a:ln>
          <a:effectLst/>
        </c:spPr>
      </c:pivotFmt>
      <c:pivotFmt>
        <c:idx val="29"/>
        <c:spPr>
          <a:solidFill>
            <a:srgbClr val="FFFC00"/>
          </a:solidFill>
          <a:ln w="19050">
            <a:noFill/>
          </a:ln>
          <a:effectLst/>
        </c:spPr>
      </c:pivotFmt>
      <c:pivotFmt>
        <c:idx val="30"/>
        <c:spPr>
          <a:solidFill>
            <a:srgbClr val="76D6FF"/>
          </a:solidFill>
          <a:ln w="19050">
            <a:solidFill>
              <a:schemeClr val="lt1"/>
            </a:solidFill>
          </a:ln>
          <a:effectLst/>
        </c:spPr>
      </c:pivotFmt>
      <c:pivotFmt>
        <c:idx val="31"/>
        <c:spPr>
          <a:solidFill>
            <a:srgbClr val="FF7E79"/>
          </a:solidFill>
          <a:ln w="19050">
            <a:solidFill>
              <a:schemeClr val="lt1"/>
            </a:solidFill>
          </a:ln>
          <a:effectLst/>
        </c:spPr>
      </c:pivotFmt>
      <c:pivotFmt>
        <c:idx val="32"/>
        <c:spPr>
          <a:solidFill>
            <a:srgbClr val="8EFA00"/>
          </a:solidFill>
          <a:ln w="19050">
            <a:noFill/>
          </a:ln>
          <a:effectLst/>
        </c:spPr>
      </c:pivotFmt>
      <c:pivotFmt>
        <c:idx val="33"/>
        <c:spPr>
          <a:solidFill>
            <a:srgbClr val="FF2F92"/>
          </a:solidFill>
          <a:ln w="19050">
            <a:solidFill>
              <a:schemeClr val="lt1"/>
            </a:solidFill>
          </a:ln>
          <a:effectLst/>
        </c:spPr>
      </c:pivotFmt>
      <c:pivotFmt>
        <c:idx val="34"/>
        <c:spPr>
          <a:solidFill>
            <a:schemeClr val="accent2">
              <a:lumMod val="40000"/>
              <a:lumOff val="60000"/>
            </a:schemeClr>
          </a:solidFill>
          <a:ln w="19050">
            <a:noFill/>
          </a:ln>
          <a:effectLst/>
        </c:spPr>
      </c:pivotFmt>
      <c:pivotFmt>
        <c:idx val="35"/>
        <c:spPr>
          <a:solidFill>
            <a:srgbClr val="C00000"/>
          </a:solidFill>
          <a:ln w="19050">
            <a:solidFill>
              <a:schemeClr val="lt1"/>
            </a:solidFill>
          </a:ln>
          <a:effectLst/>
        </c:spPr>
      </c:pivotFmt>
      <c:pivotFmt>
        <c:idx val="36"/>
        <c:spPr>
          <a:solidFill>
            <a:srgbClr val="FFC000"/>
          </a:solidFill>
          <a:ln w="19050">
            <a:solidFill>
              <a:schemeClr val="lt1"/>
            </a:solidFill>
          </a:ln>
          <a:effectLst/>
        </c:spPr>
      </c:pivotFmt>
      <c:pivotFmt>
        <c:idx val="37"/>
        <c:spPr>
          <a:solidFill>
            <a:schemeClr val="accent6"/>
          </a:solidFill>
          <a:ln w="19050">
            <a:solidFill>
              <a:schemeClr val="lt1"/>
            </a:solidFill>
          </a:ln>
          <a:effectLst/>
        </c:spPr>
      </c:pivotFmt>
      <c:pivotFmt>
        <c:idx val="38"/>
        <c:spPr>
          <a:solidFill>
            <a:schemeClr val="accent5"/>
          </a:solidFill>
          <a:ln w="19050">
            <a:solidFill>
              <a:schemeClr val="lt1"/>
            </a:solidFill>
          </a:ln>
          <a:effectLst/>
        </c:spPr>
      </c:pivotFmt>
      <c:pivotFmt>
        <c:idx val="39"/>
        <c:spPr>
          <a:solidFill>
            <a:srgbClr val="0432FF"/>
          </a:solidFill>
          <a:ln w="19050">
            <a:solidFill>
              <a:schemeClr val="lt1"/>
            </a:solidFill>
          </a:ln>
          <a:effectLst/>
        </c:spPr>
      </c:pivotFmt>
      <c:pivotFmt>
        <c:idx val="40"/>
        <c:spPr>
          <a:solidFill>
            <a:srgbClr val="FFFD78"/>
          </a:solidFill>
          <a:ln w="19050">
            <a:solidFill>
              <a:schemeClr val="lt1"/>
            </a:solidFill>
          </a:ln>
          <a:effectLst/>
        </c:spPr>
      </c:pivotFmt>
      <c:pivotFmt>
        <c:idx val="41"/>
        <c:spPr>
          <a:solidFill>
            <a:srgbClr val="009051"/>
          </a:solidFill>
          <a:ln w="19050">
            <a:solidFill>
              <a:schemeClr val="lt1"/>
            </a:solidFill>
          </a:ln>
          <a:effectLst/>
        </c:spPr>
      </c:pivotFmt>
      <c:pivotFmt>
        <c:idx val="42"/>
        <c:spPr>
          <a:solidFill>
            <a:srgbClr val="7A81FF"/>
          </a:solidFill>
          <a:ln w="19050">
            <a:solidFill>
              <a:schemeClr val="lt1"/>
            </a:solidFill>
          </a:ln>
          <a:effectLst/>
        </c:spPr>
      </c:pivotFmt>
      <c:pivotFmt>
        <c:idx val="43"/>
        <c:spPr>
          <a:solidFill>
            <a:srgbClr val="941651"/>
          </a:solidFill>
          <a:ln w="19050">
            <a:solidFill>
              <a:schemeClr val="lt1"/>
            </a:solidFill>
          </a:ln>
          <a:effectLst/>
        </c:spPr>
      </c:pivotFmt>
      <c:pivotFmt>
        <c:idx val="44"/>
        <c:spPr>
          <a:solidFill>
            <a:srgbClr val="FFFFFF"/>
          </a:solidFill>
          <a:ln w="19050">
            <a:solidFill>
              <a:schemeClr val="lt1"/>
            </a:solidFill>
          </a:ln>
          <a:effectLst/>
        </c:spPr>
      </c:pivotFmt>
      <c:pivotFmt>
        <c:idx val="45"/>
        <c:spPr>
          <a:solidFill>
            <a:srgbClr val="4E8F00"/>
          </a:solidFill>
          <a:ln w="19050">
            <a:solidFill>
              <a:schemeClr val="lt1"/>
            </a:solidFill>
          </a:ln>
          <a:effectLst/>
        </c:spPr>
      </c:pivotFmt>
      <c:pivotFmt>
        <c:idx val="46"/>
        <c:spPr>
          <a:solidFill>
            <a:schemeClr val="accent2">
              <a:lumMod val="50000"/>
            </a:schemeClr>
          </a:solidFill>
          <a:ln w="19050">
            <a:solidFill>
              <a:schemeClr val="lt1"/>
            </a:solidFill>
          </a:ln>
          <a:effectLst/>
        </c:spPr>
      </c:pivotFmt>
    </c:pivotFmts>
    <c:plotArea>
      <c:layout/>
      <c:pieChart>
        <c:varyColors val="1"/>
        <c:ser>
          <c:idx val="0"/>
          <c:order val="0"/>
          <c:tx>
            <c:strRef>
              <c:f>'Automatic Dashboard_PV'!$G$25</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4C59-4047-96E4-849F4A7FBA05}"/>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4C59-4047-96E4-849F4A7FBA05}"/>
              </c:ext>
            </c:extLst>
          </c:dPt>
          <c:dPt>
            <c:idx val="2"/>
            <c:bubble3D val="0"/>
            <c:spPr>
              <a:solidFill>
                <a:srgbClr val="0070C0"/>
              </a:solidFill>
              <a:ln w="19050">
                <a:solidFill>
                  <a:schemeClr val="lt1"/>
                </a:solidFill>
              </a:ln>
              <a:effectLst/>
            </c:spPr>
            <c:extLst>
              <c:ext xmlns:c16="http://schemas.microsoft.com/office/drawing/2014/chart" uri="{C3380CC4-5D6E-409C-BE32-E72D297353CC}">
                <c16:uniqueId val="{00000005-4C59-4047-96E4-849F4A7FBA05}"/>
              </c:ext>
            </c:extLst>
          </c:dPt>
          <c:dPt>
            <c:idx val="3"/>
            <c:bubble3D val="0"/>
            <c:spPr>
              <a:solidFill>
                <a:srgbClr val="FF8AD8"/>
              </a:solidFill>
              <a:ln w="19050">
                <a:solidFill>
                  <a:schemeClr val="lt1"/>
                </a:solidFill>
              </a:ln>
              <a:effectLst/>
            </c:spPr>
            <c:extLst>
              <c:ext xmlns:c16="http://schemas.microsoft.com/office/drawing/2014/chart" uri="{C3380CC4-5D6E-409C-BE32-E72D297353CC}">
                <c16:uniqueId val="{00000007-4C59-4047-96E4-849F4A7FBA05}"/>
              </c:ext>
            </c:extLst>
          </c:dPt>
          <c:dPt>
            <c:idx val="4"/>
            <c:bubble3D val="0"/>
            <c:spPr>
              <a:solidFill>
                <a:srgbClr val="FFFC00"/>
              </a:solidFill>
              <a:ln w="19050">
                <a:noFill/>
              </a:ln>
              <a:effectLst/>
            </c:spPr>
            <c:extLst>
              <c:ext xmlns:c16="http://schemas.microsoft.com/office/drawing/2014/chart" uri="{C3380CC4-5D6E-409C-BE32-E72D297353CC}">
                <c16:uniqueId val="{00000009-4C59-4047-96E4-849F4A7FBA05}"/>
              </c:ext>
            </c:extLst>
          </c:dPt>
          <c:dPt>
            <c:idx val="5"/>
            <c:bubble3D val="0"/>
            <c:spPr>
              <a:solidFill>
                <a:srgbClr val="76D6FF"/>
              </a:solidFill>
              <a:ln w="19050">
                <a:solidFill>
                  <a:schemeClr val="lt1"/>
                </a:solidFill>
              </a:ln>
              <a:effectLst/>
            </c:spPr>
            <c:extLst>
              <c:ext xmlns:c16="http://schemas.microsoft.com/office/drawing/2014/chart" uri="{C3380CC4-5D6E-409C-BE32-E72D297353CC}">
                <c16:uniqueId val="{0000000B-4C59-4047-96E4-849F4A7FBA05}"/>
              </c:ext>
            </c:extLst>
          </c:dPt>
          <c:dPt>
            <c:idx val="6"/>
            <c:bubble3D val="0"/>
            <c:spPr>
              <a:solidFill>
                <a:srgbClr val="FF7E79"/>
              </a:solidFill>
              <a:ln w="19050">
                <a:solidFill>
                  <a:schemeClr val="lt1"/>
                </a:solidFill>
              </a:ln>
              <a:effectLst/>
            </c:spPr>
            <c:extLst>
              <c:ext xmlns:c16="http://schemas.microsoft.com/office/drawing/2014/chart" uri="{C3380CC4-5D6E-409C-BE32-E72D297353CC}">
                <c16:uniqueId val="{0000000D-4C59-4047-96E4-849F4A7FBA05}"/>
              </c:ext>
            </c:extLst>
          </c:dPt>
          <c:dPt>
            <c:idx val="7"/>
            <c:bubble3D val="0"/>
            <c:spPr>
              <a:solidFill>
                <a:srgbClr val="8EFA00"/>
              </a:solidFill>
              <a:ln w="19050">
                <a:noFill/>
              </a:ln>
              <a:effectLst/>
            </c:spPr>
            <c:extLst>
              <c:ext xmlns:c16="http://schemas.microsoft.com/office/drawing/2014/chart" uri="{C3380CC4-5D6E-409C-BE32-E72D297353CC}">
                <c16:uniqueId val="{0000000F-4C59-4047-96E4-849F4A7FBA05}"/>
              </c:ext>
            </c:extLst>
          </c:dPt>
          <c:dPt>
            <c:idx val="8"/>
            <c:bubble3D val="0"/>
            <c:spPr>
              <a:solidFill>
                <a:srgbClr val="FF2F92"/>
              </a:solidFill>
              <a:ln w="19050">
                <a:solidFill>
                  <a:schemeClr val="lt1"/>
                </a:solidFill>
              </a:ln>
              <a:effectLst/>
            </c:spPr>
            <c:extLst>
              <c:ext xmlns:c16="http://schemas.microsoft.com/office/drawing/2014/chart" uri="{C3380CC4-5D6E-409C-BE32-E72D297353CC}">
                <c16:uniqueId val="{00000011-4C59-4047-96E4-849F4A7FBA05}"/>
              </c:ext>
            </c:extLst>
          </c:dPt>
          <c:dPt>
            <c:idx val="9"/>
            <c:bubble3D val="0"/>
            <c:spPr>
              <a:solidFill>
                <a:schemeClr val="accent2">
                  <a:lumMod val="40000"/>
                  <a:lumOff val="60000"/>
                </a:schemeClr>
              </a:solidFill>
              <a:ln w="19050">
                <a:noFill/>
              </a:ln>
              <a:effectLst/>
            </c:spPr>
            <c:extLst>
              <c:ext xmlns:c16="http://schemas.microsoft.com/office/drawing/2014/chart" uri="{C3380CC4-5D6E-409C-BE32-E72D297353CC}">
                <c16:uniqueId val="{00000013-4C59-4047-96E4-849F4A7FBA05}"/>
              </c:ext>
            </c:extLst>
          </c:dPt>
          <c:dPt>
            <c:idx val="10"/>
            <c:bubble3D val="0"/>
            <c:spPr>
              <a:solidFill>
                <a:srgbClr val="C00000"/>
              </a:solidFill>
              <a:ln w="19050">
                <a:solidFill>
                  <a:schemeClr val="lt1"/>
                </a:solidFill>
              </a:ln>
              <a:effectLst/>
            </c:spPr>
            <c:extLst>
              <c:ext xmlns:c16="http://schemas.microsoft.com/office/drawing/2014/chart" uri="{C3380CC4-5D6E-409C-BE32-E72D297353CC}">
                <c16:uniqueId val="{00000015-4C59-4047-96E4-849F4A7FBA05}"/>
              </c:ext>
            </c:extLst>
          </c:dPt>
          <c:dPt>
            <c:idx val="11"/>
            <c:bubble3D val="0"/>
            <c:spPr>
              <a:solidFill>
                <a:srgbClr val="FFC000"/>
              </a:solidFill>
              <a:ln w="19050">
                <a:solidFill>
                  <a:schemeClr val="lt1"/>
                </a:solidFill>
              </a:ln>
              <a:effectLst/>
            </c:spPr>
            <c:extLst>
              <c:ext xmlns:c16="http://schemas.microsoft.com/office/drawing/2014/chart" uri="{C3380CC4-5D6E-409C-BE32-E72D297353CC}">
                <c16:uniqueId val="{00000017-4C59-4047-96E4-849F4A7FBA05}"/>
              </c:ext>
            </c:extLst>
          </c:dPt>
          <c:dPt>
            <c:idx val="12"/>
            <c:bubble3D val="0"/>
            <c:spPr>
              <a:solidFill>
                <a:schemeClr val="accent6"/>
              </a:solidFill>
              <a:ln w="19050">
                <a:solidFill>
                  <a:schemeClr val="lt1"/>
                </a:solidFill>
              </a:ln>
              <a:effectLst/>
            </c:spPr>
            <c:extLst>
              <c:ext xmlns:c16="http://schemas.microsoft.com/office/drawing/2014/chart" uri="{C3380CC4-5D6E-409C-BE32-E72D297353CC}">
                <c16:uniqueId val="{00000019-4C59-4047-96E4-849F4A7FBA05}"/>
              </c:ext>
            </c:extLst>
          </c:dPt>
          <c:dPt>
            <c:idx val="13"/>
            <c:bubble3D val="0"/>
            <c:spPr>
              <a:solidFill>
                <a:schemeClr val="accent5"/>
              </a:solidFill>
              <a:ln w="19050">
                <a:solidFill>
                  <a:schemeClr val="lt1"/>
                </a:solidFill>
              </a:ln>
              <a:effectLst/>
            </c:spPr>
            <c:extLst>
              <c:ext xmlns:c16="http://schemas.microsoft.com/office/drawing/2014/chart" uri="{C3380CC4-5D6E-409C-BE32-E72D297353CC}">
                <c16:uniqueId val="{0000001B-4C59-4047-96E4-849F4A7FBA05}"/>
              </c:ext>
            </c:extLst>
          </c:dPt>
          <c:dPt>
            <c:idx val="14"/>
            <c:bubble3D val="0"/>
            <c:spPr>
              <a:solidFill>
                <a:srgbClr val="0432FF"/>
              </a:solidFill>
              <a:ln w="19050">
                <a:solidFill>
                  <a:schemeClr val="lt1"/>
                </a:solidFill>
              </a:ln>
              <a:effectLst/>
            </c:spPr>
            <c:extLst>
              <c:ext xmlns:c16="http://schemas.microsoft.com/office/drawing/2014/chart" uri="{C3380CC4-5D6E-409C-BE32-E72D297353CC}">
                <c16:uniqueId val="{0000001D-4C59-4047-96E4-849F4A7FBA05}"/>
              </c:ext>
            </c:extLst>
          </c:dPt>
          <c:dPt>
            <c:idx val="15"/>
            <c:bubble3D val="0"/>
            <c:spPr>
              <a:solidFill>
                <a:srgbClr val="FFFD78"/>
              </a:solidFill>
              <a:ln w="19050">
                <a:solidFill>
                  <a:schemeClr val="lt1"/>
                </a:solidFill>
              </a:ln>
              <a:effectLst/>
            </c:spPr>
            <c:extLst>
              <c:ext xmlns:c16="http://schemas.microsoft.com/office/drawing/2014/chart" uri="{C3380CC4-5D6E-409C-BE32-E72D297353CC}">
                <c16:uniqueId val="{0000001F-4C59-4047-96E4-849F4A7FBA05}"/>
              </c:ext>
            </c:extLst>
          </c:dPt>
          <c:dPt>
            <c:idx val="16"/>
            <c:bubble3D val="0"/>
            <c:spPr>
              <a:solidFill>
                <a:srgbClr val="009051"/>
              </a:solidFill>
              <a:ln w="19050">
                <a:solidFill>
                  <a:schemeClr val="lt1"/>
                </a:solidFill>
              </a:ln>
              <a:effectLst/>
            </c:spPr>
            <c:extLst>
              <c:ext xmlns:c16="http://schemas.microsoft.com/office/drawing/2014/chart" uri="{C3380CC4-5D6E-409C-BE32-E72D297353CC}">
                <c16:uniqueId val="{00000021-4C59-4047-96E4-849F4A7FBA05}"/>
              </c:ext>
            </c:extLst>
          </c:dPt>
          <c:dPt>
            <c:idx val="17"/>
            <c:bubble3D val="0"/>
            <c:spPr>
              <a:solidFill>
                <a:srgbClr val="7A81FF"/>
              </a:solidFill>
              <a:ln w="19050">
                <a:solidFill>
                  <a:schemeClr val="lt1"/>
                </a:solidFill>
              </a:ln>
              <a:effectLst/>
            </c:spPr>
            <c:extLst>
              <c:ext xmlns:c16="http://schemas.microsoft.com/office/drawing/2014/chart" uri="{C3380CC4-5D6E-409C-BE32-E72D297353CC}">
                <c16:uniqueId val="{00000023-4C59-4047-96E4-849F4A7FBA05}"/>
              </c:ext>
            </c:extLst>
          </c:dPt>
          <c:dPt>
            <c:idx val="18"/>
            <c:bubble3D val="0"/>
            <c:spPr>
              <a:solidFill>
                <a:srgbClr val="941651"/>
              </a:solidFill>
              <a:ln w="19050">
                <a:solidFill>
                  <a:schemeClr val="lt1"/>
                </a:solidFill>
              </a:ln>
              <a:effectLst/>
            </c:spPr>
            <c:extLst>
              <c:ext xmlns:c16="http://schemas.microsoft.com/office/drawing/2014/chart" uri="{C3380CC4-5D6E-409C-BE32-E72D297353CC}">
                <c16:uniqueId val="{00000025-4C59-4047-96E4-849F4A7FBA05}"/>
              </c:ext>
            </c:extLst>
          </c:dPt>
          <c:dPt>
            <c:idx val="19"/>
            <c:bubble3D val="0"/>
            <c:spPr>
              <a:solidFill>
                <a:srgbClr val="FFFFFF"/>
              </a:solidFill>
              <a:ln w="19050">
                <a:solidFill>
                  <a:schemeClr val="lt1"/>
                </a:solidFill>
              </a:ln>
              <a:effectLst/>
            </c:spPr>
            <c:extLst>
              <c:ext xmlns:c16="http://schemas.microsoft.com/office/drawing/2014/chart" uri="{C3380CC4-5D6E-409C-BE32-E72D297353CC}">
                <c16:uniqueId val="{00000027-4C59-4047-96E4-849F4A7FBA05}"/>
              </c:ext>
            </c:extLst>
          </c:dPt>
          <c:dPt>
            <c:idx val="20"/>
            <c:bubble3D val="0"/>
            <c:spPr>
              <a:solidFill>
                <a:srgbClr val="4E8F00"/>
              </a:solidFill>
              <a:ln w="19050">
                <a:solidFill>
                  <a:schemeClr val="lt1"/>
                </a:solidFill>
              </a:ln>
              <a:effectLst/>
            </c:spPr>
            <c:extLst>
              <c:ext xmlns:c16="http://schemas.microsoft.com/office/drawing/2014/chart" uri="{C3380CC4-5D6E-409C-BE32-E72D297353CC}">
                <c16:uniqueId val="{00000029-4C59-4047-96E4-849F4A7FBA05}"/>
              </c:ext>
            </c:extLst>
          </c:dPt>
          <c:dPt>
            <c:idx val="2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2B-4C59-4047-96E4-849F4A7FBA05}"/>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1"/>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'Automatic Dashboard_PV'!$F$26:$F$48</c:f>
              <c:strCache>
                <c:ptCount val="22"/>
                <c:pt idx="0">
                  <c:v>Air France Airlines</c:v>
                </c:pt>
                <c:pt idx="1">
                  <c:v>Airfast </c:v>
                </c:pt>
                <c:pt idx="2">
                  <c:v>All Nippon Airways</c:v>
                </c:pt>
                <c:pt idx="3">
                  <c:v>Batik Air</c:v>
                </c:pt>
                <c:pt idx="4">
                  <c:v>Cathay Pacific Airlines</c:v>
                </c:pt>
                <c:pt idx="5">
                  <c:v>Citilink</c:v>
                </c:pt>
                <c:pt idx="6">
                  <c:v>Emirates </c:v>
                </c:pt>
                <c:pt idx="7">
                  <c:v>Garuda Indonesia</c:v>
                </c:pt>
                <c:pt idx="8">
                  <c:v>Indonesia AirAsia</c:v>
                </c:pt>
                <c:pt idx="9">
                  <c:v>Japan Airlines </c:v>
                </c:pt>
                <c:pt idx="10">
                  <c:v>Lion Air</c:v>
                </c:pt>
                <c:pt idx="11">
                  <c:v>Malaysia Airlines</c:v>
                </c:pt>
                <c:pt idx="12">
                  <c:v>NAM Air</c:v>
                </c:pt>
                <c:pt idx="13">
                  <c:v>Pelita Air</c:v>
                </c:pt>
                <c:pt idx="14">
                  <c:v>Qatar Airways</c:v>
                </c:pt>
                <c:pt idx="15">
                  <c:v>Saudia Airlines</c:v>
                </c:pt>
                <c:pt idx="16">
                  <c:v>Singapore Airlines</c:v>
                </c:pt>
                <c:pt idx="17">
                  <c:v>Sriwijaya Air</c:v>
                </c:pt>
                <c:pt idx="18">
                  <c:v>Super Air Jet</c:v>
                </c:pt>
                <c:pt idx="19">
                  <c:v>Thai Airways International Airlines</c:v>
                </c:pt>
                <c:pt idx="20">
                  <c:v>Transnusa</c:v>
                </c:pt>
                <c:pt idx="21">
                  <c:v>Turkish Airlines</c:v>
                </c:pt>
              </c:strCache>
            </c:strRef>
          </c:cat>
          <c:val>
            <c:numRef>
              <c:f>'Automatic Dashboard_PV'!$G$26:$G$48</c:f>
              <c:numCache>
                <c:formatCode>General</c:formatCode>
                <c:ptCount val="22"/>
                <c:pt idx="0">
                  <c:v>4</c:v>
                </c:pt>
                <c:pt idx="1">
                  <c:v>4</c:v>
                </c:pt>
                <c:pt idx="2">
                  <c:v>4</c:v>
                </c:pt>
                <c:pt idx="3">
                  <c:v>11</c:v>
                </c:pt>
                <c:pt idx="4">
                  <c:v>7</c:v>
                </c:pt>
                <c:pt idx="5">
                  <c:v>3</c:v>
                </c:pt>
                <c:pt idx="6">
                  <c:v>10</c:v>
                </c:pt>
                <c:pt idx="7">
                  <c:v>12</c:v>
                </c:pt>
                <c:pt idx="8">
                  <c:v>7</c:v>
                </c:pt>
                <c:pt idx="9">
                  <c:v>2</c:v>
                </c:pt>
                <c:pt idx="10">
                  <c:v>8</c:v>
                </c:pt>
                <c:pt idx="11">
                  <c:v>4</c:v>
                </c:pt>
                <c:pt idx="12">
                  <c:v>3</c:v>
                </c:pt>
                <c:pt idx="13">
                  <c:v>2</c:v>
                </c:pt>
                <c:pt idx="14">
                  <c:v>5</c:v>
                </c:pt>
                <c:pt idx="15">
                  <c:v>5</c:v>
                </c:pt>
                <c:pt idx="16">
                  <c:v>8</c:v>
                </c:pt>
                <c:pt idx="17">
                  <c:v>4</c:v>
                </c:pt>
                <c:pt idx="18">
                  <c:v>4</c:v>
                </c:pt>
                <c:pt idx="19">
                  <c:v>5</c:v>
                </c:pt>
                <c:pt idx="20">
                  <c:v>1</c:v>
                </c:pt>
                <c:pt idx="21">
                  <c:v>7</c:v>
                </c:pt>
              </c:numCache>
            </c:numRef>
          </c:val>
          <c:extLst>
            <c:ext xmlns:c16="http://schemas.microsoft.com/office/drawing/2014/chart" uri="{C3380CC4-5D6E-409C-BE32-E72D297353CC}">
              <c16:uniqueId val="{0000002C-4C59-4047-96E4-849F4A7FBA0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Excel.xlsx]Automatic Dashboard_PV!PivotTable23</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US" b="1">
                <a:solidFill>
                  <a:schemeClr val="bg1"/>
                </a:solidFill>
              </a:rPr>
              <a:t>Destination</a:t>
            </a:r>
            <a:r>
              <a:rPr lang="en-US" b="1" baseline="0">
                <a:solidFill>
                  <a:schemeClr val="bg1"/>
                </a:solidFill>
              </a:rPr>
              <a:t> Airport (Domestic)</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a:sp3d/>
        </c:spPr>
        <c:marker>
          <c:symbol val="none"/>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'Automatic Dashboard_PV'!$P$2</c:f>
              <c:strCache>
                <c:ptCount val="1"/>
                <c:pt idx="0">
                  <c:v>Total</c:v>
                </c:pt>
              </c:strCache>
            </c:strRef>
          </c:tx>
          <c:spPr>
            <a:solidFill>
              <a:schemeClr val="bg1"/>
            </a:solidFill>
            <a:ln>
              <a:noFill/>
            </a:ln>
            <a:effectLst/>
            <a:sp3d/>
          </c:spPr>
          <c:invertIfNegative val="0"/>
          <c:dLbls>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'Automatic Dashboard_PV'!$O$3:$O$23</c:f>
              <c:strCache>
                <c:ptCount val="20"/>
                <c:pt idx="0">
                  <c:v>Abdul Rachman Saleh, Malang</c:v>
                </c:pt>
                <c:pt idx="1">
                  <c:v>Adisumarno, Solo</c:v>
                </c:pt>
                <c:pt idx="2">
                  <c:v>Adisutjipto, DIY </c:v>
                </c:pt>
                <c:pt idx="3">
                  <c:v>Hang Nadim, Kepulauan Riau</c:v>
                </c:pt>
                <c:pt idx="4">
                  <c:v>Jenderal Ahmad Yani, Semarang</c:v>
                </c:pt>
                <c:pt idx="5">
                  <c:v>Juanda, Surabaya</c:v>
                </c:pt>
                <c:pt idx="6">
                  <c:v>Kualanamu, Medan</c:v>
                </c:pt>
                <c:pt idx="7">
                  <c:v>Minangkabau, Padang</c:v>
                </c:pt>
                <c:pt idx="8">
                  <c:v>Ngurah Rai, Denpasar Bali</c:v>
                </c:pt>
                <c:pt idx="9">
                  <c:v>Pattimura, Ambon</c:v>
                </c:pt>
                <c:pt idx="10">
                  <c:v>Radin Inten II, Bandar Lampung</c:v>
                </c:pt>
                <c:pt idx="11">
                  <c:v>Sentani, Jayapura</c:v>
                </c:pt>
                <c:pt idx="12">
                  <c:v>Sultan Hasanuddin, Sulawesi Selatan</c:v>
                </c:pt>
                <c:pt idx="13">
                  <c:v>Sultan Iskanda Muda, Aceh</c:v>
                </c:pt>
                <c:pt idx="14">
                  <c:v>Sultan Mahmud Badaruddin II, Palembang</c:v>
                </c:pt>
                <c:pt idx="15">
                  <c:v>Sultan Syarif Kasim II, Riau</c:v>
                </c:pt>
                <c:pt idx="16">
                  <c:v>Sultan Thaha, Jambi</c:v>
                </c:pt>
                <c:pt idx="17">
                  <c:v>Supadio, Pontianak</c:v>
                </c:pt>
                <c:pt idx="18">
                  <c:v>Zainuddin Abdul Madjid, Praya</c:v>
                </c:pt>
                <c:pt idx="19">
                  <c:v>(blank)</c:v>
                </c:pt>
              </c:strCache>
            </c:strRef>
          </c:cat>
          <c:val>
            <c:numRef>
              <c:f>'Automatic Dashboard_PV'!$P$3:$P$23</c:f>
              <c:numCache>
                <c:formatCode>General</c:formatCode>
                <c:ptCount val="20"/>
                <c:pt idx="0">
                  <c:v>3</c:v>
                </c:pt>
                <c:pt idx="1">
                  <c:v>2</c:v>
                </c:pt>
                <c:pt idx="2">
                  <c:v>4</c:v>
                </c:pt>
                <c:pt idx="3">
                  <c:v>1</c:v>
                </c:pt>
                <c:pt idx="4">
                  <c:v>1</c:v>
                </c:pt>
                <c:pt idx="5">
                  <c:v>4</c:v>
                </c:pt>
                <c:pt idx="6">
                  <c:v>3</c:v>
                </c:pt>
                <c:pt idx="7">
                  <c:v>4</c:v>
                </c:pt>
                <c:pt idx="8">
                  <c:v>10</c:v>
                </c:pt>
                <c:pt idx="9">
                  <c:v>4</c:v>
                </c:pt>
                <c:pt idx="10">
                  <c:v>2</c:v>
                </c:pt>
                <c:pt idx="11">
                  <c:v>1</c:v>
                </c:pt>
                <c:pt idx="12">
                  <c:v>1</c:v>
                </c:pt>
                <c:pt idx="13">
                  <c:v>3</c:v>
                </c:pt>
                <c:pt idx="14">
                  <c:v>3</c:v>
                </c:pt>
                <c:pt idx="15">
                  <c:v>2</c:v>
                </c:pt>
                <c:pt idx="16">
                  <c:v>3</c:v>
                </c:pt>
                <c:pt idx="17">
                  <c:v>5</c:v>
                </c:pt>
                <c:pt idx="18">
                  <c:v>3</c:v>
                </c:pt>
              </c:numCache>
            </c:numRef>
          </c:val>
          <c:extLst>
            <c:ext xmlns:c16="http://schemas.microsoft.com/office/drawing/2014/chart" uri="{C3380CC4-5D6E-409C-BE32-E72D297353CC}">
              <c16:uniqueId val="{00000000-12A8-8D4B-A19F-F9CC289348EE}"/>
            </c:ext>
          </c:extLst>
        </c:ser>
        <c:dLbls>
          <c:showLegendKey val="0"/>
          <c:showVal val="0"/>
          <c:showCatName val="0"/>
          <c:showSerName val="0"/>
          <c:showPercent val="0"/>
          <c:showBubbleSize val="0"/>
        </c:dLbls>
        <c:gapWidth val="150"/>
        <c:shape val="box"/>
        <c:axId val="1193339743"/>
        <c:axId val="1164789647"/>
        <c:axId val="0"/>
      </c:bar3DChart>
      <c:catAx>
        <c:axId val="11933397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64789647"/>
        <c:crosses val="autoZero"/>
        <c:auto val="1"/>
        <c:lblAlgn val="ctr"/>
        <c:lblOffset val="100"/>
        <c:noMultiLvlLbl val="0"/>
      </c:catAx>
      <c:valAx>
        <c:axId val="1164789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93339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Excel.xlsx]Sheet24!PivotTable28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Remarks</a:t>
            </a:r>
            <a:r>
              <a:rPr lang="en-US" b="1" baseline="0">
                <a:solidFill>
                  <a:schemeClr val="bg1"/>
                </a:solidFill>
              </a:rPr>
              <a:t> Frequency</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2F92"/>
          </a:solidFill>
          <a:ln>
            <a:noFill/>
          </a:ln>
          <a:effectLst/>
        </c:spPr>
      </c:pivotFmt>
      <c:pivotFmt>
        <c:idx val="4"/>
        <c:spPr>
          <a:solidFill>
            <a:srgbClr val="FFFD78"/>
          </a:solidFill>
          <a:ln>
            <a:noFill/>
          </a:ln>
          <a:effectLst/>
        </c:spPr>
      </c:pivotFmt>
    </c:pivotFmts>
    <c:plotArea>
      <c:layout/>
      <c:barChart>
        <c:barDir val="bar"/>
        <c:grouping val="clustered"/>
        <c:varyColors val="0"/>
        <c:ser>
          <c:idx val="0"/>
          <c:order val="0"/>
          <c:tx>
            <c:strRef>
              <c:f>Sheet24!$G$3</c:f>
              <c:strCache>
                <c:ptCount val="1"/>
                <c:pt idx="0">
                  <c:v>Total</c:v>
                </c:pt>
              </c:strCache>
            </c:strRef>
          </c:tx>
          <c:spPr>
            <a:solidFill>
              <a:schemeClr val="accent1"/>
            </a:solidFill>
            <a:ln>
              <a:noFill/>
            </a:ln>
            <a:effectLst/>
          </c:spPr>
          <c:invertIfNegative val="0"/>
          <c:dPt>
            <c:idx val="0"/>
            <c:invertIfNegative val="0"/>
            <c:bubble3D val="0"/>
            <c:spPr>
              <a:solidFill>
                <a:srgbClr val="FFFD78"/>
              </a:solidFill>
              <a:ln>
                <a:noFill/>
              </a:ln>
              <a:effectLst/>
            </c:spPr>
            <c:extLst>
              <c:ext xmlns:c16="http://schemas.microsoft.com/office/drawing/2014/chart" uri="{C3380CC4-5D6E-409C-BE32-E72D297353CC}">
                <c16:uniqueId val="{00000002-A7DD-424C-B3BA-9C4AFB269BF6}"/>
              </c:ext>
            </c:extLst>
          </c:dPt>
          <c:dPt>
            <c:idx val="1"/>
            <c:invertIfNegative val="0"/>
            <c:bubble3D val="0"/>
            <c:spPr>
              <a:solidFill>
                <a:srgbClr val="FF2F92"/>
              </a:solidFill>
              <a:ln>
                <a:noFill/>
              </a:ln>
              <a:effectLst/>
            </c:spPr>
            <c:extLst>
              <c:ext xmlns:c16="http://schemas.microsoft.com/office/drawing/2014/chart" uri="{C3380CC4-5D6E-409C-BE32-E72D297353CC}">
                <c16:uniqueId val="{00000001-A7DD-424C-B3BA-9C4AFB269BF6}"/>
              </c:ext>
            </c:extLst>
          </c:dPt>
          <c:cat>
            <c:strRef>
              <c:f>Sheet24!$F$4:$F$6</c:f>
              <c:strCache>
                <c:ptCount val="2"/>
                <c:pt idx="0">
                  <c:v>Cancelled</c:v>
                </c:pt>
                <c:pt idx="1">
                  <c:v>Confirmed</c:v>
                </c:pt>
              </c:strCache>
            </c:strRef>
          </c:cat>
          <c:val>
            <c:numRef>
              <c:f>Sheet24!$G$4:$G$6</c:f>
              <c:numCache>
                <c:formatCode>General</c:formatCode>
                <c:ptCount val="2"/>
                <c:pt idx="0">
                  <c:v>29</c:v>
                </c:pt>
                <c:pt idx="1">
                  <c:v>91</c:v>
                </c:pt>
              </c:numCache>
            </c:numRef>
          </c:val>
          <c:extLst>
            <c:ext xmlns:c16="http://schemas.microsoft.com/office/drawing/2014/chart" uri="{C3380CC4-5D6E-409C-BE32-E72D297353CC}">
              <c16:uniqueId val="{00000000-A7DD-424C-B3BA-9C4AFB269BF6}"/>
            </c:ext>
          </c:extLst>
        </c:ser>
        <c:dLbls>
          <c:showLegendKey val="0"/>
          <c:showVal val="0"/>
          <c:showCatName val="0"/>
          <c:showSerName val="0"/>
          <c:showPercent val="0"/>
          <c:showBubbleSize val="0"/>
        </c:dLbls>
        <c:gapWidth val="219"/>
        <c:axId val="1179311855"/>
        <c:axId val="1129747999"/>
      </c:barChart>
      <c:catAx>
        <c:axId val="1179311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29747999"/>
        <c:crosses val="autoZero"/>
        <c:auto val="1"/>
        <c:lblAlgn val="ctr"/>
        <c:lblOffset val="100"/>
        <c:noMultiLvlLbl val="0"/>
      </c:catAx>
      <c:valAx>
        <c:axId val="11297479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79311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Excel.xlsx]Sheet24!PivotTable29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Origin</a:t>
            </a:r>
            <a:r>
              <a:rPr lang="en-US" b="1" baseline="0">
                <a:solidFill>
                  <a:schemeClr val="bg1"/>
                </a:solidFill>
              </a:rPr>
              <a:t> Airport Percentage</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rgbClr val="941651"/>
          </a:solidFill>
          <a:ln w="19050">
            <a:solidFill>
              <a:schemeClr val="lt1"/>
            </a:solidFill>
          </a:ln>
          <a:effectLst/>
        </c:spPr>
        <c:dLbl>
          <c:idx val="0"/>
          <c:layout>
            <c:manualLayout>
              <c:x val="0.14395886889460144"/>
              <c:y val="-0.14782608695652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7A81FF"/>
          </a:solidFill>
          <a:ln w="19050">
            <a:solidFill>
              <a:schemeClr val="lt1"/>
            </a:solidFill>
          </a:ln>
          <a:effectLst/>
        </c:spPr>
        <c:dLbl>
          <c:idx val="0"/>
          <c:layout>
            <c:manualLayout>
              <c:x val="-0.16452442159383032"/>
              <c:y val="1.7391304347826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Sheet24!$G$9</c:f>
              <c:strCache>
                <c:ptCount val="1"/>
                <c:pt idx="0">
                  <c:v>Total</c:v>
                </c:pt>
              </c:strCache>
            </c:strRef>
          </c:tx>
          <c:dPt>
            <c:idx val="0"/>
            <c:bubble3D val="0"/>
            <c:spPr>
              <a:solidFill>
                <a:srgbClr val="941651"/>
              </a:solidFill>
              <a:ln w="19050">
                <a:solidFill>
                  <a:schemeClr val="lt1"/>
                </a:solidFill>
              </a:ln>
              <a:effectLst/>
            </c:spPr>
            <c:extLst>
              <c:ext xmlns:c16="http://schemas.microsoft.com/office/drawing/2014/chart" uri="{C3380CC4-5D6E-409C-BE32-E72D297353CC}">
                <c16:uniqueId val="{00000001-0F85-0A4B-92BB-8197E3592378}"/>
              </c:ext>
            </c:extLst>
          </c:dPt>
          <c:dPt>
            <c:idx val="1"/>
            <c:bubble3D val="0"/>
            <c:spPr>
              <a:solidFill>
                <a:srgbClr val="7A81FF"/>
              </a:solidFill>
              <a:ln w="19050">
                <a:solidFill>
                  <a:schemeClr val="lt1"/>
                </a:solidFill>
              </a:ln>
              <a:effectLst/>
            </c:spPr>
            <c:extLst>
              <c:ext xmlns:c16="http://schemas.microsoft.com/office/drawing/2014/chart" uri="{C3380CC4-5D6E-409C-BE32-E72D297353CC}">
                <c16:uniqueId val="{00000003-0F85-0A4B-92BB-8197E3592378}"/>
              </c:ext>
            </c:extLst>
          </c:dPt>
          <c:dLbls>
            <c:dLbl>
              <c:idx val="0"/>
              <c:layout>
                <c:manualLayout>
                  <c:x val="0.14395886889460144"/>
                  <c:y val="-0.14782608695652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F85-0A4B-92BB-8197E3592378}"/>
                </c:ext>
              </c:extLst>
            </c:dLbl>
            <c:dLbl>
              <c:idx val="1"/>
              <c:layout>
                <c:manualLayout>
                  <c:x val="-0.16452442159383032"/>
                  <c:y val="1.73913043478260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F85-0A4B-92BB-8197E359237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Sheet24!$F$10:$F$12</c:f>
              <c:strCache>
                <c:ptCount val="2"/>
                <c:pt idx="0">
                  <c:v>Singapore Changi Airport</c:v>
                </c:pt>
                <c:pt idx="1">
                  <c:v>Soekarno-Hatta Airport</c:v>
                </c:pt>
              </c:strCache>
            </c:strRef>
          </c:cat>
          <c:val>
            <c:numRef>
              <c:f>Sheet24!$G$10:$G$12</c:f>
              <c:numCache>
                <c:formatCode>General</c:formatCode>
                <c:ptCount val="2"/>
                <c:pt idx="0">
                  <c:v>61</c:v>
                </c:pt>
                <c:pt idx="1">
                  <c:v>59</c:v>
                </c:pt>
              </c:numCache>
            </c:numRef>
          </c:val>
          <c:extLst>
            <c:ext xmlns:c16="http://schemas.microsoft.com/office/drawing/2014/chart" uri="{C3380CC4-5D6E-409C-BE32-E72D297353CC}">
              <c16:uniqueId val="{00000004-0F85-0A4B-92BB-8197E359237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Excel.xlsx]Sheet24!PivotTable30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Arrival</a:t>
            </a:r>
            <a:r>
              <a:rPr lang="en-US" b="1" baseline="0">
                <a:solidFill>
                  <a:schemeClr val="bg1"/>
                </a:solidFill>
              </a:rPr>
              <a:t> Date Frequency</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4E8F00"/>
          </a:solidFill>
          <a:ln>
            <a:noFill/>
          </a:ln>
          <a:effectLst/>
        </c:spPr>
      </c:pivotFmt>
      <c:pivotFmt>
        <c:idx val="4"/>
        <c:spPr>
          <a:solidFill>
            <a:srgbClr val="FF2F92"/>
          </a:solidFill>
          <a:ln>
            <a:noFill/>
          </a:ln>
          <a:effectLst/>
        </c:spPr>
      </c:pivotFmt>
      <c:pivotFmt>
        <c:idx val="5"/>
        <c:spPr>
          <a:solidFill>
            <a:srgbClr val="D883FF"/>
          </a:solidFill>
          <a:ln>
            <a:noFill/>
          </a:ln>
          <a:effectLst/>
        </c:spPr>
      </c:pivotFmt>
      <c:pivotFmt>
        <c:idx val="6"/>
        <c:spPr>
          <a:solidFill>
            <a:srgbClr val="73FEFF"/>
          </a:solidFill>
          <a:ln>
            <a:noFill/>
          </a:ln>
          <a:effectLst/>
        </c:spPr>
      </c:pivotFmt>
      <c:pivotFmt>
        <c:idx val="7"/>
        <c:spPr>
          <a:solidFill>
            <a:srgbClr val="9437FF"/>
          </a:solidFill>
          <a:ln>
            <a:noFill/>
          </a:ln>
          <a:effectLst/>
        </c:spPr>
      </c:pivotFmt>
      <c:pivotFmt>
        <c:idx val="8"/>
        <c:spPr>
          <a:solidFill>
            <a:srgbClr val="0096FF"/>
          </a:solidFill>
          <a:ln>
            <a:noFill/>
          </a:ln>
          <a:effectLst/>
        </c:spPr>
      </c:pivotFmt>
      <c:pivotFmt>
        <c:idx val="9"/>
        <c:spPr>
          <a:solidFill>
            <a:srgbClr val="FFD579"/>
          </a:solidFill>
          <a:ln>
            <a:noFill/>
          </a:ln>
          <a:effectLst/>
        </c:spPr>
      </c:pivotFmt>
    </c:pivotFmts>
    <c:plotArea>
      <c:layout/>
      <c:barChart>
        <c:barDir val="col"/>
        <c:grouping val="clustered"/>
        <c:varyColors val="0"/>
        <c:ser>
          <c:idx val="0"/>
          <c:order val="0"/>
          <c:tx>
            <c:strRef>
              <c:f>Sheet24!$G$15</c:f>
              <c:strCache>
                <c:ptCount val="1"/>
                <c:pt idx="0">
                  <c:v>Total</c:v>
                </c:pt>
              </c:strCache>
            </c:strRef>
          </c:tx>
          <c:spPr>
            <a:solidFill>
              <a:schemeClr val="accent1"/>
            </a:solidFill>
            <a:ln>
              <a:noFill/>
            </a:ln>
            <a:effectLst/>
          </c:spPr>
          <c:invertIfNegative val="0"/>
          <c:dPt>
            <c:idx val="0"/>
            <c:invertIfNegative val="0"/>
            <c:bubble3D val="0"/>
            <c:spPr>
              <a:solidFill>
                <a:srgbClr val="4E8F00"/>
              </a:solidFill>
              <a:ln>
                <a:noFill/>
              </a:ln>
              <a:effectLst/>
            </c:spPr>
            <c:extLst>
              <c:ext xmlns:c16="http://schemas.microsoft.com/office/drawing/2014/chart" uri="{C3380CC4-5D6E-409C-BE32-E72D297353CC}">
                <c16:uniqueId val="{00000001-C8A6-314F-9E75-B043E00CFE30}"/>
              </c:ext>
            </c:extLst>
          </c:dPt>
          <c:dPt>
            <c:idx val="1"/>
            <c:invertIfNegative val="0"/>
            <c:bubble3D val="0"/>
            <c:spPr>
              <a:solidFill>
                <a:srgbClr val="FF2F92"/>
              </a:solidFill>
              <a:ln>
                <a:noFill/>
              </a:ln>
              <a:effectLst/>
            </c:spPr>
            <c:extLst>
              <c:ext xmlns:c16="http://schemas.microsoft.com/office/drawing/2014/chart" uri="{C3380CC4-5D6E-409C-BE32-E72D297353CC}">
                <c16:uniqueId val="{00000002-C8A6-314F-9E75-B043E00CFE30}"/>
              </c:ext>
            </c:extLst>
          </c:dPt>
          <c:dPt>
            <c:idx val="2"/>
            <c:invertIfNegative val="0"/>
            <c:bubble3D val="0"/>
            <c:spPr>
              <a:solidFill>
                <a:srgbClr val="D883FF"/>
              </a:solidFill>
              <a:ln>
                <a:noFill/>
              </a:ln>
              <a:effectLst/>
            </c:spPr>
            <c:extLst>
              <c:ext xmlns:c16="http://schemas.microsoft.com/office/drawing/2014/chart" uri="{C3380CC4-5D6E-409C-BE32-E72D297353CC}">
                <c16:uniqueId val="{00000003-C8A6-314F-9E75-B043E00CFE30}"/>
              </c:ext>
            </c:extLst>
          </c:dPt>
          <c:dPt>
            <c:idx val="3"/>
            <c:invertIfNegative val="0"/>
            <c:bubble3D val="0"/>
            <c:spPr>
              <a:solidFill>
                <a:srgbClr val="73FEFF"/>
              </a:solidFill>
              <a:ln>
                <a:noFill/>
              </a:ln>
              <a:effectLst/>
            </c:spPr>
            <c:extLst>
              <c:ext xmlns:c16="http://schemas.microsoft.com/office/drawing/2014/chart" uri="{C3380CC4-5D6E-409C-BE32-E72D297353CC}">
                <c16:uniqueId val="{00000004-C8A6-314F-9E75-B043E00CFE30}"/>
              </c:ext>
            </c:extLst>
          </c:dPt>
          <c:dPt>
            <c:idx val="4"/>
            <c:invertIfNegative val="0"/>
            <c:bubble3D val="0"/>
            <c:spPr>
              <a:solidFill>
                <a:srgbClr val="9437FF"/>
              </a:solidFill>
              <a:ln>
                <a:noFill/>
              </a:ln>
              <a:effectLst/>
            </c:spPr>
            <c:extLst>
              <c:ext xmlns:c16="http://schemas.microsoft.com/office/drawing/2014/chart" uri="{C3380CC4-5D6E-409C-BE32-E72D297353CC}">
                <c16:uniqueId val="{00000005-C8A6-314F-9E75-B043E00CFE30}"/>
              </c:ext>
            </c:extLst>
          </c:dPt>
          <c:dPt>
            <c:idx val="5"/>
            <c:invertIfNegative val="0"/>
            <c:bubble3D val="0"/>
            <c:spPr>
              <a:solidFill>
                <a:srgbClr val="0096FF"/>
              </a:solidFill>
              <a:ln>
                <a:noFill/>
              </a:ln>
              <a:effectLst/>
            </c:spPr>
            <c:extLst>
              <c:ext xmlns:c16="http://schemas.microsoft.com/office/drawing/2014/chart" uri="{C3380CC4-5D6E-409C-BE32-E72D297353CC}">
                <c16:uniqueId val="{00000006-C8A6-314F-9E75-B043E00CFE30}"/>
              </c:ext>
            </c:extLst>
          </c:dPt>
          <c:dPt>
            <c:idx val="6"/>
            <c:invertIfNegative val="0"/>
            <c:bubble3D val="0"/>
            <c:spPr>
              <a:solidFill>
                <a:srgbClr val="FFD579"/>
              </a:solidFill>
              <a:ln>
                <a:noFill/>
              </a:ln>
              <a:effectLst/>
            </c:spPr>
            <c:extLst>
              <c:ext xmlns:c16="http://schemas.microsoft.com/office/drawing/2014/chart" uri="{C3380CC4-5D6E-409C-BE32-E72D297353CC}">
                <c16:uniqueId val="{00000007-C8A6-314F-9E75-B043E00CFE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Sheet24!$F$16:$F$23</c:f>
              <c:strCache>
                <c:ptCount val="7"/>
                <c:pt idx="0">
                  <c:v>Sunday</c:v>
                </c:pt>
                <c:pt idx="1">
                  <c:v>Monday</c:v>
                </c:pt>
                <c:pt idx="2">
                  <c:v>Tuesday</c:v>
                </c:pt>
                <c:pt idx="3">
                  <c:v>Wednesday</c:v>
                </c:pt>
                <c:pt idx="4">
                  <c:v>Thursday</c:v>
                </c:pt>
                <c:pt idx="5">
                  <c:v>Friday</c:v>
                </c:pt>
                <c:pt idx="6">
                  <c:v>Saturday</c:v>
                </c:pt>
              </c:strCache>
            </c:strRef>
          </c:cat>
          <c:val>
            <c:numRef>
              <c:f>Sheet24!$G$16:$G$23</c:f>
              <c:numCache>
                <c:formatCode>General</c:formatCode>
                <c:ptCount val="7"/>
                <c:pt idx="0">
                  <c:v>14</c:v>
                </c:pt>
                <c:pt idx="1">
                  <c:v>18</c:v>
                </c:pt>
                <c:pt idx="2">
                  <c:v>25</c:v>
                </c:pt>
                <c:pt idx="3">
                  <c:v>23</c:v>
                </c:pt>
                <c:pt idx="4">
                  <c:v>21</c:v>
                </c:pt>
                <c:pt idx="5">
                  <c:v>12</c:v>
                </c:pt>
                <c:pt idx="6">
                  <c:v>7</c:v>
                </c:pt>
              </c:numCache>
            </c:numRef>
          </c:val>
          <c:extLst>
            <c:ext xmlns:c16="http://schemas.microsoft.com/office/drawing/2014/chart" uri="{C3380CC4-5D6E-409C-BE32-E72D297353CC}">
              <c16:uniqueId val="{00000000-C8A6-314F-9E75-B043E00CFE30}"/>
            </c:ext>
          </c:extLst>
        </c:ser>
        <c:dLbls>
          <c:showLegendKey val="0"/>
          <c:showVal val="0"/>
          <c:showCatName val="0"/>
          <c:showSerName val="0"/>
          <c:showPercent val="0"/>
          <c:showBubbleSize val="0"/>
        </c:dLbls>
        <c:gapWidth val="219"/>
        <c:overlap val="-27"/>
        <c:axId val="1181769695"/>
        <c:axId val="1182089519"/>
      </c:barChart>
      <c:catAx>
        <c:axId val="118176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2089519"/>
        <c:crosses val="autoZero"/>
        <c:auto val="1"/>
        <c:lblAlgn val="ctr"/>
        <c:lblOffset val="100"/>
        <c:noMultiLvlLbl val="0"/>
      </c:catAx>
      <c:valAx>
        <c:axId val="118208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817696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[Portofolio Excel.xlsx]Sheet24!PivotTable31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Airlines</a:t>
            </a:r>
            <a:r>
              <a:rPr lang="en-US" b="1" baseline="0">
                <a:solidFill>
                  <a:schemeClr val="bg1"/>
                </a:solidFill>
              </a:rPr>
              <a:t> Percentage</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s>
    <c:plotArea>
      <c:layout/>
      <c:pieChart>
        <c:varyColors val="1"/>
        <c:ser>
          <c:idx val="0"/>
          <c:order val="0"/>
          <c:tx>
            <c:strRef>
              <c:f>Sheet24!$G$26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C4-F340-B75A-3E4CE59F58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C4-F340-B75A-3E4CE59F585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C4-F340-B75A-3E4CE59F585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C4-F340-B75A-3E4CE59F585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C4-F340-B75A-3E4CE59F585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C4-F340-B75A-3E4CE59F585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EC4-F340-B75A-3E4CE59F585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EC4-F340-B75A-3E4CE59F585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EC4-F340-B75A-3E4CE59F585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EC4-F340-B75A-3E4CE59F585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EC4-F340-B75A-3E4CE59F585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EC4-F340-B75A-3E4CE59F585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EC4-F340-B75A-3E4CE59F585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EC4-F340-B75A-3E4CE59F585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EC4-F340-B75A-3E4CE59F585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EC4-F340-B75A-3E4CE59F585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EC4-F340-B75A-3E4CE59F585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EC4-F340-B75A-3E4CE59F585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EC4-F340-B75A-3E4CE59F585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EC4-F340-B75A-3E4CE59F585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EC4-F340-B75A-3E4CE59F5852}"/>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EC4-F340-B75A-3E4CE59F5852}"/>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Sheet24!$F$27:$F$49</c:f>
              <c:strCache>
                <c:ptCount val="22"/>
                <c:pt idx="0">
                  <c:v>Air France Airlines</c:v>
                </c:pt>
                <c:pt idx="1">
                  <c:v>Airfast </c:v>
                </c:pt>
                <c:pt idx="2">
                  <c:v>All Nippon Airways</c:v>
                </c:pt>
                <c:pt idx="3">
                  <c:v>Batik Air</c:v>
                </c:pt>
                <c:pt idx="4">
                  <c:v>Cathay Pacific Airlines</c:v>
                </c:pt>
                <c:pt idx="5">
                  <c:v>Citilink</c:v>
                </c:pt>
                <c:pt idx="6">
                  <c:v>Emirates </c:v>
                </c:pt>
                <c:pt idx="7">
                  <c:v>Garuda Indonesia</c:v>
                </c:pt>
                <c:pt idx="8">
                  <c:v>Indonesia AirAsia</c:v>
                </c:pt>
                <c:pt idx="9">
                  <c:v>Japan Airlines </c:v>
                </c:pt>
                <c:pt idx="10">
                  <c:v>Lion Air</c:v>
                </c:pt>
                <c:pt idx="11">
                  <c:v>Malaysia Airlines</c:v>
                </c:pt>
                <c:pt idx="12">
                  <c:v>NAM Air</c:v>
                </c:pt>
                <c:pt idx="13">
                  <c:v>Pelita Air</c:v>
                </c:pt>
                <c:pt idx="14">
                  <c:v>Qatar Airways</c:v>
                </c:pt>
                <c:pt idx="15">
                  <c:v>Saudia Airlines</c:v>
                </c:pt>
                <c:pt idx="16">
                  <c:v>Singapore Airlines</c:v>
                </c:pt>
                <c:pt idx="17">
                  <c:v>Sriwijaya Air</c:v>
                </c:pt>
                <c:pt idx="18">
                  <c:v>Super Air Jet</c:v>
                </c:pt>
                <c:pt idx="19">
                  <c:v>Thai Airways International Airlines</c:v>
                </c:pt>
                <c:pt idx="20">
                  <c:v>Transnusa</c:v>
                </c:pt>
                <c:pt idx="21">
                  <c:v>Turkish Airlines</c:v>
                </c:pt>
              </c:strCache>
            </c:strRef>
          </c:cat>
          <c:val>
            <c:numRef>
              <c:f>Sheet24!$G$27:$G$49</c:f>
              <c:numCache>
                <c:formatCode>General</c:formatCode>
                <c:ptCount val="22"/>
                <c:pt idx="0">
                  <c:v>4</c:v>
                </c:pt>
                <c:pt idx="1">
                  <c:v>4</c:v>
                </c:pt>
                <c:pt idx="2">
                  <c:v>4</c:v>
                </c:pt>
                <c:pt idx="3">
                  <c:v>11</c:v>
                </c:pt>
                <c:pt idx="4">
                  <c:v>7</c:v>
                </c:pt>
                <c:pt idx="5">
                  <c:v>3</c:v>
                </c:pt>
                <c:pt idx="6">
                  <c:v>10</c:v>
                </c:pt>
                <c:pt idx="7">
                  <c:v>12</c:v>
                </c:pt>
                <c:pt idx="8">
                  <c:v>7</c:v>
                </c:pt>
                <c:pt idx="9">
                  <c:v>2</c:v>
                </c:pt>
                <c:pt idx="10">
                  <c:v>8</c:v>
                </c:pt>
                <c:pt idx="11">
                  <c:v>4</c:v>
                </c:pt>
                <c:pt idx="12">
                  <c:v>3</c:v>
                </c:pt>
                <c:pt idx="13">
                  <c:v>2</c:v>
                </c:pt>
                <c:pt idx="14">
                  <c:v>5</c:v>
                </c:pt>
                <c:pt idx="15">
                  <c:v>5</c:v>
                </c:pt>
                <c:pt idx="16">
                  <c:v>8</c:v>
                </c:pt>
                <c:pt idx="17">
                  <c:v>4</c:v>
                </c:pt>
                <c:pt idx="18">
                  <c:v>4</c:v>
                </c:pt>
                <c:pt idx="19">
                  <c:v>5</c:v>
                </c:pt>
                <c:pt idx="20">
                  <c:v>1</c:v>
                </c:pt>
                <c:pt idx="21">
                  <c:v>7</c:v>
                </c:pt>
              </c:numCache>
            </c:numRef>
          </c:val>
          <c:extLst>
            <c:ext xmlns:c16="http://schemas.microsoft.com/office/drawing/2014/chart" uri="{C3380CC4-5D6E-409C-BE32-E72D297353CC}">
              <c16:uniqueId val="{0000002C-0EC4-F340-B75A-3E4CE59F585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78">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defRPr sz="900" b="0" kern="1200" cap="all" spc="120" normalizeH="0" baseline="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styleClr val="auto"/>
    </cs:effectRef>
    <cs:fontRef idx="minor">
      <a:schemeClr val="tx1"/>
    </cs:fontRef>
    <cs:spPr>
      <a:pattFill prst="ltUpDiag">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tx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solidFill>
        <a:schemeClr val="lt1"/>
      </a:solidFill>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solidFill>
        <a:schemeClr val="lt1"/>
      </a:solidFill>
    </cs:spPr>
  </cs:wall>
</cs:chartStyle>
</file>

<file path=xl/charts/style10.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FA9356C-5932-9D45-80AB-355427C8E7FE}">
  <sheetPr codeName="Chart5">
    <tabColor theme="8" tint="0.39997558519241921"/>
  </sheetPr>
  <sheetViews>
    <sheetView zoomScale="60" workbookViewId="0" zoomToFit="1"/>
  </sheetViews>
  <pageMargins left="0.7" right="0.7" top="0.75" bottom="0.75" header="0.3" footer="0.3"/>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xdr:col>
      <xdr:colOff>1312332</xdr:colOff>
      <xdr:row>25</xdr:row>
      <xdr:rowOff>382209</xdr:rowOff>
    </xdr:from>
    <xdr:to>
      <xdr:col>6</xdr:col>
      <xdr:colOff>1834443</xdr:colOff>
      <xdr:row>34</xdr:row>
      <xdr:rowOff>0</xdr:rowOff>
    </xdr:to>
    <xdr:graphicFrame macro="">
      <xdr:nvGraphicFramePr>
        <xdr:cNvPr id="4" name="Chart 3">
          <a:extLst>
            <a:ext uri="{FF2B5EF4-FFF2-40B4-BE49-F238E27FC236}">
              <a16:creationId xmlns:a16="http://schemas.microsoft.com/office/drawing/2014/main" id="{DD19B684-CF7C-89F2-5CDD-09F8D980DE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1272016</xdr:colOff>
      <xdr:row>35</xdr:row>
      <xdr:rowOff>19353</xdr:rowOff>
    </xdr:from>
    <xdr:to>
      <xdr:col>6</xdr:col>
      <xdr:colOff>1773967</xdr:colOff>
      <xdr:row>43</xdr:row>
      <xdr:rowOff>181428</xdr:rowOff>
    </xdr:to>
    <xdr:graphicFrame macro="">
      <xdr:nvGraphicFramePr>
        <xdr:cNvPr id="5" name="Chart 4">
          <a:extLst>
            <a:ext uri="{FF2B5EF4-FFF2-40B4-BE49-F238E27FC236}">
              <a16:creationId xmlns:a16="http://schemas.microsoft.com/office/drawing/2014/main" id="{489E265C-17D7-ECC0-9192-9589453699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42333</xdr:colOff>
      <xdr:row>16</xdr:row>
      <xdr:rowOff>462843</xdr:rowOff>
    </xdr:from>
    <xdr:to>
      <xdr:col>14</xdr:col>
      <xdr:colOff>0</xdr:colOff>
      <xdr:row>24</xdr:row>
      <xdr:rowOff>80634</xdr:rowOff>
    </xdr:to>
    <xdr:graphicFrame macro="">
      <xdr:nvGraphicFramePr>
        <xdr:cNvPr id="6" name="Chart 5">
          <a:extLst>
            <a:ext uri="{FF2B5EF4-FFF2-40B4-BE49-F238E27FC236}">
              <a16:creationId xmlns:a16="http://schemas.microsoft.com/office/drawing/2014/main" id="{B518885B-FB02-19F3-BADF-B1EC5CFBD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62492</xdr:colOff>
      <xdr:row>24</xdr:row>
      <xdr:rowOff>523321</xdr:rowOff>
    </xdr:from>
    <xdr:to>
      <xdr:col>13</xdr:col>
      <xdr:colOff>1028095</xdr:colOff>
      <xdr:row>32</xdr:row>
      <xdr:rowOff>161270</xdr:rowOff>
    </xdr:to>
    <xdr:graphicFrame macro="">
      <xdr:nvGraphicFramePr>
        <xdr:cNvPr id="8" name="Chart 7">
          <a:extLst>
            <a:ext uri="{FF2B5EF4-FFF2-40B4-BE49-F238E27FC236}">
              <a16:creationId xmlns:a16="http://schemas.microsoft.com/office/drawing/2014/main" id="{8A76F1AB-B030-0844-F864-479116BA5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42335</xdr:colOff>
      <xdr:row>12</xdr:row>
      <xdr:rowOff>523321</xdr:rowOff>
    </xdr:from>
    <xdr:to>
      <xdr:col>24</xdr:col>
      <xdr:colOff>0</xdr:colOff>
      <xdr:row>20</xdr:row>
      <xdr:rowOff>120953</xdr:rowOff>
    </xdr:to>
    <xdr:graphicFrame macro="">
      <xdr:nvGraphicFramePr>
        <xdr:cNvPr id="9" name="Chart 8">
          <a:extLst>
            <a:ext uri="{FF2B5EF4-FFF2-40B4-BE49-F238E27FC236}">
              <a16:creationId xmlns:a16="http://schemas.microsoft.com/office/drawing/2014/main" id="{95C50E5D-C088-A627-2AA7-AA54DF9B0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22174</xdr:colOff>
      <xdr:row>21</xdr:row>
      <xdr:rowOff>39510</xdr:rowOff>
    </xdr:from>
    <xdr:to>
      <xdr:col>24</xdr:col>
      <xdr:colOff>0</xdr:colOff>
      <xdr:row>28</xdr:row>
      <xdr:rowOff>241904</xdr:rowOff>
    </xdr:to>
    <xdr:graphicFrame macro="">
      <xdr:nvGraphicFramePr>
        <xdr:cNvPr id="12" name="Chart 11">
          <a:extLst>
            <a:ext uri="{FF2B5EF4-FFF2-40B4-BE49-F238E27FC236}">
              <a16:creationId xmlns:a16="http://schemas.microsoft.com/office/drawing/2014/main" id="{FC7D5076-08B1-4A64-5110-6A768E7D1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330200</xdr:colOff>
      <xdr:row>19</xdr:row>
      <xdr:rowOff>63500</xdr:rowOff>
    </xdr:from>
    <xdr:to>
      <xdr:col>8</xdr:col>
      <xdr:colOff>1473200</xdr:colOff>
      <xdr:row>35</xdr:row>
      <xdr:rowOff>101600</xdr:rowOff>
    </xdr:to>
    <mc:AlternateContent xmlns:mc="http://schemas.openxmlformats.org/markup-compatibility/2006" xmlns:a14="http://schemas.microsoft.com/office/drawing/2010/main">
      <mc:Choice Requires="a14">
        <xdr:graphicFrame macro="">
          <xdr:nvGraphicFramePr>
            <xdr:cNvPr id="2" name="Origin Airport 1">
              <a:extLst>
                <a:ext uri="{FF2B5EF4-FFF2-40B4-BE49-F238E27FC236}">
                  <a16:creationId xmlns:a16="http://schemas.microsoft.com/office/drawing/2014/main" id="{95C1A3A3-7DAE-4E09-582D-DA9AA8827C78}"/>
                </a:ext>
              </a:extLst>
            </xdr:cNvPr>
            <xdr:cNvGraphicFramePr/>
          </xdr:nvGraphicFramePr>
          <xdr:xfrm>
            <a:off x="0" y="0"/>
            <a:ext cx="0" cy="0"/>
          </xdr:xfrm>
          <a:graphic>
            <a:graphicData uri="http://schemas.microsoft.com/office/drawing/2010/slicer">
              <sle:slicer xmlns:sle="http://schemas.microsoft.com/office/drawing/2010/slicer" name="Origin Airport 1"/>
            </a:graphicData>
          </a:graphic>
        </xdr:graphicFrame>
      </mc:Choice>
      <mc:Fallback xmlns="">
        <xdr:sp macro="" textlink="">
          <xdr:nvSpPr>
            <xdr:cNvPr id="0" name=""/>
            <xdr:cNvSpPr>
              <a:spLocks noTextEdit="1"/>
            </xdr:cNvSpPr>
          </xdr:nvSpPr>
          <xdr:spPr>
            <a:xfrm>
              <a:off x="10998200" y="3924300"/>
              <a:ext cx="2781300" cy="3289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368300</xdr:colOff>
      <xdr:row>2</xdr:row>
      <xdr:rowOff>12700</xdr:rowOff>
    </xdr:from>
    <xdr:to>
      <xdr:col>8</xdr:col>
      <xdr:colOff>1308100</xdr:colOff>
      <xdr:row>18</xdr:row>
      <xdr:rowOff>101600</xdr:rowOff>
    </xdr:to>
    <mc:AlternateContent xmlns:mc="http://schemas.openxmlformats.org/markup-compatibility/2006" xmlns:a14="http://schemas.microsoft.com/office/drawing/2010/main">
      <mc:Choice Requires="a14">
        <xdr:graphicFrame macro="">
          <xdr:nvGraphicFramePr>
            <xdr:cNvPr id="3" name="Total Payment">
              <a:extLst>
                <a:ext uri="{FF2B5EF4-FFF2-40B4-BE49-F238E27FC236}">
                  <a16:creationId xmlns:a16="http://schemas.microsoft.com/office/drawing/2014/main" id="{822FE312-1BD2-E229-95DB-3E760A3C6FE7}"/>
                </a:ext>
              </a:extLst>
            </xdr:cNvPr>
            <xdr:cNvGraphicFramePr/>
          </xdr:nvGraphicFramePr>
          <xdr:xfrm>
            <a:off x="0" y="0"/>
            <a:ext cx="0" cy="0"/>
          </xdr:xfrm>
          <a:graphic>
            <a:graphicData uri="http://schemas.microsoft.com/office/drawing/2010/slicer">
              <sle:slicer xmlns:sle="http://schemas.microsoft.com/office/drawing/2010/slicer" name="Total Payment"/>
            </a:graphicData>
          </a:graphic>
        </xdr:graphicFrame>
      </mc:Choice>
      <mc:Fallback xmlns="">
        <xdr:sp macro="" textlink="">
          <xdr:nvSpPr>
            <xdr:cNvPr id="0" name=""/>
            <xdr:cNvSpPr>
              <a:spLocks noTextEdit="1"/>
            </xdr:cNvSpPr>
          </xdr:nvSpPr>
          <xdr:spPr>
            <a:xfrm>
              <a:off x="11036300" y="419100"/>
              <a:ext cx="2578100" cy="3340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absoluteAnchor>
    <xdr:pos x="0" y="0"/>
    <xdr:ext cx="8657167" cy="6286500"/>
    <xdr:graphicFrame macro="">
      <xdr:nvGraphicFramePr>
        <xdr:cNvPr id="2" name="Chart 1">
          <a:extLst>
            <a:ext uri="{FF2B5EF4-FFF2-40B4-BE49-F238E27FC236}">
              <a16:creationId xmlns:a16="http://schemas.microsoft.com/office/drawing/2014/main" id="{0F7BC0D1-9403-FE83-76E9-F14F42FAE8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editAs="oneCell">
    <xdr:from>
      <xdr:col>12</xdr:col>
      <xdr:colOff>16931</xdr:colOff>
      <xdr:row>19</xdr:row>
      <xdr:rowOff>169332</xdr:rowOff>
    </xdr:from>
    <xdr:to>
      <xdr:col>16</xdr:col>
      <xdr:colOff>388510</xdr:colOff>
      <xdr:row>28</xdr:row>
      <xdr:rowOff>16932</xdr:rowOff>
    </xdr:to>
    <xdr:pic>
      <xdr:nvPicPr>
        <xdr:cNvPr id="3" name="Picture 2">
          <a:extLst>
            <a:ext uri="{FF2B5EF4-FFF2-40B4-BE49-F238E27FC236}">
              <a16:creationId xmlns:a16="http://schemas.microsoft.com/office/drawing/2014/main" id="{809C06E1-9D88-9AF3-40C5-6433BA6B82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713198" y="4063999"/>
          <a:ext cx="6801554" cy="1693333"/>
        </a:xfrm>
        <a:prstGeom prst="rect">
          <a:avLst/>
        </a:prstGeom>
      </xdr:spPr>
    </xdr:pic>
    <xdr:clientData/>
  </xdr:twoCellAnchor>
  <xdr:twoCellAnchor editAs="oneCell">
    <xdr:from>
      <xdr:col>11</xdr:col>
      <xdr:colOff>1185332</xdr:colOff>
      <xdr:row>33</xdr:row>
      <xdr:rowOff>0</xdr:rowOff>
    </xdr:from>
    <xdr:to>
      <xdr:col>16</xdr:col>
      <xdr:colOff>1317127</xdr:colOff>
      <xdr:row>57</xdr:row>
      <xdr:rowOff>5182</xdr:rowOff>
    </xdr:to>
    <xdr:pic>
      <xdr:nvPicPr>
        <xdr:cNvPr id="6" name="Picture 5">
          <a:extLst>
            <a:ext uri="{FF2B5EF4-FFF2-40B4-BE49-F238E27FC236}">
              <a16:creationId xmlns:a16="http://schemas.microsoft.com/office/drawing/2014/main" id="{FB55154F-8311-5072-3227-42BCB0282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644532" y="6756400"/>
          <a:ext cx="8060268" cy="49327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18</xdr:col>
      <xdr:colOff>440266</xdr:colOff>
      <xdr:row>53</xdr:row>
      <xdr:rowOff>8465</xdr:rowOff>
    </xdr:from>
    <xdr:to>
      <xdr:col>23</xdr:col>
      <xdr:colOff>1456267</xdr:colOff>
      <xdr:row>71</xdr:row>
      <xdr:rowOff>33867</xdr:rowOff>
    </xdr:to>
    <xdr:graphicFrame macro="">
      <xdr:nvGraphicFramePr>
        <xdr:cNvPr id="2" name="Chart 1">
          <a:extLst>
            <a:ext uri="{FF2B5EF4-FFF2-40B4-BE49-F238E27FC236}">
              <a16:creationId xmlns:a16="http://schemas.microsoft.com/office/drawing/2014/main" id="{655D9B6D-05BF-B143-D0AE-C9CBB9F628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1778000</xdr:colOff>
      <xdr:row>52</xdr:row>
      <xdr:rowOff>194733</xdr:rowOff>
    </xdr:from>
    <xdr:to>
      <xdr:col>27</xdr:col>
      <xdr:colOff>1354667</xdr:colOff>
      <xdr:row>71</xdr:row>
      <xdr:rowOff>33867</xdr:rowOff>
    </xdr:to>
    <xdr:graphicFrame macro="">
      <xdr:nvGraphicFramePr>
        <xdr:cNvPr id="3" name="Chart 2">
          <a:extLst>
            <a:ext uri="{FF2B5EF4-FFF2-40B4-BE49-F238E27FC236}">
              <a16:creationId xmlns:a16="http://schemas.microsoft.com/office/drawing/2014/main" id="{72489657-C3AD-60B4-F76C-8917CE179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440266</xdr:colOff>
      <xdr:row>53</xdr:row>
      <xdr:rowOff>8465</xdr:rowOff>
    </xdr:from>
    <xdr:to>
      <xdr:col>5</xdr:col>
      <xdr:colOff>1456267</xdr:colOff>
      <xdr:row>71</xdr:row>
      <xdr:rowOff>33867</xdr:rowOff>
    </xdr:to>
    <xdr:graphicFrame macro="">
      <xdr:nvGraphicFramePr>
        <xdr:cNvPr id="2" name="Chart 1">
          <a:extLst>
            <a:ext uri="{FF2B5EF4-FFF2-40B4-BE49-F238E27FC236}">
              <a16:creationId xmlns:a16="http://schemas.microsoft.com/office/drawing/2014/main" id="{451EC5A0-3984-674D-8579-9FDB45E3FF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440266</xdr:colOff>
      <xdr:row>53</xdr:row>
      <xdr:rowOff>8465</xdr:rowOff>
    </xdr:from>
    <xdr:to>
      <xdr:col>13</xdr:col>
      <xdr:colOff>1456267</xdr:colOff>
      <xdr:row>71</xdr:row>
      <xdr:rowOff>33867</xdr:rowOff>
    </xdr:to>
    <xdr:graphicFrame macro="">
      <xdr:nvGraphicFramePr>
        <xdr:cNvPr id="3" name="Chart 2">
          <a:extLst>
            <a:ext uri="{FF2B5EF4-FFF2-40B4-BE49-F238E27FC236}">
              <a16:creationId xmlns:a16="http://schemas.microsoft.com/office/drawing/2014/main" id="{4D7680CD-2592-084D-AB82-ED059CF6D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4234</xdr:colOff>
      <xdr:row>19</xdr:row>
      <xdr:rowOff>186266</xdr:rowOff>
    </xdr:from>
    <xdr:to>
      <xdr:col>6</xdr:col>
      <xdr:colOff>1286934</xdr:colOff>
      <xdr:row>35</xdr:row>
      <xdr:rowOff>152400</xdr:rowOff>
    </xdr:to>
    <mc:AlternateContent xmlns:mc="http://schemas.openxmlformats.org/markup-compatibility/2006" xmlns:a14="http://schemas.microsoft.com/office/drawing/2010/main">
      <mc:Choice Requires="a14">
        <xdr:graphicFrame macro="">
          <xdr:nvGraphicFramePr>
            <xdr:cNvPr id="4" name="Origin Airport">
              <a:extLst>
                <a:ext uri="{FF2B5EF4-FFF2-40B4-BE49-F238E27FC236}">
                  <a16:creationId xmlns:a16="http://schemas.microsoft.com/office/drawing/2014/main" id="{C90B1D7E-9AF0-79B5-16B3-E500FB63B7A5}"/>
                </a:ext>
              </a:extLst>
            </xdr:cNvPr>
            <xdr:cNvGraphicFramePr/>
          </xdr:nvGraphicFramePr>
          <xdr:xfrm>
            <a:off x="0" y="0"/>
            <a:ext cx="0" cy="0"/>
          </xdr:xfrm>
          <a:graphic>
            <a:graphicData uri="http://schemas.microsoft.com/office/drawing/2010/slicer">
              <sle:slicer xmlns:sle="http://schemas.microsoft.com/office/drawing/2010/slicer" name="Origin Airport"/>
            </a:graphicData>
          </a:graphic>
        </xdr:graphicFrame>
      </mc:Choice>
      <mc:Fallback xmlns="">
        <xdr:sp macro="" textlink="">
          <xdr:nvSpPr>
            <xdr:cNvPr id="0" name=""/>
            <xdr:cNvSpPr>
              <a:spLocks noTextEdit="1"/>
            </xdr:cNvSpPr>
          </xdr:nvSpPr>
          <xdr:spPr>
            <a:xfrm>
              <a:off x="8826501" y="4047066"/>
              <a:ext cx="2383366" cy="3217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29634</xdr:colOff>
      <xdr:row>3</xdr:row>
      <xdr:rowOff>4234</xdr:rowOff>
    </xdr:from>
    <xdr:to>
      <xdr:col>6</xdr:col>
      <xdr:colOff>1244601</xdr:colOff>
      <xdr:row>18</xdr:row>
      <xdr:rowOff>67734</xdr:rowOff>
    </xdr:to>
    <mc:AlternateContent xmlns:mc="http://schemas.openxmlformats.org/markup-compatibility/2006" xmlns:a14="http://schemas.microsoft.com/office/drawing/2010/main">
      <mc:Choice Requires="a14">
        <xdr:graphicFrame macro="">
          <xdr:nvGraphicFramePr>
            <xdr:cNvPr id="5" name="Airline">
              <a:extLst>
                <a:ext uri="{FF2B5EF4-FFF2-40B4-BE49-F238E27FC236}">
                  <a16:creationId xmlns:a16="http://schemas.microsoft.com/office/drawing/2014/main" id="{B1BB0FED-9174-6971-09F5-BB8C0A6A742D}"/>
                </a:ext>
              </a:extLst>
            </xdr:cNvPr>
            <xdr:cNvGraphicFramePr/>
          </xdr:nvGraphicFramePr>
          <xdr:xfrm>
            <a:off x="0" y="0"/>
            <a:ext cx="0" cy="0"/>
          </xdr:xfrm>
          <a:graphic>
            <a:graphicData uri="http://schemas.microsoft.com/office/drawing/2010/slicer">
              <sle:slicer xmlns:sle="http://schemas.microsoft.com/office/drawing/2010/slicer" name="Airline"/>
            </a:graphicData>
          </a:graphic>
        </xdr:graphicFrame>
      </mc:Choice>
      <mc:Fallback xmlns="">
        <xdr:sp macro="" textlink="">
          <xdr:nvSpPr>
            <xdr:cNvPr id="0" name=""/>
            <xdr:cNvSpPr>
              <a:spLocks noTextEdit="1"/>
            </xdr:cNvSpPr>
          </xdr:nvSpPr>
          <xdr:spPr>
            <a:xfrm>
              <a:off x="8851901" y="613834"/>
              <a:ext cx="2315633" cy="311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1</xdr:row>
      <xdr:rowOff>152400</xdr:rowOff>
    </xdr:from>
    <xdr:to>
      <xdr:col>15</xdr:col>
      <xdr:colOff>88900</xdr:colOff>
      <xdr:row>14</xdr:row>
      <xdr:rowOff>165100</xdr:rowOff>
    </xdr:to>
    <xdr:sp macro="" textlink="">
      <xdr:nvSpPr>
        <xdr:cNvPr id="4" name="Rectangle 3">
          <a:extLst>
            <a:ext uri="{FF2B5EF4-FFF2-40B4-BE49-F238E27FC236}">
              <a16:creationId xmlns:a16="http://schemas.microsoft.com/office/drawing/2014/main" id="{79E385A2-16EC-A54B-BA25-530D19340280}"/>
            </a:ext>
          </a:extLst>
        </xdr:cNvPr>
        <xdr:cNvSpPr/>
      </xdr:nvSpPr>
      <xdr:spPr>
        <a:xfrm>
          <a:off x="4953000" y="355600"/>
          <a:ext cx="4216400" cy="265430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127000</xdr:colOff>
      <xdr:row>1</xdr:row>
      <xdr:rowOff>177800</xdr:rowOff>
    </xdr:from>
    <xdr:to>
      <xdr:col>14</xdr:col>
      <xdr:colOff>787400</xdr:colOff>
      <xdr:row>14</xdr:row>
      <xdr:rowOff>0</xdr:rowOff>
    </xdr:to>
    <xdr:graphicFrame macro="">
      <xdr:nvGraphicFramePr>
        <xdr:cNvPr id="5" name="Chart 4">
          <a:extLst>
            <a:ext uri="{FF2B5EF4-FFF2-40B4-BE49-F238E27FC236}">
              <a16:creationId xmlns:a16="http://schemas.microsoft.com/office/drawing/2014/main" id="{D2DE3CD2-841B-6F42-B086-978BEC7CC4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88900</xdr:colOff>
      <xdr:row>16</xdr:row>
      <xdr:rowOff>88900</xdr:rowOff>
    </xdr:from>
    <xdr:to>
      <xdr:col>14</xdr:col>
      <xdr:colOff>812800</xdr:colOff>
      <xdr:row>28</xdr:row>
      <xdr:rowOff>152400</xdr:rowOff>
    </xdr:to>
    <xdr:sp macro="" textlink="">
      <xdr:nvSpPr>
        <xdr:cNvPr id="7" name="Rectangle 6">
          <a:extLst>
            <a:ext uri="{FF2B5EF4-FFF2-40B4-BE49-F238E27FC236}">
              <a16:creationId xmlns:a16="http://schemas.microsoft.com/office/drawing/2014/main" id="{BB97C978-8A98-4C50-F058-89C8FD4E76F6}"/>
            </a:ext>
          </a:extLst>
        </xdr:cNvPr>
        <xdr:cNvSpPr/>
      </xdr:nvSpPr>
      <xdr:spPr>
        <a:xfrm>
          <a:off x="5041900" y="3340100"/>
          <a:ext cx="4025900" cy="2501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88900</xdr:colOff>
      <xdr:row>31</xdr:row>
      <xdr:rowOff>38100</xdr:rowOff>
    </xdr:from>
    <xdr:to>
      <xdr:col>14</xdr:col>
      <xdr:colOff>812800</xdr:colOff>
      <xdr:row>43</xdr:row>
      <xdr:rowOff>101600</xdr:rowOff>
    </xdr:to>
    <xdr:sp macro="" textlink="">
      <xdr:nvSpPr>
        <xdr:cNvPr id="8" name="Rectangle 7">
          <a:extLst>
            <a:ext uri="{FF2B5EF4-FFF2-40B4-BE49-F238E27FC236}">
              <a16:creationId xmlns:a16="http://schemas.microsoft.com/office/drawing/2014/main" id="{50EAB885-661E-9044-BBD1-FEBC2E7FF75B}"/>
            </a:ext>
          </a:extLst>
        </xdr:cNvPr>
        <xdr:cNvSpPr/>
      </xdr:nvSpPr>
      <xdr:spPr>
        <a:xfrm>
          <a:off x="5041900" y="6337300"/>
          <a:ext cx="4025900" cy="2501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114300</xdr:colOff>
      <xdr:row>16</xdr:row>
      <xdr:rowOff>101600</xdr:rowOff>
    </xdr:from>
    <xdr:to>
      <xdr:col>14</xdr:col>
      <xdr:colOff>812800</xdr:colOff>
      <xdr:row>28</xdr:row>
      <xdr:rowOff>114300</xdr:rowOff>
    </xdr:to>
    <xdr:graphicFrame macro="">
      <xdr:nvGraphicFramePr>
        <xdr:cNvPr id="9" name="Chart 8">
          <a:extLst>
            <a:ext uri="{FF2B5EF4-FFF2-40B4-BE49-F238E27FC236}">
              <a16:creationId xmlns:a16="http://schemas.microsoft.com/office/drawing/2014/main" id="{244F6B30-DE09-4446-8FC7-E55184A5F9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88900</xdr:colOff>
      <xdr:row>31</xdr:row>
      <xdr:rowOff>76200</xdr:rowOff>
    </xdr:from>
    <xdr:to>
      <xdr:col>14</xdr:col>
      <xdr:colOff>800100</xdr:colOff>
      <xdr:row>43</xdr:row>
      <xdr:rowOff>76200</xdr:rowOff>
    </xdr:to>
    <xdr:graphicFrame macro="">
      <xdr:nvGraphicFramePr>
        <xdr:cNvPr id="10" name="Chart 9">
          <a:extLst>
            <a:ext uri="{FF2B5EF4-FFF2-40B4-BE49-F238E27FC236}">
              <a16:creationId xmlns:a16="http://schemas.microsoft.com/office/drawing/2014/main" id="{2EB9BA6B-E6B1-B54D-B062-4C756F66C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63500</xdr:colOff>
      <xdr:row>45</xdr:row>
      <xdr:rowOff>177800</xdr:rowOff>
    </xdr:from>
    <xdr:to>
      <xdr:col>14</xdr:col>
      <xdr:colOff>749300</xdr:colOff>
      <xdr:row>58</xdr:row>
      <xdr:rowOff>12700</xdr:rowOff>
    </xdr:to>
    <xdr:sp macro="" textlink="">
      <xdr:nvSpPr>
        <xdr:cNvPr id="12" name="Rectangle 11">
          <a:extLst>
            <a:ext uri="{FF2B5EF4-FFF2-40B4-BE49-F238E27FC236}">
              <a16:creationId xmlns:a16="http://schemas.microsoft.com/office/drawing/2014/main" id="{9FEAF5D5-E98D-4355-66FB-4CC982B26C79}"/>
            </a:ext>
          </a:extLst>
        </xdr:cNvPr>
        <xdr:cNvSpPr/>
      </xdr:nvSpPr>
      <xdr:spPr>
        <a:xfrm>
          <a:off x="5016500" y="9321800"/>
          <a:ext cx="3987800" cy="2476500"/>
        </a:xfrm>
        <a:prstGeom prst="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639975</xdr:colOff>
      <xdr:row>8</xdr:row>
      <xdr:rowOff>48267</xdr:rowOff>
    </xdr:from>
    <xdr:to>
      <xdr:col>20</xdr:col>
      <xdr:colOff>493621</xdr:colOff>
      <xdr:row>20</xdr:row>
      <xdr:rowOff>133108</xdr:rowOff>
    </xdr:to>
    <xdr:graphicFrame macro="">
      <xdr:nvGraphicFramePr>
        <xdr:cNvPr id="16" name="Chart 15">
          <a:extLst>
            <a:ext uri="{FF2B5EF4-FFF2-40B4-BE49-F238E27FC236}">
              <a16:creationId xmlns:a16="http://schemas.microsoft.com/office/drawing/2014/main" id="{C280C8FC-D1DC-7149-A7E8-604B00B53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357531</xdr:colOff>
      <xdr:row>4</xdr:row>
      <xdr:rowOff>67680</xdr:rowOff>
    </xdr:from>
    <xdr:to>
      <xdr:col>35</xdr:col>
      <xdr:colOff>817623</xdr:colOff>
      <xdr:row>42</xdr:row>
      <xdr:rowOff>51604</xdr:rowOff>
    </xdr:to>
    <xdr:graphicFrame macro="">
      <xdr:nvGraphicFramePr>
        <xdr:cNvPr id="17" name="Chart 16">
          <a:extLst>
            <a:ext uri="{FF2B5EF4-FFF2-40B4-BE49-F238E27FC236}">
              <a16:creationId xmlns:a16="http://schemas.microsoft.com/office/drawing/2014/main" id="{23CDD957-2096-1449-942F-DB8FD7B0F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638629</xdr:colOff>
      <xdr:row>24</xdr:row>
      <xdr:rowOff>93739</xdr:rowOff>
    </xdr:from>
    <xdr:to>
      <xdr:col>20</xdr:col>
      <xdr:colOff>546100</xdr:colOff>
      <xdr:row>36</xdr:row>
      <xdr:rowOff>190500</xdr:rowOff>
    </xdr:to>
    <xdr:graphicFrame macro="">
      <xdr:nvGraphicFramePr>
        <xdr:cNvPr id="18" name="Chart 17">
          <a:extLst>
            <a:ext uri="{FF2B5EF4-FFF2-40B4-BE49-F238E27FC236}">
              <a16:creationId xmlns:a16="http://schemas.microsoft.com/office/drawing/2014/main" id="{92E0C78C-938B-8D49-9426-5AE752450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762000</xdr:colOff>
      <xdr:row>3</xdr:row>
      <xdr:rowOff>76200</xdr:rowOff>
    </xdr:from>
    <xdr:to>
      <xdr:col>9</xdr:col>
      <xdr:colOff>114300</xdr:colOff>
      <xdr:row>9</xdr:row>
      <xdr:rowOff>152400</xdr:rowOff>
    </xdr:to>
    <mc:AlternateContent xmlns:mc="http://schemas.openxmlformats.org/markup-compatibility/2006" xmlns:a14="http://schemas.microsoft.com/office/drawing/2010/main">
      <mc:Choice Requires="a14">
        <xdr:graphicFrame macro="">
          <xdr:nvGraphicFramePr>
            <xdr:cNvPr id="29" name="Remarks">
              <a:extLst>
                <a:ext uri="{FF2B5EF4-FFF2-40B4-BE49-F238E27FC236}">
                  <a16:creationId xmlns:a16="http://schemas.microsoft.com/office/drawing/2014/main" id="{2F41B49F-546C-4A9C-6308-D3931C01399F}"/>
                </a:ext>
              </a:extLst>
            </xdr:cNvPr>
            <xdr:cNvGraphicFramePr/>
          </xdr:nvGraphicFramePr>
          <xdr:xfrm>
            <a:off x="0" y="0"/>
            <a:ext cx="0" cy="0"/>
          </xdr:xfrm>
          <a:graphic>
            <a:graphicData uri="http://schemas.microsoft.com/office/drawing/2010/slicer">
              <sle:slicer xmlns:sle="http://schemas.microsoft.com/office/drawing/2010/slicer" name="Remarks"/>
            </a:graphicData>
          </a:graphic>
        </xdr:graphicFrame>
      </mc:Choice>
      <mc:Fallback xmlns="">
        <xdr:sp macro="" textlink="">
          <xdr:nvSpPr>
            <xdr:cNvPr id="0" name=""/>
            <xdr:cNvSpPr>
              <a:spLocks noTextEdit="1"/>
            </xdr:cNvSpPr>
          </xdr:nvSpPr>
          <xdr:spPr>
            <a:xfrm>
              <a:off x="5740400" y="685800"/>
              <a:ext cx="18415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127000</xdr:colOff>
      <xdr:row>11</xdr:row>
      <xdr:rowOff>50800</xdr:rowOff>
    </xdr:from>
    <xdr:to>
      <xdr:col>5</xdr:col>
      <xdr:colOff>812800</xdr:colOff>
      <xdr:row>16</xdr:row>
      <xdr:rowOff>12700</xdr:rowOff>
    </xdr:to>
    <mc:AlternateContent xmlns:mc="http://schemas.openxmlformats.org/markup-compatibility/2006" xmlns:a14="http://schemas.microsoft.com/office/drawing/2010/main">
      <mc:Choice Requires="a14">
        <xdr:graphicFrame macro="">
          <xdr:nvGraphicFramePr>
            <xdr:cNvPr id="30" name="Origin Airport 3">
              <a:extLst>
                <a:ext uri="{FF2B5EF4-FFF2-40B4-BE49-F238E27FC236}">
                  <a16:creationId xmlns:a16="http://schemas.microsoft.com/office/drawing/2014/main" id="{C1CB074A-C03E-8183-EEC3-E524784A88B7}"/>
                </a:ext>
              </a:extLst>
            </xdr:cNvPr>
            <xdr:cNvGraphicFramePr/>
          </xdr:nvGraphicFramePr>
          <xdr:xfrm>
            <a:off x="0" y="0"/>
            <a:ext cx="0" cy="0"/>
          </xdr:xfrm>
          <a:graphic>
            <a:graphicData uri="http://schemas.microsoft.com/office/drawing/2010/slicer">
              <sle:slicer xmlns:sle="http://schemas.microsoft.com/office/drawing/2010/slicer" name="Origin Airport 3"/>
            </a:graphicData>
          </a:graphic>
        </xdr:graphicFrame>
      </mc:Choice>
      <mc:Fallback xmlns="">
        <xdr:sp macro="" textlink="">
          <xdr:nvSpPr>
            <xdr:cNvPr id="0" name=""/>
            <xdr:cNvSpPr>
              <a:spLocks noTextEdit="1"/>
            </xdr:cNvSpPr>
          </xdr:nvSpPr>
          <xdr:spPr>
            <a:xfrm>
              <a:off x="1786467" y="2286000"/>
              <a:ext cx="3175000" cy="977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139700</xdr:colOff>
      <xdr:row>17</xdr:row>
      <xdr:rowOff>152400</xdr:rowOff>
    </xdr:from>
    <xdr:to>
      <xdr:col>9</xdr:col>
      <xdr:colOff>0</xdr:colOff>
      <xdr:row>36</xdr:row>
      <xdr:rowOff>25400</xdr:rowOff>
    </xdr:to>
    <mc:AlternateContent xmlns:mc="http://schemas.openxmlformats.org/markup-compatibility/2006" xmlns:a14="http://schemas.microsoft.com/office/drawing/2010/main">
      <mc:Choice Requires="a14">
        <xdr:graphicFrame macro="">
          <xdr:nvGraphicFramePr>
            <xdr:cNvPr id="31" name="Destination Aiport (Domestic)">
              <a:extLst>
                <a:ext uri="{FF2B5EF4-FFF2-40B4-BE49-F238E27FC236}">
                  <a16:creationId xmlns:a16="http://schemas.microsoft.com/office/drawing/2014/main" id="{3D5A2CDE-D70A-43A5-264F-DFBBF272400D}"/>
                </a:ext>
              </a:extLst>
            </xdr:cNvPr>
            <xdr:cNvGraphicFramePr/>
          </xdr:nvGraphicFramePr>
          <xdr:xfrm>
            <a:off x="0" y="0"/>
            <a:ext cx="0" cy="0"/>
          </xdr:xfrm>
          <a:graphic>
            <a:graphicData uri="http://schemas.microsoft.com/office/drawing/2010/slicer">
              <sle:slicer xmlns:sle="http://schemas.microsoft.com/office/drawing/2010/slicer" name="Destination Aiport (Domestic)"/>
            </a:graphicData>
          </a:graphic>
        </xdr:graphicFrame>
      </mc:Choice>
      <mc:Fallback xmlns="">
        <xdr:sp macro="" textlink="">
          <xdr:nvSpPr>
            <xdr:cNvPr id="0" name=""/>
            <xdr:cNvSpPr>
              <a:spLocks noTextEdit="1"/>
            </xdr:cNvSpPr>
          </xdr:nvSpPr>
          <xdr:spPr>
            <a:xfrm>
              <a:off x="1799167" y="3606800"/>
              <a:ext cx="5668433" cy="373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127000</xdr:colOff>
      <xdr:row>3</xdr:row>
      <xdr:rowOff>38100</xdr:rowOff>
    </xdr:from>
    <xdr:to>
      <xdr:col>6</xdr:col>
      <xdr:colOff>0</xdr:colOff>
      <xdr:row>9</xdr:row>
      <xdr:rowOff>165100</xdr:rowOff>
    </xdr:to>
    <mc:AlternateContent xmlns:mc="http://schemas.openxmlformats.org/markup-compatibility/2006" xmlns:a14="http://schemas.microsoft.com/office/drawing/2010/main">
      <mc:Choice Requires="a14">
        <xdr:graphicFrame macro="">
          <xdr:nvGraphicFramePr>
            <xdr:cNvPr id="33" name="Arrival Date">
              <a:extLst>
                <a:ext uri="{FF2B5EF4-FFF2-40B4-BE49-F238E27FC236}">
                  <a16:creationId xmlns:a16="http://schemas.microsoft.com/office/drawing/2014/main" id="{FF005364-CB55-1097-0D42-70F730ED29F4}"/>
                </a:ext>
              </a:extLst>
            </xdr:cNvPr>
            <xdr:cNvGraphicFramePr/>
          </xdr:nvGraphicFramePr>
          <xdr:xfrm>
            <a:off x="0" y="0"/>
            <a:ext cx="0" cy="0"/>
          </xdr:xfrm>
          <a:graphic>
            <a:graphicData uri="http://schemas.microsoft.com/office/drawing/2010/slicer">
              <sle:slicer xmlns:sle="http://schemas.microsoft.com/office/drawing/2010/slicer" name="Arrival Date"/>
            </a:graphicData>
          </a:graphic>
        </xdr:graphicFrame>
      </mc:Choice>
      <mc:Fallback xmlns="">
        <xdr:sp macro="" textlink="">
          <xdr:nvSpPr>
            <xdr:cNvPr id="0" name=""/>
            <xdr:cNvSpPr>
              <a:spLocks noTextEdit="1"/>
            </xdr:cNvSpPr>
          </xdr:nvSpPr>
          <xdr:spPr>
            <a:xfrm>
              <a:off x="1786467" y="647700"/>
              <a:ext cx="3191933" cy="1346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152400</xdr:colOff>
      <xdr:row>37</xdr:row>
      <xdr:rowOff>190500</xdr:rowOff>
    </xdr:from>
    <xdr:to>
      <xdr:col>8</xdr:col>
      <xdr:colOff>800100</xdr:colOff>
      <xdr:row>52</xdr:row>
      <xdr:rowOff>165100</xdr:rowOff>
    </xdr:to>
    <mc:AlternateContent xmlns:mc="http://schemas.openxmlformats.org/markup-compatibility/2006" xmlns:a14="http://schemas.microsoft.com/office/drawing/2010/main">
      <mc:Choice Requires="a14">
        <xdr:graphicFrame macro="">
          <xdr:nvGraphicFramePr>
            <xdr:cNvPr id="34" name="Airline 1">
              <a:extLst>
                <a:ext uri="{FF2B5EF4-FFF2-40B4-BE49-F238E27FC236}">
                  <a16:creationId xmlns:a16="http://schemas.microsoft.com/office/drawing/2014/main" id="{03DC6F1E-A1EC-EE73-E5AD-F5A5C3CC7A2C}"/>
                </a:ext>
              </a:extLst>
            </xdr:cNvPr>
            <xdr:cNvGraphicFramePr/>
          </xdr:nvGraphicFramePr>
          <xdr:xfrm>
            <a:off x="0" y="0"/>
            <a:ext cx="0" cy="0"/>
          </xdr:xfrm>
          <a:graphic>
            <a:graphicData uri="http://schemas.microsoft.com/office/drawing/2010/slicer">
              <sle:slicer xmlns:sle="http://schemas.microsoft.com/office/drawing/2010/slicer" name="Airline 1"/>
            </a:graphicData>
          </a:graphic>
        </xdr:graphicFrame>
      </mc:Choice>
      <mc:Fallback xmlns="">
        <xdr:sp macro="" textlink="">
          <xdr:nvSpPr>
            <xdr:cNvPr id="0" name=""/>
            <xdr:cNvSpPr>
              <a:spLocks noTextEdit="1"/>
            </xdr:cNvSpPr>
          </xdr:nvSpPr>
          <xdr:spPr>
            <a:xfrm>
              <a:off x="1811867" y="7708900"/>
              <a:ext cx="5626100" cy="3022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6</xdr:col>
      <xdr:colOff>787400</xdr:colOff>
      <xdr:row>3</xdr:row>
      <xdr:rowOff>101600</xdr:rowOff>
    </xdr:from>
    <xdr:to>
      <xdr:col>12</xdr:col>
      <xdr:colOff>812800</xdr:colOff>
      <xdr:row>18</xdr:row>
      <xdr:rowOff>114300</xdr:rowOff>
    </xdr:to>
    <xdr:graphicFrame macro="">
      <xdr:nvGraphicFramePr>
        <xdr:cNvPr id="2" name="Chart 1">
          <a:extLst>
            <a:ext uri="{FF2B5EF4-FFF2-40B4-BE49-F238E27FC236}">
              <a16:creationId xmlns:a16="http://schemas.microsoft.com/office/drawing/2014/main" id="{B293D1FE-7E24-914E-B31B-1E4488506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21</xdr:row>
      <xdr:rowOff>0</xdr:rowOff>
    </xdr:from>
    <xdr:to>
      <xdr:col>12</xdr:col>
      <xdr:colOff>812800</xdr:colOff>
      <xdr:row>35</xdr:row>
      <xdr:rowOff>76200</xdr:rowOff>
    </xdr:to>
    <xdr:graphicFrame macro="">
      <xdr:nvGraphicFramePr>
        <xdr:cNvPr id="3" name="Chart 2">
          <a:extLst>
            <a:ext uri="{FF2B5EF4-FFF2-40B4-BE49-F238E27FC236}">
              <a16:creationId xmlns:a16="http://schemas.microsoft.com/office/drawing/2014/main" id="{1CCF5D9F-93D2-0544-B461-8561AC9265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38</xdr:row>
      <xdr:rowOff>0</xdr:rowOff>
    </xdr:from>
    <xdr:to>
      <xdr:col>12</xdr:col>
      <xdr:colOff>812800</xdr:colOff>
      <xdr:row>52</xdr:row>
      <xdr:rowOff>101600</xdr:rowOff>
    </xdr:to>
    <xdr:graphicFrame macro="">
      <xdr:nvGraphicFramePr>
        <xdr:cNvPr id="4" name="Chart 3">
          <a:extLst>
            <a:ext uri="{FF2B5EF4-FFF2-40B4-BE49-F238E27FC236}">
              <a16:creationId xmlns:a16="http://schemas.microsoft.com/office/drawing/2014/main" id="{272637EA-45FE-934C-9F16-B3D863B75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304800</xdr:colOff>
      <xdr:row>6</xdr:row>
      <xdr:rowOff>50800</xdr:rowOff>
    </xdr:from>
    <xdr:to>
      <xdr:col>31</xdr:col>
      <xdr:colOff>774700</xdr:colOff>
      <xdr:row>53</xdr:row>
      <xdr:rowOff>12700</xdr:rowOff>
    </xdr:to>
    <xdr:graphicFrame macro="">
      <xdr:nvGraphicFramePr>
        <xdr:cNvPr id="5" name="Chart 4">
          <a:extLst>
            <a:ext uri="{FF2B5EF4-FFF2-40B4-BE49-F238E27FC236}">
              <a16:creationId xmlns:a16="http://schemas.microsoft.com/office/drawing/2014/main" id="{C6774EAF-435E-674F-988C-ECCEB8E99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716363</xdr:colOff>
      <xdr:row>3</xdr:row>
      <xdr:rowOff>57925</xdr:rowOff>
    </xdr:from>
    <xdr:to>
      <xdr:col>3</xdr:col>
      <xdr:colOff>68662</xdr:colOff>
      <xdr:row>7</xdr:row>
      <xdr:rowOff>195767</xdr:rowOff>
    </xdr:to>
    <mc:AlternateContent xmlns:mc="http://schemas.openxmlformats.org/markup-compatibility/2006" xmlns:a14="http://schemas.microsoft.com/office/drawing/2010/main">
      <mc:Choice Requires="a14">
        <xdr:graphicFrame macro="">
          <xdr:nvGraphicFramePr>
            <xdr:cNvPr id="6" name="Remarks 1">
              <a:extLst>
                <a:ext uri="{FF2B5EF4-FFF2-40B4-BE49-F238E27FC236}">
                  <a16:creationId xmlns:a16="http://schemas.microsoft.com/office/drawing/2014/main" id="{BCFA9568-44EC-ECD3-DEC0-3DB164A2E4D7}"/>
                </a:ext>
              </a:extLst>
            </xdr:cNvPr>
            <xdr:cNvGraphicFramePr/>
          </xdr:nvGraphicFramePr>
          <xdr:xfrm>
            <a:off x="0" y="0"/>
            <a:ext cx="0" cy="0"/>
          </xdr:xfrm>
          <a:graphic>
            <a:graphicData uri="http://schemas.microsoft.com/office/drawing/2010/slicer">
              <sle:slicer xmlns:sle="http://schemas.microsoft.com/office/drawing/2010/slicer" name="Remarks 1"/>
            </a:graphicData>
          </a:graphic>
        </xdr:graphicFrame>
      </mc:Choice>
      <mc:Fallback xmlns="">
        <xdr:sp macro="" textlink="">
          <xdr:nvSpPr>
            <xdr:cNvPr id="0" name=""/>
            <xdr:cNvSpPr>
              <a:spLocks noTextEdit="1"/>
            </xdr:cNvSpPr>
          </xdr:nvSpPr>
          <xdr:spPr>
            <a:xfrm>
              <a:off x="716363" y="650592"/>
              <a:ext cx="1849966" cy="9280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319564</xdr:colOff>
      <xdr:row>3</xdr:row>
      <xdr:rowOff>61331</xdr:rowOff>
    </xdr:from>
    <xdr:to>
      <xdr:col>5</xdr:col>
      <xdr:colOff>769227</xdr:colOff>
      <xdr:row>7</xdr:row>
      <xdr:rowOff>185855</xdr:rowOff>
    </xdr:to>
    <mc:AlternateContent xmlns:mc="http://schemas.openxmlformats.org/markup-compatibility/2006" xmlns:a14="http://schemas.microsoft.com/office/drawing/2010/main">
      <mc:Choice Requires="a14">
        <xdr:graphicFrame macro="">
          <xdr:nvGraphicFramePr>
            <xdr:cNvPr id="7" name="Origin Airport 4">
              <a:extLst>
                <a:ext uri="{FF2B5EF4-FFF2-40B4-BE49-F238E27FC236}">
                  <a16:creationId xmlns:a16="http://schemas.microsoft.com/office/drawing/2014/main" id="{FB417FA2-9D71-7ED3-EDF8-2151D806BE23}"/>
                </a:ext>
              </a:extLst>
            </xdr:cNvPr>
            <xdr:cNvGraphicFramePr/>
          </xdr:nvGraphicFramePr>
          <xdr:xfrm>
            <a:off x="0" y="0"/>
            <a:ext cx="0" cy="0"/>
          </xdr:xfrm>
          <a:graphic>
            <a:graphicData uri="http://schemas.microsoft.com/office/drawing/2010/slicer">
              <sle:slicer xmlns:sle="http://schemas.microsoft.com/office/drawing/2010/slicer" name="Origin Airport 4"/>
            </a:graphicData>
          </a:graphic>
        </xdr:graphicFrame>
      </mc:Choice>
      <mc:Fallback xmlns="">
        <xdr:sp macro="" textlink="">
          <xdr:nvSpPr>
            <xdr:cNvPr id="0" name=""/>
            <xdr:cNvSpPr>
              <a:spLocks noTextEdit="1"/>
            </xdr:cNvSpPr>
          </xdr:nvSpPr>
          <xdr:spPr>
            <a:xfrm>
              <a:off x="2817231" y="653998"/>
              <a:ext cx="2114774" cy="9147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768195</xdr:colOff>
      <xdr:row>9</xdr:row>
      <xdr:rowOff>37998</xdr:rowOff>
    </xdr:from>
    <xdr:to>
      <xdr:col>4</xdr:col>
      <xdr:colOff>567886</xdr:colOff>
      <xdr:row>15</xdr:row>
      <xdr:rowOff>20650</xdr:rowOff>
    </xdr:to>
    <mc:AlternateContent xmlns:mc="http://schemas.openxmlformats.org/markup-compatibility/2006" xmlns:a14="http://schemas.microsoft.com/office/drawing/2010/main">
      <mc:Choice Requires="a14">
        <xdr:graphicFrame macro="">
          <xdr:nvGraphicFramePr>
            <xdr:cNvPr id="8" name="Arrival Date 1">
              <a:extLst>
                <a:ext uri="{FF2B5EF4-FFF2-40B4-BE49-F238E27FC236}">
                  <a16:creationId xmlns:a16="http://schemas.microsoft.com/office/drawing/2014/main" id="{7EEC9368-5481-21D8-60AD-CC538FDE235B}"/>
                </a:ext>
              </a:extLst>
            </xdr:cNvPr>
            <xdr:cNvGraphicFramePr/>
          </xdr:nvGraphicFramePr>
          <xdr:xfrm>
            <a:off x="0" y="0"/>
            <a:ext cx="0" cy="0"/>
          </xdr:xfrm>
          <a:graphic>
            <a:graphicData uri="http://schemas.microsoft.com/office/drawing/2010/slicer">
              <sle:slicer xmlns:sle="http://schemas.microsoft.com/office/drawing/2010/slicer" name="Arrival Date 1"/>
            </a:graphicData>
          </a:graphic>
        </xdr:graphicFrame>
      </mc:Choice>
      <mc:Fallback xmlns="">
        <xdr:sp macro="" textlink="">
          <xdr:nvSpPr>
            <xdr:cNvPr id="0" name=""/>
            <xdr:cNvSpPr>
              <a:spLocks noTextEdit="1"/>
            </xdr:cNvSpPr>
          </xdr:nvSpPr>
          <xdr:spPr>
            <a:xfrm>
              <a:off x="768195" y="1815998"/>
              <a:ext cx="3129913" cy="11679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775125</xdr:colOff>
      <xdr:row>16</xdr:row>
      <xdr:rowOff>28947</xdr:rowOff>
    </xdr:from>
    <xdr:to>
      <xdr:col>6</xdr:col>
      <xdr:colOff>227039</xdr:colOff>
      <xdr:row>28</xdr:row>
      <xdr:rowOff>179269</xdr:rowOff>
    </xdr:to>
    <mc:AlternateContent xmlns:mc="http://schemas.openxmlformats.org/markup-compatibility/2006" xmlns:a14="http://schemas.microsoft.com/office/drawing/2010/main">
      <mc:Choice Requires="a14">
        <xdr:graphicFrame macro="">
          <xdr:nvGraphicFramePr>
            <xdr:cNvPr id="9" name="Airline 2">
              <a:extLst>
                <a:ext uri="{FF2B5EF4-FFF2-40B4-BE49-F238E27FC236}">
                  <a16:creationId xmlns:a16="http://schemas.microsoft.com/office/drawing/2014/main" id="{2D4EE7F0-6727-BED7-C6CB-0FD187CAB275}"/>
                </a:ext>
              </a:extLst>
            </xdr:cNvPr>
            <xdr:cNvGraphicFramePr/>
          </xdr:nvGraphicFramePr>
          <xdr:xfrm>
            <a:off x="0" y="0"/>
            <a:ext cx="0" cy="0"/>
          </xdr:xfrm>
          <a:graphic>
            <a:graphicData uri="http://schemas.microsoft.com/office/drawing/2010/slicer">
              <sle:slicer xmlns:sle="http://schemas.microsoft.com/office/drawing/2010/slicer" name="Airline 2"/>
            </a:graphicData>
          </a:graphic>
        </xdr:graphicFrame>
      </mc:Choice>
      <mc:Fallback xmlns="">
        <xdr:sp macro="" textlink="">
          <xdr:nvSpPr>
            <xdr:cNvPr id="0" name=""/>
            <xdr:cNvSpPr>
              <a:spLocks noTextEdit="1"/>
            </xdr:cNvSpPr>
          </xdr:nvSpPr>
          <xdr:spPr>
            <a:xfrm>
              <a:off x="775125" y="3189836"/>
              <a:ext cx="4447247" cy="25209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736600</xdr:colOff>
          <xdr:row>1</xdr:row>
          <xdr:rowOff>25400</xdr:rowOff>
        </xdr:from>
        <xdr:to>
          <xdr:col>6</xdr:col>
          <xdr:colOff>12700</xdr:colOff>
          <xdr:row>2</xdr:row>
          <xdr:rowOff>203200</xdr:rowOff>
        </xdr:to>
        <xdr:sp macro="" textlink="">
          <xdr:nvSpPr>
            <xdr:cNvPr id="53250" name="Button 2" hidden="1">
              <a:extLst>
                <a:ext uri="{63B3BB69-23CF-44E3-9099-C40C66FF867C}">
                  <a14:compatExt spid="_x0000_s53250"/>
                </a:ext>
                <a:ext uri="{FF2B5EF4-FFF2-40B4-BE49-F238E27FC236}">
                  <a16:creationId xmlns:a16="http://schemas.microsoft.com/office/drawing/2014/main" id="{00000000-0008-0000-1700-000002D0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200" b="0" i="0" u="none" strike="noStrike" baseline="0">
                  <a:solidFill>
                    <a:srgbClr val="000000"/>
                  </a:solidFill>
                  <a:latin typeface="Calibri"/>
                  <a:ea typeface="Calibri"/>
                  <a:cs typeface="Calibri"/>
                </a:rPr>
                <a:t>Search</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520700</xdr:colOff>
          <xdr:row>3</xdr:row>
          <xdr:rowOff>12700</xdr:rowOff>
        </xdr:from>
        <xdr:to>
          <xdr:col>5</xdr:col>
          <xdr:colOff>965200</xdr:colOff>
          <xdr:row>4</xdr:row>
          <xdr:rowOff>190500</xdr:rowOff>
        </xdr:to>
        <xdr:sp macro="" textlink="">
          <xdr:nvSpPr>
            <xdr:cNvPr id="55297" name="Button 1" hidden="1">
              <a:extLst>
                <a:ext uri="{63B3BB69-23CF-44E3-9099-C40C66FF867C}">
                  <a14:compatExt spid="_x0000_s55297"/>
                </a:ext>
                <a:ext uri="{FF2B5EF4-FFF2-40B4-BE49-F238E27FC236}">
                  <a16:creationId xmlns:a16="http://schemas.microsoft.com/office/drawing/2014/main" id="{00000000-0008-0000-1800-000001D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200" b="0" i="0" u="none" strike="noStrike" baseline="0">
                  <a:solidFill>
                    <a:srgbClr val="000000"/>
                  </a:solidFill>
                  <a:latin typeface="Calibri"/>
                  <a:ea typeface="Calibri"/>
                  <a:cs typeface="Calibri"/>
                </a:rPr>
                <a:t>Search</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38</xdr:col>
          <xdr:colOff>393700</xdr:colOff>
          <xdr:row>31</xdr:row>
          <xdr:rowOff>25400</xdr:rowOff>
        </xdr:from>
        <xdr:to>
          <xdr:col>38</xdr:col>
          <xdr:colOff>1917700</xdr:colOff>
          <xdr:row>32</xdr:row>
          <xdr:rowOff>127000</xdr:rowOff>
        </xdr:to>
        <xdr:sp macro="" textlink="">
          <xdr:nvSpPr>
            <xdr:cNvPr id="25604" name="Button 4" hidden="1">
              <a:extLst>
                <a:ext uri="{63B3BB69-23CF-44E3-9099-C40C66FF867C}">
                  <a14:compatExt spid="_x0000_s25604"/>
                </a:ext>
                <a:ext uri="{FF2B5EF4-FFF2-40B4-BE49-F238E27FC236}">
                  <a16:creationId xmlns:a16="http://schemas.microsoft.com/office/drawing/2014/main" id="{00000000-0008-0000-1A00-0000046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200" b="0" i="0" u="none" strike="noStrike" baseline="0">
                  <a:solidFill>
                    <a:srgbClr val="000000"/>
                  </a:solidFill>
                  <a:latin typeface="Calibri"/>
                  <a:ea typeface="Calibri"/>
                  <a:cs typeface="Calibri"/>
                </a:rPr>
                <a:t>ENTER</a:t>
              </a:r>
            </a:p>
          </xdr:txBody>
        </xdr:sp>
        <xdr:clientData fPrintsWithSheet="0"/>
      </xdr:twoCellAnchor>
    </mc:Choice>
    <mc:Fallback/>
  </mc:AlternateContent>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38</xdr:col>
          <xdr:colOff>393700</xdr:colOff>
          <xdr:row>31</xdr:row>
          <xdr:rowOff>25400</xdr:rowOff>
        </xdr:from>
        <xdr:to>
          <xdr:col>38</xdr:col>
          <xdr:colOff>1917700</xdr:colOff>
          <xdr:row>32</xdr:row>
          <xdr:rowOff>127000</xdr:rowOff>
        </xdr:to>
        <xdr:sp macro="" textlink="">
          <xdr:nvSpPr>
            <xdr:cNvPr id="60417" name="Button 1" hidden="1">
              <a:extLst>
                <a:ext uri="{63B3BB69-23CF-44E3-9099-C40C66FF867C}">
                  <a14:compatExt spid="_x0000_s60417"/>
                </a:ext>
                <a:ext uri="{FF2B5EF4-FFF2-40B4-BE49-F238E27FC236}">
                  <a16:creationId xmlns:a16="http://schemas.microsoft.com/office/drawing/2014/main" id="{00000000-0008-0000-1B00-000001EC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200" b="0" i="0" u="none" strike="noStrike" baseline="0">
                  <a:solidFill>
                    <a:srgbClr val="000000"/>
                  </a:solidFill>
                  <a:latin typeface="Calibri"/>
                  <a:ea typeface="Calibri"/>
                  <a:cs typeface="Calibri"/>
                </a:rPr>
                <a:t>ENTER</a:t>
              </a:r>
            </a:p>
          </xdr:txBody>
        </xdr:sp>
        <xdr:clientData fPrintsWithSheet="0"/>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76.565904861112" createdVersion="8" refreshedVersion="8" minRefreshableVersion="3" recordCount="120" xr:uid="{101B35AD-830F-7747-9CCF-884E693C941F}">
  <cacheSource type="worksheet">
    <worksheetSource ref="B4:Y124" sheet="Master"/>
  </cacheSource>
  <cacheFields count="24">
    <cacheField name="Order ID" numFmtId="0">
      <sharedItems containsSemiMixedTypes="0" containsString="0" containsNumber="1" containsInteger="1" minValue="1201" maxValue="1320"/>
    </cacheField>
    <cacheField name="Order Date" numFmtId="0">
      <sharedItems containsDate="1" containsMixedTypes="1" minDate="2023-02-01T00:00:00" maxDate="2023-12-02T00:00:00" count="35">
        <d v="2023-02-01T00:00:00"/>
        <d v="2023-03-01T00:00:00"/>
        <d v="2023-04-01T00:00:00"/>
        <d v="2023-05-01T00:00:00"/>
        <d v="2023-06-01T00:00:00"/>
        <d v="2023-07-01T00:00:00"/>
        <d v="2023-08-01T00:00:00"/>
        <d v="2023-09-01T00:00:00"/>
        <d v="2023-10-01T00:00:00"/>
        <d v="2023-11-01T00:00:00"/>
        <d v="2023-12-01T00:00:00"/>
        <s v="01/13/23"/>
        <s v="1/13/23"/>
        <s v="1/14/23"/>
        <s v="1/15/23"/>
        <s v="1/16/23"/>
        <s v="1/17/23"/>
        <s v="1/18/23"/>
        <s v="1/19/23"/>
        <s v="1/20/23"/>
        <s v="1/21/23"/>
        <s v="1/22/23"/>
        <s v="1/23/23"/>
        <s v="1/24/23"/>
        <s v="1/25/23"/>
        <s v="2/18/23"/>
        <s v="2/19/23"/>
        <s v="2/20/23"/>
        <s v="2/21/23"/>
        <s v="2/22/23"/>
        <s v="2/23/23"/>
        <s v="2/24/23"/>
        <s v="2/25/23"/>
        <s v="2/26/23"/>
        <s v="2/27/23"/>
      </sharedItems>
    </cacheField>
    <cacheField name="Full Name" numFmtId="0">
      <sharedItems count="120">
        <s v="Clairine Ariane"/>
        <s v="August Shaaban "/>
        <s v="Abraruz Gumma"/>
        <s v="Aaron Carlos"/>
        <s v="Diandra Citranti Deva"/>
        <s v="Edison Edelard Ronaldus"/>
        <s v="Clarabella Marcia Maisieany"/>
        <s v="Donelia Deva Sashikirana"/>
        <s v="Edison Aderlard Wijaya"/>
        <s v="Elden Alcane"/>
        <s v="Eileen Audrey Avisa"/>
        <s v="Farrah Fillia Bernardina "/>
        <s v="Gamaliel Angelo"/>
        <s v="Jeanella Yachne Seera"/>
        <s v="Myesha Zuhaira"/>
        <s v="Quenna Zaafarana Zaviera"/>
        <s v="Raphael Agustin"/>
        <s v="Meinanda Aqila"/>
        <s v="Nathaniel Agam Bonjabi"/>
        <s v="Quesha Sarah Widjayatno"/>
        <s v="Martin Azahrad Valentiano"/>
        <s v="Anita Rozquestela Marciandy"/>
        <s v="Beverly Sugiantno Wiradjaja"/>
        <s v="Justin Michael Emeraldo"/>
        <s v="Anne Laura Edison"/>
        <s v="Myesha Sihombing"/>
        <s v="Adeline Meitha"/>
        <s v="Putri Salma Inti"/>
        <s v="Rafael Tan Wijaya"/>
        <s v="Pytha Travis Meviz"/>
        <s v="Saphira Mawar Winadi"/>
        <s v="Sean Laura Edelyn"/>
        <s v="Jennifer Savira "/>
        <s v="Raissa Zeviw"/>
        <s v="Nadia Sarah Jayadi"/>
        <s v="Michael Harvey Tan"/>
        <s v="Andreas Wijaya Lukita"/>
        <s v="Widya Michael Sofiany"/>
        <s v="Selena Swift Widodo"/>
        <s v="Putri Selena Utama"/>
        <s v="Harry Anderson"/>
        <s v="Jimmy Michael Peter"/>
        <s v="Sammy Sihombing Hutagalung"/>
        <s v="Andin Dini Kusuma"/>
        <s v="Metha Viviane"/>
        <s v="Justin Alfredo"/>
        <s v="Nicholas Agustino "/>
        <s v="Chalvin Nashua Peterman"/>
        <s v="Felicia Kusuma Widyotama"/>
        <s v="Michael Anderson Stevenly"/>
        <s v="Agustino Cristianaldo"/>
        <s v="Aldo Alex Kusuma"/>
        <s v="William Usman "/>
        <s v="Yuda Vino Baustista"/>
        <s v="Wulandari Septiansyah"/>
        <s v="Esmeralda Tika Kusuma"/>
        <s v="Tristan Toni Tobing"/>
        <s v="Salsa Hasanuddin Kusomo"/>
        <s v="Samuel Andreas Michael"/>
        <s v="Paul Scott Anderson"/>
        <s v="Vinny Cynthia Lpusina"/>
        <s v="Philip Edward Martin"/>
        <s v="Sari Siregar Verianty"/>
        <s v="Vanessa Elmatiana Putri"/>
        <s v="Joe Steven Wangsa"/>
        <s v="Tan Hook She"/>
        <s v="Christofher Rafa Liem"/>
        <s v="Helmi Hidayat Rasyid"/>
        <s v="Idris Jamaluddin"/>
        <s v="Irfan Haikal Fikri"/>
        <s v="Hamdani Ainun Kosasih"/>
        <s v="Haris Luthfi Yahya"/>
        <s v="Abimanyu Abbas Hardim"/>
        <s v="Sri Ratih Indah"/>
        <s v="Adeline Diany Putri"/>
        <s v="Lady Marcia Anne"/>
        <s v="Retno Tika Utami"/>
        <s v="Marcella Beverly Park Eun"/>
        <s v="Lestari Suci Endang Kusuma"/>
        <s v="Meghan Catrine Witney"/>
        <s v="Marieh Houston Stevenly"/>
        <s v="James Leonard"/>
        <s v="Ben Bastian Budi"/>
        <s v="Bayu Muhammad Rinaldy"/>
        <s v="Rivaldo Dimas Bagus"/>
        <s v="Chika Amelia Putri"/>
        <s v="Nadya Amelia Dewi Kusuma"/>
        <s v="Raissa Februariana Abbas Nasution"/>
        <s v="Annisa Fajar Utama "/>
        <s v="Hadi Kusumaningrum"/>
        <s v="Abbas Bayu Putra"/>
        <s v="Emily Olivia Eva"/>
        <s v="Sophina Stevanie Lily"/>
        <s v="Oiiver Jackson Issander"/>
        <s v="Joshua Muhammad Noah"/>
        <s v="Charles Jacob William"/>
        <s v="Lily Peony Isabella"/>
        <s v="Marry Christine Chloe"/>
        <s v="Rossa Setiana Dewi"/>
        <s v="Ellea Lyra Tia"/>
        <s v="Robbinson Ignatius Gary"/>
        <s v="Greek Philip Yordan"/>
        <s v="Sofia Belvaria Sirajuddin"/>
        <s v="Christiana Lady Diana"/>
        <s v="Elisabeth Christy Dian"/>
        <s v="Frank Valentino"/>
        <s v="George David Suhendy"/>
        <s v="Emanuella Julia Bebena"/>
        <s v="Shanti Natalia April"/>
        <s v="Sandra Putri Marselyna"/>
        <s v="Abdul Salim Goddard"/>
        <s v="Elma Mawar Lalita"/>
        <s v="Vidy Verania Yusman"/>
        <s v="Wishu Agus Ryan"/>
        <s v="Samimora Aurora Putri"/>
        <s v="Isabella Christina Sihombing"/>
        <s v="Johanes Matius Benardy"/>
        <s v="Maria Angel Shandi"/>
        <s v="Pieters Mike Colbie"/>
        <s v="Sammy Erwin Mohede"/>
      </sharedItems>
    </cacheField>
    <cacheField name="Birth of Date" numFmtId="0">
      <sharedItems containsDate="1" containsMixedTypes="1" minDate="1965-01-06T00:00:00" maxDate="1999-12-11T00:00:00"/>
    </cacheField>
    <cacheField name="Gender" numFmtId="0">
      <sharedItems/>
    </cacheField>
    <cacheField name="Remarks" numFmtId="0">
      <sharedItems/>
    </cacheField>
    <cacheField name="Type of Flight" numFmtId="0">
      <sharedItems count="2">
        <s v="Domestic"/>
        <s v="International"/>
      </sharedItems>
    </cacheField>
    <cacheField name="Origin Airport" numFmtId="0">
      <sharedItems count="2">
        <s v="Soekarno-Hatta Airport"/>
        <s v="Singapore Changi Airport"/>
      </sharedItems>
    </cacheField>
    <cacheField name="Destination Aiport (Domestic)" numFmtId="0">
      <sharedItems containsBlank="1" count="20">
        <s v="Kualanamu, Medan"/>
        <m/>
        <s v="Ngurah Rai, Denpasar Bali"/>
        <s v="Adisutjipto, DIY "/>
        <s v="Pattimura, Ambon"/>
        <s v="Juanda, Surabaya"/>
        <s v="Sultan Mahmud Badaruddin II, Palembang"/>
        <s v="Sultan Hasanuddin, Sulawesi Selatan"/>
        <s v="Sultan Thaha, Jambi"/>
        <s v="Minangkabau, Padang"/>
        <s v="Adisumarno, Solo"/>
        <s v="Abdul Rachman Saleh, Malang"/>
        <s v="Zainuddin Abdul Madjid, Praya"/>
        <s v="Supadio, Pontianak"/>
        <s v="Sentani, Jayapura"/>
        <s v="Radin Inten II, Bandar Lampung"/>
        <s v="Sultan Iskanda Muda, Aceh"/>
        <s v="Sultan Syarif Kasim II, Riau"/>
        <s v="Jenderal Ahmad Yani, Semarang"/>
        <s v="Hang Nadim, Kepulauan Riau"/>
      </sharedItems>
    </cacheField>
    <cacheField name="Destination Airport (International)" numFmtId="0">
      <sharedItems containsBlank="1"/>
    </cacheField>
    <cacheField name="Code" numFmtId="0">
      <sharedItems containsSemiMixedTypes="0" containsString="0" containsNumber="1" containsInteger="1" minValue="101" maxValue="107"/>
    </cacheField>
    <cacheField name="Departure Date" numFmtId="0">
      <sharedItems/>
    </cacheField>
    <cacheField name="Departure Time" numFmtId="0">
      <sharedItems containsSemiMixedTypes="0" containsString="0" containsNumber="1" containsInteger="1" minValue="1" maxValue="12"/>
    </cacheField>
    <cacheField name="Arrival Date" numFmtId="0">
      <sharedItems/>
    </cacheField>
    <cacheField name="Arrival Time" numFmtId="0">
      <sharedItems containsSemiMixedTypes="0" containsString="0" containsNumber="1" containsInteger="1" minValue="3" maxValue="14"/>
    </cacheField>
    <cacheField name="Booking Code" numFmtId="0">
      <sharedItems/>
    </cacheField>
    <cacheField name="Airport Code" numFmtId="0">
      <sharedItems count="40">
        <s v="KNO"/>
        <s v="NRT"/>
        <s v="IST"/>
        <s v="AMS"/>
        <s v="KIX"/>
        <s v="DPS"/>
        <s v="JOG"/>
        <s v="BWN"/>
        <s v="AMQ"/>
        <s v="SUB"/>
        <s v="PLM"/>
        <s v="CAN"/>
        <s v="ZRH"/>
        <s v="BNE"/>
        <s v="DRW"/>
        <s v="ICN"/>
        <s v="UPG"/>
        <s v="DJB"/>
        <s v="PDG"/>
        <s v="SOC"/>
        <s v="MLG"/>
        <s v="LOP"/>
        <s v="DAD"/>
        <s v="PNK"/>
        <s v="PEK"/>
        <s v="FRA"/>
        <s v="ADL"/>
        <s v="BKK"/>
        <s v="HAN"/>
        <s v="KUL"/>
        <s v="CPH"/>
        <s v="DJJ"/>
        <s v="TKG"/>
        <s v="BTJ"/>
        <s v="DEL"/>
        <s v="YVR"/>
        <s v="PKU"/>
        <s v="SRG"/>
        <s v="BTH"/>
        <s v="SEA"/>
      </sharedItems>
    </cacheField>
    <cacheField name="Airline Code" numFmtId="0">
      <sharedItems/>
    </cacheField>
    <cacheField name="Airline" numFmtId="0">
      <sharedItems count="22">
        <s v="Super Air Jet"/>
        <s v="Singapore Airlines"/>
        <s v="Emirates "/>
        <s v="Japan Airlines "/>
        <s v="Sriwijaya Air"/>
        <s v="Qatar Airways"/>
        <s v="Airfast "/>
        <s v="Garuda Indonesia"/>
        <s v="Air France Airlines"/>
        <s v="Turkish Airlines"/>
        <s v="Cathay Pacific Airlines"/>
        <s v="Indonesia AirAsia"/>
        <s v="All Nippon Airways"/>
        <s v="NAM Air"/>
        <s v="Lion Air"/>
        <s v="Batik Air"/>
        <s v="Thai Airways International Airlines"/>
        <s v="Citilink"/>
        <s v="Malaysia Airlines"/>
        <s v="Saudia Airlines"/>
        <s v="Pelita Air"/>
        <s v="Transnusa"/>
      </sharedItems>
    </cacheField>
    <cacheField name="Refund Guarantee" numFmtId="173">
      <sharedItems containsSemiMixedTypes="0" containsString="0" containsNumber="1" containsInteger="1" minValue="50" maxValue="100"/>
    </cacheField>
    <cacheField name="Price (USD)" numFmtId="172">
      <sharedItems containsSemiMixedTypes="0" containsString="0" containsNumber="1" minValue="127.10815566066137" maxValue="980.07077917299421"/>
    </cacheField>
    <cacheField name="Price (IDR)" numFmtId="165">
      <sharedItems containsSemiMixedTypes="0" containsString="0" containsNumber="1" containsInteger="1" minValue="1900000" maxValue="14650000" count="33">
        <n v="2200000"/>
        <n v="8250000"/>
        <n v="11550000"/>
        <n v="12555000"/>
        <n v="13750000"/>
        <n v="1950000"/>
        <n v="2000000"/>
        <n v="8700000"/>
        <n v="3750000"/>
        <n v="9850000"/>
        <n v="10455000"/>
        <n v="10350000"/>
        <n v="10550000"/>
        <n v="8355000"/>
        <n v="2350000"/>
        <n v="2355000"/>
        <n v="2600000"/>
        <n v="11350000"/>
        <n v="2150000"/>
        <n v="10500000"/>
        <n v="10355000"/>
        <n v="11750000"/>
        <n v="2550000"/>
        <n v="9550000"/>
        <n v="2800000"/>
        <n v="14650000"/>
        <n v="2750000"/>
        <n v="2450000"/>
        <n v="11250000"/>
        <n v="13650000"/>
        <n v="1900000"/>
        <n v="3300000"/>
        <n v="8550000"/>
      </sharedItems>
    </cacheField>
    <cacheField name="Refund Description" numFmtId="0">
      <sharedItems containsString="0" containsBlank="1" containsNumber="1" containsInteger="1" minValue="1275000" maxValue="7325000" count="22">
        <m/>
        <n v="4125000"/>
        <n v="5775000"/>
        <n v="6277500"/>
        <n v="6875000"/>
        <n v="4350000"/>
        <n v="4925000"/>
        <n v="5227500"/>
        <n v="5175000"/>
        <n v="5275000"/>
        <n v="4177500"/>
        <n v="5675000"/>
        <n v="5250000"/>
        <n v="5177500"/>
        <n v="5875000"/>
        <n v="1275000"/>
        <n v="4775000"/>
        <n v="1400000"/>
        <n v="7325000"/>
        <n v="5625000"/>
        <n v="6825000"/>
        <n v="4275000"/>
      </sharedItems>
    </cacheField>
    <cacheField name="Total Payment" numFmtId="165">
      <sharedItems containsSemiMixedTypes="0" containsString="0" containsNumber="1" containsInteger="1" minValue="2090000" maxValue="16115000" count="33">
        <n v="2420000"/>
        <n v="9075000"/>
        <n v="12705000"/>
        <n v="13810500"/>
        <n v="15125000"/>
        <n v="2145000"/>
        <n v="2200000"/>
        <n v="9570000"/>
        <n v="4125000"/>
        <n v="10835000"/>
        <n v="11500500"/>
        <n v="11385000"/>
        <n v="11605000"/>
        <n v="9190500"/>
        <n v="2585000"/>
        <n v="2590500"/>
        <n v="2860000"/>
        <n v="12485000"/>
        <n v="2365000"/>
        <n v="11550000"/>
        <n v="11390500"/>
        <n v="12925000"/>
        <n v="2805000"/>
        <n v="10505000"/>
        <n v="3080000"/>
        <n v="16115000"/>
        <n v="3025000"/>
        <n v="2695000"/>
        <n v="12375000"/>
        <n v="15015000"/>
        <n v="2090000"/>
        <n v="3630000"/>
        <n v="9405000"/>
      </sharedItems>
    </cacheField>
  </cacheFields>
  <extLst>
    <ext xmlns:x14="http://schemas.microsoft.com/office/spreadsheetml/2009/9/main" uri="{725AE2AE-9491-48be-B2B4-4EB974FC3084}">
      <x14:pivotCacheDefinition pivotCacheId="10999416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79.738752893521" createdVersion="8" refreshedVersion="8" minRefreshableVersion="3" recordCount="120" xr:uid="{486B3934-E1D0-5C46-8DCB-70707D42B907}">
  <cacheSource type="worksheet">
    <worksheetSource ref="B4:Y124" sheet="ProfessionalWS_Macro"/>
  </cacheSource>
  <cacheFields count="24">
    <cacheField name="Order ID" numFmtId="0">
      <sharedItems containsSemiMixedTypes="0" containsString="0" containsNumber="1" containsInteger="1" minValue="1201" maxValue="1320"/>
    </cacheField>
    <cacheField name="Order Date" numFmtId="0">
      <sharedItems containsDate="1" containsMixedTypes="1" minDate="2023-02-01T00:00:00" maxDate="2023-12-02T00:00:00" count="35">
        <d v="2023-02-01T00:00:00"/>
        <d v="2023-03-01T00:00:00"/>
        <d v="2023-04-01T00:00:00"/>
        <d v="2023-05-01T00:00:00"/>
        <d v="2023-06-01T00:00:00"/>
        <d v="2023-07-01T00:00:00"/>
        <d v="2023-08-01T00:00:00"/>
        <d v="2023-09-01T00:00:00"/>
        <d v="2023-10-01T00:00:00"/>
        <d v="2023-11-01T00:00:00"/>
        <d v="2023-12-01T00:00:00"/>
        <s v="01/13/23"/>
        <s v="1/13/23"/>
        <s v="1/14/23"/>
        <s v="1/15/23"/>
        <s v="1/16/23"/>
        <s v="1/17/23"/>
        <s v="1/18/23"/>
        <s v="1/19/23"/>
        <s v="1/20/23"/>
        <s v="1/21/23"/>
        <s v="1/22/23"/>
        <s v="1/23/23"/>
        <s v="1/24/23"/>
        <s v="1/25/23"/>
        <s v="2/18/23"/>
        <s v="2/19/23"/>
        <s v="2/20/23"/>
        <s v="2/21/23"/>
        <s v="2/22/23"/>
        <s v="2/23/23"/>
        <s v="2/24/23"/>
        <s v="2/25/23"/>
        <s v="2/26/23"/>
        <s v="2/27/23"/>
      </sharedItems>
    </cacheField>
    <cacheField name="Full Name" numFmtId="0">
      <sharedItems count="120">
        <s v="Clairine Ariane"/>
        <s v="August Shaaban "/>
        <s v="Abraruz Gumma"/>
        <s v="Aaron Carlos"/>
        <s v="Diandra Citranti Deva"/>
        <s v="Edison Edelard Ronaldus"/>
        <s v="Clarabella Marcia Maisieany"/>
        <s v="Donelia Deva Sashikirana"/>
        <s v="Edison Aderlard Wijaya"/>
        <s v="Elden Alcane"/>
        <s v="Eileen Audrey Avisa"/>
        <s v="Farrah Fillia Bernardina "/>
        <s v="Gamaliel Angelo"/>
        <s v="Jeanella Yachne Seera"/>
        <s v="Myesha Zuhaira"/>
        <s v="Quenna Zaafarana Zaviera"/>
        <s v="Raphael Agustin"/>
        <s v="Meinanda Aqila"/>
        <s v="Nathaniel Agam Bonjabi"/>
        <s v="Quesha Sarah Widjayatno"/>
        <s v="Martin Azahrad Valentiano"/>
        <s v="Anita Rozquestela Marciandy"/>
        <s v="Beverly Sugiantno Wiradjaja"/>
        <s v="Justin Michael Emeraldo"/>
        <s v="Anne Laura Edison"/>
        <s v="Myesha Sihombing"/>
        <s v="Adeline Meitha"/>
        <s v="Putri Salma Inti"/>
        <s v="Rafael Tan Wijaya"/>
        <s v="Pytha Travis Meviz"/>
        <s v="Saphira Mawar Winadi"/>
        <s v="Sean Laura Edelyn"/>
        <s v="Jennifer Savira "/>
        <s v="Raissa Zeviw"/>
        <s v="Nadia Sarah Jayadi"/>
        <s v="Michael Harvey Tan"/>
        <s v="Andreas Wijaya Lukita"/>
        <s v="Widya Michael Sofiany"/>
        <s v="Selena Swift Widodo"/>
        <s v="Putri Selena Utama"/>
        <s v="Harry Anderson"/>
        <s v="Jimmy Michael Peter"/>
        <s v="Sammy Sihombing Hutagalung"/>
        <s v="Andin Dini Kusuma"/>
        <s v="Metha Viviane"/>
        <s v="Justin Alfredo"/>
        <s v="Nicholas Agustino "/>
        <s v="Chalvin Nashua Peterman"/>
        <s v="Felicia Kusuma Widyotama"/>
        <s v="Michael Anderson Stevenly"/>
        <s v="Agustino Cristianaldo"/>
        <s v="Aldo Alex Kusuma"/>
        <s v="William Usman "/>
        <s v="Yuda Vino Baustista"/>
        <s v="Wulandari Septiansyah"/>
        <s v="Esmeralda Tika Kusuma"/>
        <s v="Tristan Toni Tobing"/>
        <s v="Salsa Hasanuddin Kusomo"/>
        <s v="Samuel Andreas Michael"/>
        <s v="Paul Scott Anderson"/>
        <s v="Vinny Cynthia Lpusina"/>
        <s v="Philip Edward Martin"/>
        <s v="Sari Siregar Verianty"/>
        <s v="Vanessa Elmatiana Putri"/>
        <s v="Joe Steven Wangsa"/>
        <s v="Tan Hook She"/>
        <s v="Christofher Rafa Liem"/>
        <s v="Helmi Hidayat Rasyid"/>
        <s v="Idris Jamaluddin"/>
        <s v="Irfan Haikal Fikri"/>
        <s v="Hamdani Ainun Kosasih"/>
        <s v="Haris Luthfi Yahya"/>
        <s v="Abimanyu Abbas Hardim"/>
        <s v="Sri Ratih Indah"/>
        <s v="Adeline Diany Putri"/>
        <s v="Lady Marcia Anne"/>
        <s v="Retno Tika Utami"/>
        <s v="Marcella Beverly Park Eun"/>
        <s v="Lestari Suci Endang Kusuma"/>
        <s v="Meghan Catrine Witney"/>
        <s v="Marieh Houston Stevenly"/>
        <s v="James Leonard"/>
        <s v="Ben Bastian Budi"/>
        <s v="Bayu Muhammad Rinaldy"/>
        <s v="Rivaldo Dimas Bagus"/>
        <s v="Chika Amelia Putri"/>
        <s v="Nadya Amelia Dewi Kusuma"/>
        <s v="Raissa Februariana Abbas Nasution"/>
        <s v="Annisa Fajar Utama "/>
        <s v="Hadi Kusumaningrum"/>
        <s v="Abbas Bayu Putra"/>
        <s v="Emily Olivia Eva"/>
        <s v="Sophina Stevanie Lily"/>
        <s v="Oiiver Jackson Issander"/>
        <s v="Joshua Muhammad Noah"/>
        <s v="Charles Jacob William"/>
        <s v="Lily Peony Isabella"/>
        <s v="Marry Christine Chloe"/>
        <s v="Rossa Setiana Dewi"/>
        <s v="Ellea Lyra Tia"/>
        <s v="Robbinson Ignatius Gary"/>
        <s v="Greek Philip Yordan"/>
        <s v="Sofia Belvaria Sirajuddin"/>
        <s v="Christiana Lady Diana"/>
        <s v="Elisabeth Christy Dian"/>
        <s v="Frank Valentino"/>
        <s v="George David Suhendy"/>
        <s v="Emanuella Julia Bebena"/>
        <s v="Shanti Natalia April"/>
        <s v="Sandra Putri Marselyna"/>
        <s v="Abdul Salim Goddard"/>
        <s v="Elma Mawar Lalita"/>
        <s v="Vidy Verania Yusman"/>
        <s v="Wishu Agus Ryan"/>
        <s v="Samimora Aurora Putri"/>
        <s v="Isabella Christina Sihombing"/>
        <s v="Johanes Matius Benardy"/>
        <s v="Maria Angel Shandi"/>
        <s v="Pieters Mike Colbie"/>
        <s v="Sammy Erwin Mohede"/>
      </sharedItems>
    </cacheField>
    <cacheField name="Birth of Date" numFmtId="0">
      <sharedItems containsDate="1" containsMixedTypes="1" minDate="1965-01-06T00:00:00" maxDate="1999-12-11T00:00:00"/>
    </cacheField>
    <cacheField name="Gender" numFmtId="0">
      <sharedItems count="2">
        <s v="F"/>
        <s v="M"/>
      </sharedItems>
    </cacheField>
    <cacheField name="Remarks" numFmtId="0">
      <sharedItems count="2">
        <s v="Confirmed"/>
        <s v="Cancelled"/>
      </sharedItems>
    </cacheField>
    <cacheField name="Type of Flight" numFmtId="0">
      <sharedItems/>
    </cacheField>
    <cacheField name="Origin Airport" numFmtId="0">
      <sharedItems count="2">
        <s v="Soekarno-Hatta Airport"/>
        <s v="Singapore Changi Airport"/>
      </sharedItems>
    </cacheField>
    <cacheField name="Destination Aiport (Domestic)" numFmtId="0">
      <sharedItems containsBlank="1" count="20">
        <s v="Kualanamu, Medan"/>
        <m/>
        <s v="Ngurah Rai, Denpasar Bali"/>
        <s v="Adisutjipto, DIY "/>
        <s v="Pattimura, Ambon"/>
        <s v="Juanda, Surabaya"/>
        <s v="Sultan Mahmud Badaruddin II, Palembang"/>
        <s v="Sultan Hasanuddin, Sulawesi Selatan"/>
        <s v="Sultan Thaha, Jambi"/>
        <s v="Minangkabau, Padang"/>
        <s v="Adisumarno, Solo"/>
        <s v="Abdul Rachman Saleh, Malang"/>
        <s v="Zainuddin Abdul Madjid, Praya"/>
        <s v="Supadio, Pontianak"/>
        <s v="Sentani, Jayapura"/>
        <s v="Radin Inten II, Bandar Lampung"/>
        <s v="Sultan Iskanda Muda, Aceh"/>
        <s v="Sultan Syarif Kasim II, Riau"/>
        <s v="Jenderal Ahmad Yani, Semarang"/>
        <s v="Hang Nadim, Kepulauan Riau"/>
      </sharedItems>
    </cacheField>
    <cacheField name="Destination Airport (International)" numFmtId="0">
      <sharedItems containsBlank="1" count="22">
        <m/>
        <s v="Narita Tokyo International Airport"/>
        <s v="Istanbul Turkey International Airport"/>
        <s v="Schiphol International Airport"/>
        <s v="Osaka Japan International Airport"/>
        <s v="Seri BegawanInternational Airport"/>
        <s v="Baiyun International Airport"/>
        <s v="Zurich International Airport"/>
        <s v="Brisbane International Airport"/>
        <s v="Darwin International Airport"/>
        <s v="Incheon International Aiport"/>
        <s v="Da Nang International Airport"/>
        <s v="Capital International Airport"/>
        <s v="Frankfut German International Airport"/>
        <s v="Adelaide International Airport"/>
        <s v="Suvarnabhumi International Airport"/>
        <s v="Hanoi International Airport"/>
        <s v="Kuala Lumpur International Airport"/>
        <s v="Kopenhagen International Airport"/>
        <s v="Indira Gandhi International Airport"/>
        <s v="Vancouver International Airport"/>
        <s v="Seattle International Airport"/>
      </sharedItems>
    </cacheField>
    <cacheField name="Code" numFmtId="0">
      <sharedItems containsSemiMixedTypes="0" containsString="0" containsNumber="1" containsInteger="1" minValue="101" maxValue="107"/>
    </cacheField>
    <cacheField name="Departure Date" numFmtId="0">
      <sharedItems/>
    </cacheField>
    <cacheField name="Departure Time" numFmtId="0">
      <sharedItems containsSemiMixedTypes="0" containsString="0" containsNumber="1" containsInteger="1" minValue="1" maxValue="12"/>
    </cacheField>
    <cacheField name="Arrival Date" numFmtId="0">
      <sharedItems count="7">
        <s v="Sunday"/>
        <s v="Tuesday"/>
        <s v="Monday"/>
        <s v="Saturday"/>
        <s v="Thursday"/>
        <s v="Wednesday"/>
        <s v="Friday"/>
      </sharedItems>
    </cacheField>
    <cacheField name="Arrival Time" numFmtId="0">
      <sharedItems containsSemiMixedTypes="0" containsString="0" containsNumber="1" containsInteger="1" minValue="3" maxValue="14"/>
    </cacheField>
    <cacheField name="Booking Code" numFmtId="0">
      <sharedItems/>
    </cacheField>
    <cacheField name="Airport Code" numFmtId="0">
      <sharedItems/>
    </cacheField>
    <cacheField name="Airline Code" numFmtId="0">
      <sharedItems/>
    </cacheField>
    <cacheField name="Airline" numFmtId="0">
      <sharedItems count="22">
        <s v="Super Air Jet"/>
        <s v="Singapore Airlines"/>
        <s v="Emirates "/>
        <s v="Japan Airlines "/>
        <s v="Sriwijaya Air"/>
        <s v="Qatar Airways"/>
        <s v="Airfast "/>
        <s v="Garuda Indonesia"/>
        <s v="Air France Airlines"/>
        <s v="Turkish Airlines"/>
        <s v="Cathay Pacific Airlines"/>
        <s v="Indonesia AirAsia"/>
        <s v="All Nippon Airways"/>
        <s v="NAM Air"/>
        <s v="Lion Air"/>
        <s v="Batik Air"/>
        <s v="Thai Airways International Airlines"/>
        <s v="Citilink"/>
        <s v="Malaysia Airlines"/>
        <s v="Saudia Airlines"/>
        <s v="Pelita Air"/>
        <s v="Transnusa"/>
      </sharedItems>
    </cacheField>
    <cacheField name="Refund Guarantee" numFmtId="173">
      <sharedItems containsSemiMixedTypes="0" containsString="0" containsNumber="1" containsInteger="1" minValue="50" maxValue="100"/>
    </cacheField>
    <cacheField name="Price (USD)" numFmtId="172">
      <sharedItems containsSemiMixedTypes="0" containsString="0" containsNumber="1" minValue="127.10815566066137" maxValue="980.07077917299421"/>
    </cacheField>
    <cacheField name="Price (IDR)" numFmtId="165">
      <sharedItems containsSemiMixedTypes="0" containsString="0" containsNumber="1" containsInteger="1" minValue="1900000" maxValue="14650000"/>
    </cacheField>
    <cacheField name="Refund Description" numFmtId="0">
      <sharedItems containsString="0" containsBlank="1" containsNumber="1" containsInteger="1" minValue="1275000" maxValue="7325000"/>
    </cacheField>
    <cacheField name="Total Payment" numFmtId="165">
      <sharedItems containsSemiMixedTypes="0" containsString="0" containsNumber="1" containsInteger="1" minValue="2090000" maxValue="16115000"/>
    </cacheField>
  </cacheFields>
  <extLst>
    <ext xmlns:x14="http://schemas.microsoft.com/office/spreadsheetml/2009/9/main" uri="{725AE2AE-9491-48be-B2B4-4EB974FC3084}">
      <x14:pivotCacheDefinition pivotCacheId="6864697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n v="1201"/>
    <x v="0"/>
    <x v="0"/>
    <d v="1965-01-12T00:00:00"/>
    <s v="F"/>
    <s v="Confirmed"/>
    <x v="0"/>
    <x v="0"/>
    <x v="0"/>
    <m/>
    <n v="101"/>
    <s v="Sunday"/>
    <n v="9"/>
    <s v="Sunday"/>
    <n v="11"/>
    <s v="KNO-101IU"/>
    <x v="0"/>
    <s v="IU"/>
    <x v="0"/>
    <n v="100"/>
    <n v="147.17786444918684"/>
    <x v="0"/>
    <x v="0"/>
    <x v="0"/>
  </r>
  <r>
    <n v="1202"/>
    <x v="0"/>
    <x v="1"/>
    <d v="1999-03-10T00:00:00"/>
    <s v="M"/>
    <s v="Cancelled"/>
    <x v="1"/>
    <x v="1"/>
    <x v="1"/>
    <s v="Narita Tokyo International Airport"/>
    <n v="101"/>
    <s v="Sunday"/>
    <n v="9"/>
    <s v="Sunday"/>
    <n v="11"/>
    <s v="NRT-101SGX"/>
    <x v="1"/>
    <s v="SGX"/>
    <x v="1"/>
    <n v="50"/>
    <n v="551.91699168445064"/>
    <x v="1"/>
    <x v="1"/>
    <x v="1"/>
  </r>
  <r>
    <n v="1203"/>
    <x v="0"/>
    <x v="2"/>
    <d v="1980-01-01T00:00:00"/>
    <s v="M"/>
    <s v="Confirmed"/>
    <x v="1"/>
    <x v="1"/>
    <x v="1"/>
    <s v="Istanbul Turkey International Airport"/>
    <n v="103"/>
    <s v="Tuesday"/>
    <n v="3"/>
    <s v="Tuesday"/>
    <n v="5"/>
    <s v="IST-103EK"/>
    <x v="2"/>
    <s v="EK"/>
    <x v="2"/>
    <n v="50"/>
    <n v="772.68378835823091"/>
    <x v="2"/>
    <x v="2"/>
    <x v="2"/>
  </r>
  <r>
    <n v="1204"/>
    <x v="0"/>
    <x v="3"/>
    <d v="1985-02-11T00:00:00"/>
    <s v="M"/>
    <s v="Confirmed"/>
    <x v="1"/>
    <x v="1"/>
    <x v="1"/>
    <s v="Schiphol International Airport"/>
    <n v="102"/>
    <s v="Monday"/>
    <n v="1"/>
    <s v="Monday"/>
    <n v="3"/>
    <s v="AMS-102SGX"/>
    <x v="3"/>
    <s v="SGX"/>
    <x v="1"/>
    <n v="50"/>
    <n v="839.91731279979126"/>
    <x v="3"/>
    <x v="3"/>
    <x v="3"/>
  </r>
  <r>
    <n v="1205"/>
    <x v="1"/>
    <x v="4"/>
    <d v="1985-03-07T00:00:00"/>
    <s v="F"/>
    <s v="Cancelled"/>
    <x v="1"/>
    <x v="1"/>
    <x v="1"/>
    <s v="Osaka Japan International Airport"/>
    <n v="102"/>
    <s v="Monday"/>
    <n v="1"/>
    <s v="Monday"/>
    <n v="3"/>
    <s v="KIX-102JPY"/>
    <x v="4"/>
    <s v="JPY"/>
    <x v="3"/>
    <n v="50"/>
    <n v="919.86165280741784"/>
    <x v="4"/>
    <x v="4"/>
    <x v="4"/>
  </r>
  <r>
    <n v="1206"/>
    <x v="1"/>
    <x v="5"/>
    <d v="1965-01-06T00:00:00"/>
    <s v="M"/>
    <s v="Confirmed"/>
    <x v="0"/>
    <x v="0"/>
    <x v="2"/>
    <m/>
    <n v="107"/>
    <s v="Saturday"/>
    <n v="3"/>
    <s v="Saturday"/>
    <n v="5"/>
    <s v="DPS-107SJ"/>
    <x v="5"/>
    <s v="SJ"/>
    <x v="4"/>
    <n v="100"/>
    <n v="130.45310712541561"/>
    <x v="5"/>
    <x v="0"/>
    <x v="5"/>
  </r>
  <r>
    <n v="1207"/>
    <x v="1"/>
    <x v="6"/>
    <d v="1967-02-08T00:00:00"/>
    <s v="F"/>
    <s v="Confirmed"/>
    <x v="0"/>
    <x v="0"/>
    <x v="3"/>
    <m/>
    <n v="103"/>
    <s v="Tuesday"/>
    <n v="3"/>
    <s v="Tuesday"/>
    <n v="5"/>
    <s v="JOG-103IU"/>
    <x v="6"/>
    <s v="IU"/>
    <x v="0"/>
    <n v="100"/>
    <n v="133.79805859016986"/>
    <x v="6"/>
    <x v="0"/>
    <x v="6"/>
  </r>
  <r>
    <n v="1208"/>
    <x v="2"/>
    <x v="7"/>
    <s v="07/22/95"/>
    <s v="F"/>
    <s v="Cancelled"/>
    <x v="1"/>
    <x v="1"/>
    <x v="1"/>
    <s v="Seri BegawanInternational Airport"/>
    <n v="102"/>
    <s v="Monday"/>
    <n v="1"/>
    <s v="Monday"/>
    <n v="3"/>
    <s v="BWN-102QR"/>
    <x v="7"/>
    <s v="QR"/>
    <x v="5"/>
    <n v="50"/>
    <n v="582.02155486723893"/>
    <x v="7"/>
    <x v="5"/>
    <x v="7"/>
  </r>
  <r>
    <n v="1209"/>
    <x v="2"/>
    <x v="8"/>
    <s v="06/18/90"/>
    <s v="M"/>
    <s v="Cancelled"/>
    <x v="0"/>
    <x v="0"/>
    <x v="4"/>
    <m/>
    <n v="103"/>
    <s v="Tuesday"/>
    <n v="3"/>
    <s v="Tuesday"/>
    <n v="5"/>
    <s v="AMQ-103FS"/>
    <x v="8"/>
    <s v="FS"/>
    <x v="6"/>
    <n v="100"/>
    <n v="250.87135985656849"/>
    <x v="8"/>
    <x v="0"/>
    <x v="8"/>
  </r>
  <r>
    <n v="1210"/>
    <x v="2"/>
    <x v="9"/>
    <d v="1997-12-05T00:00:00"/>
    <s v="M"/>
    <s v="Cancelled"/>
    <x v="0"/>
    <x v="0"/>
    <x v="5"/>
    <m/>
    <n v="107"/>
    <s v="Saturday"/>
    <n v="3"/>
    <s v="Saturday"/>
    <n v="5"/>
    <s v="SUB-107FS"/>
    <x v="9"/>
    <s v="FS"/>
    <x v="6"/>
    <n v="100"/>
    <n v="130.45310712541561"/>
    <x v="5"/>
    <x v="0"/>
    <x v="5"/>
  </r>
  <r>
    <n v="1211"/>
    <x v="2"/>
    <x v="10"/>
    <s v="04/13/91"/>
    <s v="F"/>
    <s v="Confirmed"/>
    <x v="0"/>
    <x v="0"/>
    <x v="6"/>
    <m/>
    <n v="102"/>
    <s v="Monday"/>
    <n v="1"/>
    <s v="Monday"/>
    <n v="3"/>
    <s v="PLM-102GA"/>
    <x v="10"/>
    <s v="GA"/>
    <x v="7"/>
    <n v="100"/>
    <n v="147.17786444918684"/>
    <x v="0"/>
    <x v="0"/>
    <x v="0"/>
  </r>
  <r>
    <n v="1212"/>
    <x v="2"/>
    <x v="11"/>
    <d v="1988-04-04T00:00:00"/>
    <s v="F"/>
    <s v="Confirmed"/>
    <x v="1"/>
    <x v="1"/>
    <x v="1"/>
    <s v="Baiyun International Airport"/>
    <n v="105"/>
    <s v="Thursday"/>
    <n v="9"/>
    <s v="Thursday"/>
    <n v="11"/>
    <s v="CAN-105TAT"/>
    <x v="11"/>
    <s v="TAT"/>
    <x v="8"/>
    <n v="50"/>
    <n v="658.95543855658661"/>
    <x v="9"/>
    <x v="6"/>
    <x v="9"/>
  </r>
  <r>
    <n v="1213"/>
    <x v="2"/>
    <x v="12"/>
    <s v="08/20/95"/>
    <s v="M"/>
    <s v="Confirmed"/>
    <x v="1"/>
    <x v="1"/>
    <x v="1"/>
    <s v="Zurich International Airport"/>
    <n v="102"/>
    <s v="Monday"/>
    <n v="1"/>
    <s v="Monday"/>
    <n v="3"/>
    <s v="ZRH-102TRY"/>
    <x v="12"/>
    <s v="TRY"/>
    <x v="9"/>
    <n v="50"/>
    <n v="699.429351280113"/>
    <x v="10"/>
    <x v="7"/>
    <x v="10"/>
  </r>
  <r>
    <n v="1214"/>
    <x v="2"/>
    <x v="13"/>
    <s v="08/27/98"/>
    <s v="F"/>
    <s v="Confirmed"/>
    <x v="1"/>
    <x v="1"/>
    <x v="1"/>
    <s v="Brisbane International Airport"/>
    <n v="105"/>
    <s v="Thursday"/>
    <n v="9"/>
    <s v="Thursday"/>
    <n v="11"/>
    <s v="BNE-105QR"/>
    <x v="13"/>
    <s v="QR"/>
    <x v="5"/>
    <n v="50"/>
    <n v="692.40495320412901"/>
    <x v="11"/>
    <x v="8"/>
    <x v="11"/>
  </r>
  <r>
    <n v="1215"/>
    <x v="2"/>
    <x v="14"/>
    <s v="07/13/90"/>
    <s v="F"/>
    <s v="Confirmed"/>
    <x v="1"/>
    <x v="1"/>
    <x v="1"/>
    <s v="Darwin International Airport"/>
    <n v="102"/>
    <s v="Monday"/>
    <n v="1"/>
    <s v="Monday"/>
    <n v="3"/>
    <s v="DRW-102EK"/>
    <x v="14"/>
    <s v="EK"/>
    <x v="2"/>
    <n v="50"/>
    <n v="705.784759063146"/>
    <x v="12"/>
    <x v="9"/>
    <x v="12"/>
  </r>
  <r>
    <n v="1216"/>
    <x v="2"/>
    <x v="15"/>
    <s v="03/29/65"/>
    <s v="F"/>
    <s v="Confirmed"/>
    <x v="1"/>
    <x v="1"/>
    <x v="1"/>
    <s v="Schiphol International Airport"/>
    <n v="105"/>
    <s v="Thursday"/>
    <n v="9"/>
    <s v="Thursday"/>
    <n v="11"/>
    <s v="AMS-105CX"/>
    <x v="3"/>
    <s v="CX"/>
    <x v="10"/>
    <n v="50"/>
    <n v="839.91731279979126"/>
    <x v="3"/>
    <x v="3"/>
    <x v="3"/>
  </r>
  <r>
    <n v="1217"/>
    <x v="3"/>
    <x v="16"/>
    <s v="03/22/67"/>
    <s v="M"/>
    <s v="Confirmed"/>
    <x v="0"/>
    <x v="0"/>
    <x v="2"/>
    <m/>
    <n v="104"/>
    <s v="Wednesday"/>
    <n v="7"/>
    <s v="Wednesday"/>
    <n v="9"/>
    <s v="DPS-104QZ"/>
    <x v="5"/>
    <s v="QZ"/>
    <x v="11"/>
    <n v="100"/>
    <n v="130.45310712541561"/>
    <x v="5"/>
    <x v="0"/>
    <x v="5"/>
  </r>
  <r>
    <n v="1218"/>
    <x v="3"/>
    <x v="17"/>
    <d v="1999-07-07T00:00:00"/>
    <s v="F"/>
    <s v="Confirmed"/>
    <x v="1"/>
    <x v="1"/>
    <x v="1"/>
    <s v="Incheon International Aiport"/>
    <n v="104"/>
    <s v="Wednesday"/>
    <n v="7"/>
    <s v="Wednesday"/>
    <n v="9"/>
    <s v="ICN-104SGX"/>
    <x v="15"/>
    <s v="SGX"/>
    <x v="1"/>
    <n v="50"/>
    <n v="558.94138976043462"/>
    <x v="13"/>
    <x v="10"/>
    <x v="13"/>
  </r>
  <r>
    <n v="1219"/>
    <x v="3"/>
    <x v="18"/>
    <s v="04/25/88"/>
    <s v="M"/>
    <s v="Cancelled"/>
    <x v="1"/>
    <x v="1"/>
    <x v="1"/>
    <s v="Narita Tokyo International Airport"/>
    <n v="103"/>
    <s v="Tuesday"/>
    <n v="3"/>
    <s v="Tuesday"/>
    <n v="5"/>
    <s v="NRT-103NH"/>
    <x v="1"/>
    <s v="NH"/>
    <x v="12"/>
    <n v="50"/>
    <n v="551.91699168445064"/>
    <x v="1"/>
    <x v="1"/>
    <x v="1"/>
  </r>
  <r>
    <n v="1220"/>
    <x v="4"/>
    <x v="19"/>
    <s v="04/28/86"/>
    <s v="F"/>
    <s v="Cancelled"/>
    <x v="1"/>
    <x v="1"/>
    <x v="1"/>
    <s v="Incheon International Aiport"/>
    <n v="103"/>
    <s v="Tuesday"/>
    <n v="3"/>
    <s v="Tuesday"/>
    <n v="5"/>
    <s v="ICN-103JPY"/>
    <x v="15"/>
    <s v="JPY"/>
    <x v="3"/>
    <n v="50"/>
    <n v="558.94138976043462"/>
    <x v="13"/>
    <x v="10"/>
    <x v="13"/>
  </r>
  <r>
    <n v="1221"/>
    <x v="4"/>
    <x v="20"/>
    <d v="1968-10-07T00:00:00"/>
    <s v="M"/>
    <s v="Confirmed"/>
    <x v="0"/>
    <x v="0"/>
    <x v="7"/>
    <m/>
    <n v="106"/>
    <s v="Friday"/>
    <n v="12"/>
    <s v="Friday"/>
    <n v="14"/>
    <s v="UPG-106IN"/>
    <x v="16"/>
    <s v="IN"/>
    <x v="13"/>
    <n v="100"/>
    <n v="157.21271884344958"/>
    <x v="14"/>
    <x v="0"/>
    <x v="14"/>
  </r>
  <r>
    <n v="1222"/>
    <x v="4"/>
    <x v="21"/>
    <d v="1967-10-10T00:00:00"/>
    <s v="F"/>
    <s v="Confirmed"/>
    <x v="0"/>
    <x v="0"/>
    <x v="8"/>
    <m/>
    <n v="104"/>
    <s v="Wednesday"/>
    <n v="7"/>
    <s v="Wednesday"/>
    <n v="9"/>
    <s v="DJB-104JT"/>
    <x v="17"/>
    <s v="JT"/>
    <x v="14"/>
    <n v="100"/>
    <n v="157.54721398992501"/>
    <x v="15"/>
    <x v="0"/>
    <x v="15"/>
  </r>
  <r>
    <n v="1223"/>
    <x v="4"/>
    <x v="22"/>
    <s v="10/23/99"/>
    <s v="F"/>
    <s v="Cancelled"/>
    <x v="0"/>
    <x v="0"/>
    <x v="9"/>
    <m/>
    <n v="104"/>
    <s v="Wednesday"/>
    <n v="7"/>
    <s v="Wednesday"/>
    <n v="9"/>
    <s v="PDG-104GA"/>
    <x v="18"/>
    <s v="GA"/>
    <x v="7"/>
    <n v="100"/>
    <n v="147.17786444918684"/>
    <x v="0"/>
    <x v="0"/>
    <x v="0"/>
  </r>
  <r>
    <n v="1224"/>
    <x v="4"/>
    <x v="23"/>
    <d v="1995-09-08T00:00:00"/>
    <s v="M"/>
    <s v="Cancelled"/>
    <x v="0"/>
    <x v="0"/>
    <x v="9"/>
    <m/>
    <n v="103"/>
    <s v="Tuesday"/>
    <n v="3"/>
    <s v="Tuesday"/>
    <n v="5"/>
    <s v="PDG-103IU"/>
    <x v="18"/>
    <s v="IU"/>
    <x v="0"/>
    <n v="100"/>
    <n v="147.17786444918684"/>
    <x v="0"/>
    <x v="0"/>
    <x v="0"/>
  </r>
  <r>
    <n v="1225"/>
    <x v="4"/>
    <x v="24"/>
    <s v="03/18/99"/>
    <s v="F"/>
    <s v="Cancelled"/>
    <x v="0"/>
    <x v="0"/>
    <x v="2"/>
    <m/>
    <n v="106"/>
    <s v="Friday"/>
    <n v="12"/>
    <s v="Friday"/>
    <n v="14"/>
    <s v="DPS-106QZ"/>
    <x v="5"/>
    <s v="QZ"/>
    <x v="11"/>
    <n v="100"/>
    <n v="130.45310712541561"/>
    <x v="5"/>
    <x v="0"/>
    <x v="5"/>
  </r>
  <r>
    <n v="1226"/>
    <x v="4"/>
    <x v="25"/>
    <d v="1997-11-03T00:00:00"/>
    <s v="F"/>
    <s v="Confirmed"/>
    <x v="0"/>
    <x v="0"/>
    <x v="2"/>
    <m/>
    <n v="103"/>
    <s v="Tuesday"/>
    <n v="3"/>
    <s v="Tuesday"/>
    <n v="5"/>
    <s v="DPS-103QZ"/>
    <x v="5"/>
    <s v="QZ"/>
    <x v="11"/>
    <n v="100"/>
    <n v="130.45310712541561"/>
    <x v="5"/>
    <x v="0"/>
    <x v="5"/>
  </r>
  <r>
    <n v="1227"/>
    <x v="4"/>
    <x v="26"/>
    <d v="1997-12-07T00:00:00"/>
    <s v="F"/>
    <s v="Confirmed"/>
    <x v="0"/>
    <x v="0"/>
    <x v="4"/>
    <m/>
    <n v="104"/>
    <s v="Wednesday"/>
    <n v="7"/>
    <s v="Wednesday"/>
    <n v="9"/>
    <s v="AMQ-104JT"/>
    <x v="8"/>
    <s v="JT"/>
    <x v="14"/>
    <n v="100"/>
    <n v="250.87135985656849"/>
    <x v="8"/>
    <x v="0"/>
    <x v="8"/>
  </r>
  <r>
    <n v="1228"/>
    <x v="4"/>
    <x v="27"/>
    <d v="1986-07-06T00:00:00"/>
    <s v="F"/>
    <s v="Confirmed"/>
    <x v="0"/>
    <x v="0"/>
    <x v="10"/>
    <m/>
    <n v="105"/>
    <s v="Thursday"/>
    <n v="9"/>
    <s v="Thursday"/>
    <n v="11"/>
    <s v="SOC-105ID"/>
    <x v="19"/>
    <s v="ID"/>
    <x v="15"/>
    <n v="100"/>
    <n v="173.93747616722081"/>
    <x v="16"/>
    <x v="0"/>
    <x v="16"/>
  </r>
  <r>
    <n v="1229"/>
    <x v="4"/>
    <x v="28"/>
    <d v="1980-03-05T00:00:00"/>
    <s v="M"/>
    <s v="Confirmed"/>
    <x v="0"/>
    <x v="0"/>
    <x v="11"/>
    <m/>
    <n v="101"/>
    <s v="Sunday"/>
    <n v="9"/>
    <s v="Sunday"/>
    <n v="11"/>
    <s v="MLG-101SJ"/>
    <x v="20"/>
    <s v="SJ"/>
    <x v="4"/>
    <n v="100"/>
    <n v="147.17786444918684"/>
    <x v="0"/>
    <x v="0"/>
    <x v="0"/>
  </r>
  <r>
    <n v="1230"/>
    <x v="5"/>
    <x v="29"/>
    <d v="1980-12-12T00:00:00"/>
    <s v="F"/>
    <s v="Confirmed"/>
    <x v="0"/>
    <x v="0"/>
    <x v="12"/>
    <m/>
    <n v="105"/>
    <s v="Thursday"/>
    <n v="9"/>
    <s v="Thursday"/>
    <n v="11"/>
    <s v="LOP-105IN"/>
    <x v="21"/>
    <s v="IN"/>
    <x v="13"/>
    <n v="100"/>
    <n v="157.21271884344958"/>
    <x v="14"/>
    <x v="0"/>
    <x v="14"/>
  </r>
  <r>
    <n v="1231"/>
    <x v="5"/>
    <x v="30"/>
    <d v="1981-04-12T00:00:00"/>
    <s v="F"/>
    <s v="Confirmed"/>
    <x v="1"/>
    <x v="1"/>
    <x v="1"/>
    <s v="Da Nang International Airport"/>
    <n v="104"/>
    <s v="Wednesday"/>
    <n v="7"/>
    <s v="Wednesday"/>
    <n v="9"/>
    <s v="DAD-104TG"/>
    <x v="22"/>
    <s v="TG"/>
    <x v="16"/>
    <n v="50"/>
    <n v="759.30398249921393"/>
    <x v="17"/>
    <x v="11"/>
    <x v="17"/>
  </r>
  <r>
    <n v="1232"/>
    <x v="5"/>
    <x v="31"/>
    <s v="05/27/83"/>
    <s v="F"/>
    <s v="Confirmed"/>
    <x v="0"/>
    <x v="0"/>
    <x v="13"/>
    <m/>
    <n v="103"/>
    <s v="Tuesday"/>
    <n v="3"/>
    <s v="Tuesday"/>
    <n v="5"/>
    <s v="PNK-103QG"/>
    <x v="23"/>
    <s v="QG"/>
    <x v="17"/>
    <n v="100"/>
    <n v="143.8329129844326"/>
    <x v="18"/>
    <x v="0"/>
    <x v="18"/>
  </r>
  <r>
    <n v="1233"/>
    <x v="5"/>
    <x v="32"/>
    <d v="1982-06-06T00:00:00"/>
    <s v="F"/>
    <s v="Confirmed"/>
    <x v="1"/>
    <x v="1"/>
    <x v="1"/>
    <s v="Capital International Airport"/>
    <n v="103"/>
    <s v="Tuesday"/>
    <n v="3"/>
    <s v="Tuesday"/>
    <n v="5"/>
    <s v="PEK-103MH"/>
    <x v="24"/>
    <s v="MH"/>
    <x v="18"/>
    <n v="50"/>
    <n v="702.43980759839178"/>
    <x v="19"/>
    <x v="12"/>
    <x v="19"/>
  </r>
  <r>
    <n v="1234"/>
    <x v="6"/>
    <x v="33"/>
    <s v="10/20/90"/>
    <s v="F"/>
    <s v="Confirmed"/>
    <x v="1"/>
    <x v="1"/>
    <x v="1"/>
    <s v="Frankfut German International Airport"/>
    <n v="106"/>
    <s v="Friday"/>
    <n v="12"/>
    <s v="Friday"/>
    <n v="14"/>
    <s v="FRA-106NH"/>
    <x v="25"/>
    <s v="NH"/>
    <x v="12"/>
    <n v="50"/>
    <n v="692.73944835060445"/>
    <x v="20"/>
    <x v="13"/>
    <x v="20"/>
  </r>
  <r>
    <n v="1235"/>
    <x v="6"/>
    <x v="34"/>
    <d v="1992-11-12T00:00:00"/>
    <s v="F"/>
    <s v="Cancelled"/>
    <x v="1"/>
    <x v="1"/>
    <x v="1"/>
    <s v="Frankfut German International Airport"/>
    <n v="103"/>
    <s v="Tuesday"/>
    <n v="3"/>
    <s v="Tuesday"/>
    <n v="5"/>
    <s v="FRA-103TG"/>
    <x v="25"/>
    <s v="TG"/>
    <x v="16"/>
    <n v="50"/>
    <n v="692.73944835060445"/>
    <x v="20"/>
    <x v="13"/>
    <x v="20"/>
  </r>
  <r>
    <n v="1236"/>
    <x v="7"/>
    <x v="35"/>
    <d v="1988-01-01T00:00:00"/>
    <s v="M"/>
    <s v="Cancelled"/>
    <x v="1"/>
    <x v="1"/>
    <x v="1"/>
    <s v="Seri BegawanInternational Airport"/>
    <n v="102"/>
    <s v="Monday"/>
    <n v="1"/>
    <s v="Monday"/>
    <n v="3"/>
    <s v="BWN-102QR"/>
    <x v="7"/>
    <s v="QR"/>
    <x v="5"/>
    <n v="50"/>
    <n v="582.02155486723893"/>
    <x v="7"/>
    <x v="5"/>
    <x v="7"/>
  </r>
  <r>
    <n v="1237"/>
    <x v="7"/>
    <x v="36"/>
    <d v="1999-12-10T00:00:00"/>
    <s v="M"/>
    <s v="Cancelled"/>
    <x v="0"/>
    <x v="0"/>
    <x v="8"/>
    <m/>
    <n v="101"/>
    <s v="Sunday"/>
    <n v="9"/>
    <s v="Sunday"/>
    <n v="11"/>
    <s v="DJB-101QG"/>
    <x v="17"/>
    <s v="QG"/>
    <x v="17"/>
    <n v="100"/>
    <n v="157.54721398992501"/>
    <x v="15"/>
    <x v="0"/>
    <x v="15"/>
  </r>
  <r>
    <n v="1238"/>
    <x v="7"/>
    <x v="37"/>
    <s v="09/22/87"/>
    <s v="F"/>
    <s v="Cancelled"/>
    <x v="0"/>
    <x v="0"/>
    <x v="2"/>
    <m/>
    <n v="103"/>
    <s v="Tuesday"/>
    <n v="3"/>
    <s v="Tuesday"/>
    <n v="5"/>
    <s v="DPS-103FS"/>
    <x v="5"/>
    <s v="FS"/>
    <x v="6"/>
    <n v="100"/>
    <n v="130.45310712541561"/>
    <x v="5"/>
    <x v="0"/>
    <x v="5"/>
  </r>
  <r>
    <n v="1239"/>
    <x v="7"/>
    <x v="38"/>
    <s v="08/28/67"/>
    <s v="F"/>
    <s v="Confirmed"/>
    <x v="0"/>
    <x v="0"/>
    <x v="5"/>
    <m/>
    <n v="107"/>
    <s v="Saturday"/>
    <n v="3"/>
    <s v="Saturday"/>
    <n v="5"/>
    <s v="SUB-107FS"/>
    <x v="9"/>
    <s v="FS"/>
    <x v="6"/>
    <n v="100"/>
    <n v="130.45310712541561"/>
    <x v="5"/>
    <x v="0"/>
    <x v="5"/>
  </r>
  <r>
    <n v="1240"/>
    <x v="7"/>
    <x v="39"/>
    <d v="1999-11-04T00:00:00"/>
    <s v="F"/>
    <s v="Confirmed"/>
    <x v="0"/>
    <x v="0"/>
    <x v="6"/>
    <m/>
    <n v="102"/>
    <s v="Monday"/>
    <n v="1"/>
    <s v="Monday"/>
    <n v="3"/>
    <s v="PLM-102GA"/>
    <x v="10"/>
    <s v="GA"/>
    <x v="7"/>
    <n v="100"/>
    <n v="147.17786444918684"/>
    <x v="0"/>
    <x v="0"/>
    <x v="0"/>
  </r>
  <r>
    <n v="1241"/>
    <x v="8"/>
    <x v="40"/>
    <s v="01/30/98"/>
    <s v="M"/>
    <s v="Confirmed"/>
    <x v="0"/>
    <x v="0"/>
    <x v="5"/>
    <m/>
    <n v="101"/>
    <s v="Sunday"/>
    <n v="9"/>
    <s v="Sunday"/>
    <n v="11"/>
    <s v="SUB-101JT"/>
    <x v="9"/>
    <s v="JT"/>
    <x v="14"/>
    <n v="100"/>
    <n v="130.45310712541561"/>
    <x v="5"/>
    <x v="0"/>
    <x v="5"/>
  </r>
  <r>
    <n v="1242"/>
    <x v="8"/>
    <x v="41"/>
    <s v="04/29/97"/>
    <s v="M"/>
    <s v="Confirmed"/>
    <x v="1"/>
    <x v="1"/>
    <x v="1"/>
    <s v="Darwin International Airport"/>
    <n v="104"/>
    <s v="Wednesday"/>
    <n v="7"/>
    <s v="Wednesday"/>
    <n v="9"/>
    <s v="DRW-104EK"/>
    <x v="14"/>
    <s v="EK"/>
    <x v="2"/>
    <n v="50"/>
    <n v="705.784759063146"/>
    <x v="12"/>
    <x v="9"/>
    <x v="12"/>
  </r>
  <r>
    <n v="1243"/>
    <x v="9"/>
    <x v="42"/>
    <s v="03/22/90"/>
    <s v="M"/>
    <s v="Confirmed"/>
    <x v="1"/>
    <x v="1"/>
    <x v="1"/>
    <s v="Adelaide International Airport"/>
    <n v="106"/>
    <s v="Friday"/>
    <n v="12"/>
    <s v="Friday"/>
    <n v="14"/>
    <s v="ADL-106EK"/>
    <x v="26"/>
    <s v="EK"/>
    <x v="2"/>
    <n v="50"/>
    <n v="786.0635942172479"/>
    <x v="21"/>
    <x v="14"/>
    <x v="21"/>
  </r>
  <r>
    <n v="1244"/>
    <x v="9"/>
    <x v="43"/>
    <s v="10/20/88"/>
    <s v="F"/>
    <s v="Confirmed"/>
    <x v="1"/>
    <x v="1"/>
    <x v="1"/>
    <s v="Istanbul Turkey International Airport"/>
    <n v="103"/>
    <s v="Tuesday"/>
    <n v="3"/>
    <s v="Tuesday"/>
    <n v="5"/>
    <s v="IST-103TRY"/>
    <x v="2"/>
    <s v="TRY"/>
    <x v="9"/>
    <n v="50"/>
    <n v="772.68378835823091"/>
    <x v="2"/>
    <x v="2"/>
    <x v="2"/>
  </r>
  <r>
    <n v="1245"/>
    <x v="9"/>
    <x v="44"/>
    <s v="11/28/85"/>
    <s v="F"/>
    <s v="Confirmed"/>
    <x v="1"/>
    <x v="1"/>
    <x v="1"/>
    <s v="Suvarnabhumi International Airport"/>
    <n v="105"/>
    <s v="Thursday"/>
    <n v="9"/>
    <s v="Thursday"/>
    <n v="11"/>
    <s v="BKK-105TG"/>
    <x v="27"/>
    <s v="TG"/>
    <x v="16"/>
    <n v="50"/>
    <n v="170.59252470246656"/>
    <x v="22"/>
    <x v="15"/>
    <x v="22"/>
  </r>
  <r>
    <n v="1246"/>
    <x v="9"/>
    <x v="45"/>
    <s v="03/22/67"/>
    <s v="M"/>
    <s v="Confirmed"/>
    <x v="1"/>
    <x v="1"/>
    <x v="1"/>
    <s v="Suvarnabhumi International Airport"/>
    <n v="106"/>
    <s v="Friday"/>
    <n v="12"/>
    <s v="Friday"/>
    <n v="14"/>
    <s v="BKK-106SGX"/>
    <x v="27"/>
    <s v="SGX"/>
    <x v="1"/>
    <n v="50"/>
    <n v="170.59252470246656"/>
    <x v="22"/>
    <x v="15"/>
    <x v="22"/>
  </r>
  <r>
    <n v="1247"/>
    <x v="9"/>
    <x v="46"/>
    <d v="1999-07-07T00:00:00"/>
    <s v="M"/>
    <s v="Confirmed"/>
    <x v="1"/>
    <x v="1"/>
    <x v="1"/>
    <s v="Hanoi International Airport"/>
    <n v="104"/>
    <s v="Wednesday"/>
    <n v="7"/>
    <s v="Wednesday"/>
    <n v="9"/>
    <s v="HAN-104NH"/>
    <x v="28"/>
    <s v="NH"/>
    <x v="12"/>
    <n v="50"/>
    <n v="638.88572976806108"/>
    <x v="23"/>
    <x v="16"/>
    <x v="23"/>
  </r>
  <r>
    <n v="1248"/>
    <x v="9"/>
    <x v="47"/>
    <s v="04/25/88"/>
    <s v="M"/>
    <s v="Confirmed"/>
    <x v="1"/>
    <x v="1"/>
    <x v="1"/>
    <s v="Kuala Lumpur International Airport"/>
    <n v="103"/>
    <s v="Tuesday"/>
    <n v="3"/>
    <s v="Tuesday"/>
    <n v="5"/>
    <s v="KUL-103SGX"/>
    <x v="29"/>
    <s v="SGX"/>
    <x v="1"/>
    <n v="50"/>
    <n v="187.31728202623779"/>
    <x v="24"/>
    <x v="17"/>
    <x v="24"/>
  </r>
  <r>
    <n v="1249"/>
    <x v="9"/>
    <x v="48"/>
    <s v="04/28/86"/>
    <s v="F"/>
    <s v="Confirmed"/>
    <x v="1"/>
    <x v="1"/>
    <x v="1"/>
    <s v="Narita Tokyo International Airport"/>
    <n v="107"/>
    <s v="Saturday"/>
    <n v="3"/>
    <s v="Saturday"/>
    <n v="5"/>
    <s v="NRT-107SV"/>
    <x v="1"/>
    <s v="SV"/>
    <x v="19"/>
    <n v="50"/>
    <n v="551.91699168445064"/>
    <x v="1"/>
    <x v="1"/>
    <x v="1"/>
  </r>
  <r>
    <n v="1250"/>
    <x v="10"/>
    <x v="49"/>
    <s v="11/13/77"/>
    <s v="M"/>
    <s v="Confirmed"/>
    <x v="1"/>
    <x v="1"/>
    <x v="1"/>
    <s v="Osaka Japan International Airport"/>
    <n v="104"/>
    <s v="Wednesday"/>
    <n v="7"/>
    <s v="Wednesday"/>
    <n v="9"/>
    <s v="KIX-104SV"/>
    <x v="4"/>
    <s v="SV"/>
    <x v="19"/>
    <n v="50"/>
    <n v="919.86165280741784"/>
    <x v="4"/>
    <x v="4"/>
    <x v="4"/>
  </r>
  <r>
    <n v="1251"/>
    <x v="10"/>
    <x v="50"/>
    <s v="10/13/99"/>
    <s v="M"/>
    <s v="Confirmed"/>
    <x v="1"/>
    <x v="1"/>
    <x v="1"/>
    <s v="Baiyun International Airport"/>
    <n v="105"/>
    <s v="Thursday"/>
    <n v="9"/>
    <s v="Thursday"/>
    <n v="11"/>
    <s v="CAN-105TAT"/>
    <x v="11"/>
    <s v="TAT"/>
    <x v="8"/>
    <n v="50"/>
    <n v="658.95543855658661"/>
    <x v="9"/>
    <x v="6"/>
    <x v="9"/>
  </r>
  <r>
    <n v="1252"/>
    <x v="10"/>
    <x v="51"/>
    <s v="12/31/88"/>
    <s v="M"/>
    <s v="Confirmed"/>
    <x v="1"/>
    <x v="1"/>
    <x v="1"/>
    <s v="Zurich International Airport"/>
    <n v="102"/>
    <s v="Monday"/>
    <n v="1"/>
    <s v="Monday"/>
    <n v="3"/>
    <s v="ZRH-102TRY"/>
    <x v="12"/>
    <s v="TRY"/>
    <x v="9"/>
    <n v="50"/>
    <n v="699.429351280113"/>
    <x v="10"/>
    <x v="7"/>
    <x v="10"/>
  </r>
  <r>
    <n v="1253"/>
    <x v="11"/>
    <x v="52"/>
    <s v="03/18/99"/>
    <s v="M"/>
    <s v="Confirmed"/>
    <x v="1"/>
    <x v="1"/>
    <x v="1"/>
    <s v="Brisbane International Airport"/>
    <n v="105"/>
    <s v="Thursday"/>
    <n v="9"/>
    <s v="Thursday"/>
    <n v="11"/>
    <s v="BNE-105QR"/>
    <x v="13"/>
    <s v="QR"/>
    <x v="5"/>
    <n v="50"/>
    <n v="692.40495320412901"/>
    <x v="11"/>
    <x v="8"/>
    <x v="11"/>
  </r>
  <r>
    <n v="1254"/>
    <x v="12"/>
    <x v="53"/>
    <d v="1997-11-03T00:00:00"/>
    <s v="M"/>
    <s v="Cancelled"/>
    <x v="1"/>
    <x v="1"/>
    <x v="1"/>
    <s v="Darwin International Airport"/>
    <n v="102"/>
    <s v="Monday"/>
    <n v="1"/>
    <s v="Monday"/>
    <n v="3"/>
    <s v="DRW-102EK"/>
    <x v="14"/>
    <s v="EK"/>
    <x v="2"/>
    <n v="50"/>
    <n v="705.784759063146"/>
    <x v="12"/>
    <x v="9"/>
    <x v="12"/>
  </r>
  <r>
    <n v="1255"/>
    <x v="12"/>
    <x v="54"/>
    <d v="1997-12-07T00:00:00"/>
    <s v="F"/>
    <s v="Cancelled"/>
    <x v="1"/>
    <x v="1"/>
    <x v="1"/>
    <s v="Schiphol International Airport"/>
    <n v="105"/>
    <s v="Thursday"/>
    <n v="9"/>
    <s v="Thursday"/>
    <n v="11"/>
    <s v="AMS-105CX"/>
    <x v="3"/>
    <s v="CX"/>
    <x v="10"/>
    <n v="50"/>
    <n v="839.91731279979126"/>
    <x v="3"/>
    <x v="3"/>
    <x v="3"/>
  </r>
  <r>
    <n v="1256"/>
    <x v="12"/>
    <x v="55"/>
    <d v="1986-07-06T00:00:00"/>
    <s v="F"/>
    <s v="Cancelled"/>
    <x v="0"/>
    <x v="0"/>
    <x v="4"/>
    <m/>
    <n v="104"/>
    <s v="Wednesday"/>
    <n v="7"/>
    <s v="Wednesday"/>
    <n v="9"/>
    <s v="AMQ-104JT"/>
    <x v="8"/>
    <s v="JT"/>
    <x v="14"/>
    <n v="100"/>
    <n v="250.87135985656849"/>
    <x v="8"/>
    <x v="0"/>
    <x v="8"/>
  </r>
  <r>
    <n v="1257"/>
    <x v="13"/>
    <x v="56"/>
    <d v="1980-03-05T00:00:00"/>
    <s v="M"/>
    <s v="Cancelled"/>
    <x v="1"/>
    <x v="1"/>
    <x v="1"/>
    <s v="Darwin International Airport"/>
    <n v="104"/>
    <s v="Wednesday"/>
    <n v="7"/>
    <s v="Wednesday"/>
    <n v="9"/>
    <s v="DRW-104EK"/>
    <x v="14"/>
    <s v="EK"/>
    <x v="2"/>
    <n v="50"/>
    <n v="705.784759063146"/>
    <x v="12"/>
    <x v="9"/>
    <x v="12"/>
  </r>
  <r>
    <n v="1258"/>
    <x v="13"/>
    <x v="57"/>
    <d v="1980-12-12T00:00:00"/>
    <s v="F"/>
    <s v="Cancelled"/>
    <x v="1"/>
    <x v="1"/>
    <x v="1"/>
    <s v="Adelaide International Airport"/>
    <n v="106"/>
    <s v="Friday"/>
    <n v="12"/>
    <s v="Friday"/>
    <n v="14"/>
    <s v="ADL-106EK"/>
    <x v="26"/>
    <s v="EK"/>
    <x v="2"/>
    <n v="50"/>
    <n v="786.0635942172479"/>
    <x v="21"/>
    <x v="14"/>
    <x v="21"/>
  </r>
  <r>
    <n v="1259"/>
    <x v="14"/>
    <x v="58"/>
    <d v="1981-04-12T00:00:00"/>
    <s v="M"/>
    <s v="Cancelled"/>
    <x v="1"/>
    <x v="1"/>
    <x v="1"/>
    <s v="Istanbul Turkey International Airport"/>
    <n v="103"/>
    <s v="Tuesday"/>
    <n v="3"/>
    <s v="Tuesday"/>
    <n v="5"/>
    <s v="IST-103TRY"/>
    <x v="2"/>
    <s v="TRY"/>
    <x v="9"/>
    <n v="50"/>
    <n v="772.68378835823091"/>
    <x v="2"/>
    <x v="2"/>
    <x v="2"/>
  </r>
  <r>
    <n v="1260"/>
    <x v="14"/>
    <x v="59"/>
    <s v="05/27/83"/>
    <s v="M"/>
    <s v="Confirmed"/>
    <x v="0"/>
    <x v="0"/>
    <x v="13"/>
    <m/>
    <n v="107"/>
    <s v="Saturday"/>
    <n v="3"/>
    <s v="Saturday"/>
    <n v="5"/>
    <s v="PNK-107IP"/>
    <x v="23"/>
    <s v="IP"/>
    <x v="20"/>
    <n v="100"/>
    <n v="143.8329129844326"/>
    <x v="18"/>
    <x v="0"/>
    <x v="18"/>
  </r>
  <r>
    <n v="1261"/>
    <x v="14"/>
    <x v="60"/>
    <d v="1982-06-06T00:00:00"/>
    <s v="F"/>
    <s v="Confirmed"/>
    <x v="0"/>
    <x v="0"/>
    <x v="13"/>
    <m/>
    <n v="103"/>
    <s v="Tuesday"/>
    <n v="3"/>
    <s v="Tuesday"/>
    <n v="5"/>
    <s v="PNK-103QG"/>
    <x v="23"/>
    <s v="QG"/>
    <x v="17"/>
    <n v="100"/>
    <n v="143.8329129844326"/>
    <x v="18"/>
    <x v="0"/>
    <x v="18"/>
  </r>
  <r>
    <n v="1262"/>
    <x v="15"/>
    <x v="61"/>
    <s v="07/28/99"/>
    <s v="M"/>
    <s v="Confirmed"/>
    <x v="0"/>
    <x v="0"/>
    <x v="9"/>
    <m/>
    <n v="103"/>
    <s v="Tuesday"/>
    <n v="3"/>
    <s v="Tuesday"/>
    <n v="5"/>
    <s v="PDG-103IU"/>
    <x v="18"/>
    <s v="IU"/>
    <x v="0"/>
    <n v="100"/>
    <n v="147.17786444918684"/>
    <x v="0"/>
    <x v="0"/>
    <x v="0"/>
  </r>
  <r>
    <n v="1263"/>
    <x v="15"/>
    <x v="62"/>
    <s v="09/30/90"/>
    <s v="F"/>
    <s v="Confirmed"/>
    <x v="1"/>
    <x v="1"/>
    <x v="1"/>
    <s v="Kopenhagen International Airport"/>
    <n v="101"/>
    <s v="Sunday"/>
    <n v="9"/>
    <s v="Sunday"/>
    <n v="11"/>
    <s v="CPH-101CX"/>
    <x v="30"/>
    <s v="CX"/>
    <x v="10"/>
    <n v="50"/>
    <n v="980.07077917299421"/>
    <x v="25"/>
    <x v="18"/>
    <x v="25"/>
  </r>
  <r>
    <n v="1264"/>
    <x v="16"/>
    <x v="63"/>
    <d v="1992-10-05T00:00:00"/>
    <s v="F"/>
    <s v="Confirmed"/>
    <x v="1"/>
    <x v="1"/>
    <x v="1"/>
    <s v="Adelaide International Airport"/>
    <n v="106"/>
    <s v="Friday"/>
    <n v="12"/>
    <s v="Friday"/>
    <n v="14"/>
    <s v="ADL-106EK"/>
    <x v="26"/>
    <s v="EK"/>
    <x v="2"/>
    <n v="50"/>
    <n v="786.0635942172479"/>
    <x v="21"/>
    <x v="14"/>
    <x v="21"/>
  </r>
  <r>
    <n v="1265"/>
    <x v="16"/>
    <x v="64"/>
    <d v="1968-10-07T00:00:00"/>
    <s v="M"/>
    <s v="Confirmed"/>
    <x v="0"/>
    <x v="0"/>
    <x v="4"/>
    <m/>
    <n v="104"/>
    <s v="Wednesday"/>
    <n v="7"/>
    <s v="Wednesday"/>
    <n v="9"/>
    <s v="AMQ-104JT"/>
    <x v="8"/>
    <s v="JT"/>
    <x v="14"/>
    <n v="100"/>
    <n v="250.87135985656849"/>
    <x v="8"/>
    <x v="0"/>
    <x v="8"/>
  </r>
  <r>
    <n v="1266"/>
    <x v="16"/>
    <x v="65"/>
    <d v="1998-08-10T00:00:00"/>
    <s v="M"/>
    <s v="Confirmed"/>
    <x v="0"/>
    <x v="0"/>
    <x v="10"/>
    <m/>
    <n v="105"/>
    <s v="Thursday"/>
    <n v="9"/>
    <s v="Thursday"/>
    <n v="11"/>
    <s v="SOC-105ID"/>
    <x v="19"/>
    <s v="ID"/>
    <x v="15"/>
    <n v="100"/>
    <n v="173.93747616722081"/>
    <x v="16"/>
    <x v="0"/>
    <x v="16"/>
  </r>
  <r>
    <n v="1267"/>
    <x v="16"/>
    <x v="66"/>
    <d v="1990-10-06T00:00:00"/>
    <s v="M"/>
    <s v="Confirmed"/>
    <x v="0"/>
    <x v="0"/>
    <x v="11"/>
    <m/>
    <n v="101"/>
    <s v="Sunday"/>
    <n v="9"/>
    <s v="Sunday"/>
    <n v="11"/>
    <s v="MLG-101SJ"/>
    <x v="20"/>
    <s v="SJ"/>
    <x v="4"/>
    <n v="100"/>
    <n v="147.17786444918684"/>
    <x v="0"/>
    <x v="0"/>
    <x v="0"/>
  </r>
  <r>
    <n v="1268"/>
    <x v="17"/>
    <x v="67"/>
    <d v="1999-06-06T00:00:00"/>
    <s v="M"/>
    <s v="Confirmed"/>
    <x v="0"/>
    <x v="0"/>
    <x v="12"/>
    <m/>
    <n v="105"/>
    <s v="Thursday"/>
    <n v="9"/>
    <s v="Thursday"/>
    <n v="11"/>
    <s v="LOP-105IN"/>
    <x v="21"/>
    <s v="IN"/>
    <x v="13"/>
    <n v="100"/>
    <n v="157.21271884344958"/>
    <x v="14"/>
    <x v="0"/>
    <x v="14"/>
  </r>
  <r>
    <n v="1269"/>
    <x v="17"/>
    <x v="68"/>
    <s v="10/23/99"/>
    <s v="M"/>
    <s v="Confirmed"/>
    <x v="1"/>
    <x v="1"/>
    <x v="1"/>
    <s v="Capital International Airport"/>
    <n v="105"/>
    <s v="Thursday"/>
    <n v="9"/>
    <s v="Thursday"/>
    <n v="11"/>
    <s v="PEK-105CX"/>
    <x v="24"/>
    <s v="CX"/>
    <x v="10"/>
    <n v="50"/>
    <n v="702.43980759839178"/>
    <x v="19"/>
    <x v="12"/>
    <x v="19"/>
  </r>
  <r>
    <n v="1270"/>
    <x v="18"/>
    <x v="69"/>
    <d v="1995-09-08T00:00:00"/>
    <s v="M"/>
    <s v="Confirmed"/>
    <x v="1"/>
    <x v="1"/>
    <x v="1"/>
    <s v="Seri BegawanInternational Airport"/>
    <n v="107"/>
    <s v="Saturday"/>
    <n v="3"/>
    <s v="Saturday"/>
    <n v="5"/>
    <s v="BWN-107SGX"/>
    <x v="7"/>
    <s v="SGX"/>
    <x v="1"/>
    <n v="50"/>
    <n v="582.02155486723893"/>
    <x v="7"/>
    <x v="5"/>
    <x v="7"/>
  </r>
  <r>
    <n v="1271"/>
    <x v="18"/>
    <x v="70"/>
    <s v="03/18/99"/>
    <s v="F"/>
    <s v="Confirmed"/>
    <x v="1"/>
    <x v="1"/>
    <x v="1"/>
    <s v="Da Nang International Airport"/>
    <n v="104"/>
    <s v="Wednesday"/>
    <n v="7"/>
    <s v="Wednesday"/>
    <n v="9"/>
    <s v="DAD-104TG"/>
    <x v="22"/>
    <s v="TG"/>
    <x v="16"/>
    <n v="50"/>
    <n v="759.30398249921393"/>
    <x v="17"/>
    <x v="11"/>
    <x v="17"/>
  </r>
  <r>
    <n v="1272"/>
    <x v="18"/>
    <x v="71"/>
    <d v="1997-11-03T00:00:00"/>
    <s v="M"/>
    <s v="Confirmed"/>
    <x v="1"/>
    <x v="1"/>
    <x v="1"/>
    <s v="Baiyun International Airport"/>
    <n v="103"/>
    <s v="Tuesday"/>
    <n v="3"/>
    <s v="Tuesday"/>
    <n v="5"/>
    <s v="CAN-103SV"/>
    <x v="11"/>
    <s v="SV"/>
    <x v="19"/>
    <n v="50"/>
    <n v="658.95543855658661"/>
    <x v="9"/>
    <x v="6"/>
    <x v="9"/>
  </r>
  <r>
    <n v="1273"/>
    <x v="19"/>
    <x v="72"/>
    <d v="1997-12-07T00:00:00"/>
    <s v="M"/>
    <s v="Confirmed"/>
    <x v="1"/>
    <x v="1"/>
    <x v="1"/>
    <s v="Zurich International Airport"/>
    <n v="102"/>
    <s v="Monday"/>
    <n v="1"/>
    <s v="Monday"/>
    <n v="3"/>
    <s v="ZRH-102TRY"/>
    <x v="12"/>
    <s v="TRY"/>
    <x v="9"/>
    <n v="50"/>
    <n v="699.429351280113"/>
    <x v="10"/>
    <x v="7"/>
    <x v="10"/>
  </r>
  <r>
    <n v="1274"/>
    <x v="20"/>
    <x v="73"/>
    <d v="1986-07-06T00:00:00"/>
    <s v="F"/>
    <s v="Cancelled"/>
    <x v="0"/>
    <x v="0"/>
    <x v="14"/>
    <m/>
    <n v="105"/>
    <s v="Thursday"/>
    <n v="9"/>
    <s v="Thursday"/>
    <n v="11"/>
    <s v="DJJ-105QZ"/>
    <x v="31"/>
    <s v="QZ"/>
    <x v="11"/>
    <n v="100"/>
    <n v="183.97233056148355"/>
    <x v="26"/>
    <x v="0"/>
    <x v="26"/>
  </r>
  <r>
    <n v="1275"/>
    <x v="20"/>
    <x v="74"/>
    <d v="1980-03-05T00:00:00"/>
    <s v="F"/>
    <s v="Confirmed"/>
    <x v="0"/>
    <x v="0"/>
    <x v="6"/>
    <m/>
    <n v="105"/>
    <s v="Thursday"/>
    <n v="9"/>
    <s v="Thursday"/>
    <n v="11"/>
    <s v="PLM-105JT"/>
    <x v="10"/>
    <s v="JT"/>
    <x v="14"/>
    <n v="100"/>
    <n v="147.17786444918684"/>
    <x v="0"/>
    <x v="0"/>
    <x v="0"/>
  </r>
  <r>
    <n v="1276"/>
    <x v="21"/>
    <x v="75"/>
    <d v="1980-12-12T00:00:00"/>
    <s v="F"/>
    <s v="Confirmed"/>
    <x v="0"/>
    <x v="0"/>
    <x v="3"/>
    <m/>
    <n v="106"/>
    <s v="Friday"/>
    <n v="12"/>
    <s v="Friday"/>
    <n v="14"/>
    <s v="JOG-106GA"/>
    <x v="6"/>
    <s v="GA"/>
    <x v="7"/>
    <n v="100"/>
    <n v="133.79805859016986"/>
    <x v="6"/>
    <x v="0"/>
    <x v="6"/>
  </r>
  <r>
    <n v="1277"/>
    <x v="21"/>
    <x v="76"/>
    <d v="1981-04-12T00:00:00"/>
    <s v="F"/>
    <s v="Confirmed"/>
    <x v="0"/>
    <x v="0"/>
    <x v="3"/>
    <m/>
    <n v="104"/>
    <s v="Wednesday"/>
    <n v="7"/>
    <s v="Wednesday"/>
    <n v="9"/>
    <s v="JOG-104ID"/>
    <x v="6"/>
    <s v="ID"/>
    <x v="15"/>
    <n v="100"/>
    <n v="133.79805859016986"/>
    <x v="6"/>
    <x v="0"/>
    <x v="6"/>
  </r>
  <r>
    <n v="1278"/>
    <x v="21"/>
    <x v="77"/>
    <s v="05/27/83"/>
    <s v="F"/>
    <s v="Cancelled"/>
    <x v="0"/>
    <x v="0"/>
    <x v="12"/>
    <m/>
    <n v="101"/>
    <s v="Sunday"/>
    <n v="9"/>
    <s v="Sunday"/>
    <n v="11"/>
    <s v="LOP-101ID"/>
    <x v="21"/>
    <s v="ID"/>
    <x v="15"/>
    <n v="100"/>
    <n v="157.21271884344958"/>
    <x v="14"/>
    <x v="0"/>
    <x v="14"/>
  </r>
  <r>
    <n v="1279"/>
    <x v="21"/>
    <x v="78"/>
    <d v="1982-06-06T00:00:00"/>
    <s v="F"/>
    <s v="Confirmed"/>
    <x v="0"/>
    <x v="0"/>
    <x v="15"/>
    <m/>
    <n v="103"/>
    <s v="Tuesday"/>
    <n v="3"/>
    <s v="Tuesday"/>
    <n v="5"/>
    <s v="TKG-103ID"/>
    <x v="32"/>
    <s v="ID"/>
    <x v="15"/>
    <n v="100"/>
    <n v="157.21271884344958"/>
    <x v="14"/>
    <x v="0"/>
    <x v="14"/>
  </r>
  <r>
    <n v="1280"/>
    <x v="21"/>
    <x v="79"/>
    <d v="1990-11-08T00:00:00"/>
    <s v="F"/>
    <s v="Confirmed"/>
    <x v="1"/>
    <x v="1"/>
    <x v="1"/>
    <s v="Suvarnabhumi International Airport"/>
    <n v="105"/>
    <s v="Thursday"/>
    <n v="9"/>
    <s v="Thursday"/>
    <n v="11"/>
    <s v="BKK-105TG"/>
    <x v="27"/>
    <s v="TG"/>
    <x v="16"/>
    <n v="50"/>
    <n v="170.59252470246656"/>
    <x v="22"/>
    <x v="15"/>
    <x v="22"/>
  </r>
  <r>
    <n v="1281"/>
    <x v="22"/>
    <x v="80"/>
    <d v="1981-10-12T00:00:00"/>
    <s v="F"/>
    <s v="Confirmed"/>
    <x v="0"/>
    <x v="0"/>
    <x v="11"/>
    <m/>
    <n v="101"/>
    <s v="Sunday"/>
    <n v="9"/>
    <s v="Sunday"/>
    <n v="11"/>
    <s v="MLG-101SJ"/>
    <x v="20"/>
    <s v="SJ"/>
    <x v="4"/>
    <n v="100"/>
    <n v="147.17786444918684"/>
    <x v="0"/>
    <x v="0"/>
    <x v="0"/>
  </r>
  <r>
    <n v="1282"/>
    <x v="22"/>
    <x v="81"/>
    <s v="12/22/97"/>
    <s v="M"/>
    <s v="Confirmed"/>
    <x v="1"/>
    <x v="1"/>
    <x v="1"/>
    <s v="Darwin International Airport"/>
    <n v="102"/>
    <s v="Monday"/>
    <n v="1"/>
    <s v="Monday"/>
    <n v="3"/>
    <s v="DRW-102EK"/>
    <x v="14"/>
    <s v="EK"/>
    <x v="2"/>
    <n v="50"/>
    <n v="705.784759063146"/>
    <x v="12"/>
    <x v="9"/>
    <x v="12"/>
  </r>
  <r>
    <n v="1283"/>
    <x v="22"/>
    <x v="82"/>
    <d v="1999-07-07T00:00:00"/>
    <s v="M"/>
    <s v="Confirmed"/>
    <x v="0"/>
    <x v="0"/>
    <x v="2"/>
    <m/>
    <n v="103"/>
    <s v="Tuesday"/>
    <n v="3"/>
    <s v="Tuesday"/>
    <n v="5"/>
    <s v="DPS-103QZ"/>
    <x v="5"/>
    <s v="QZ"/>
    <x v="11"/>
    <n v="100"/>
    <n v="130.45310712541561"/>
    <x v="5"/>
    <x v="0"/>
    <x v="5"/>
  </r>
  <r>
    <n v="1284"/>
    <x v="22"/>
    <x v="83"/>
    <s v="04/25/88"/>
    <s v="M"/>
    <s v="Confirmed"/>
    <x v="1"/>
    <x v="1"/>
    <x v="1"/>
    <s v="Hanoi International Airport"/>
    <n v="104"/>
    <s v="Wednesday"/>
    <n v="7"/>
    <s v="Wednesday"/>
    <n v="9"/>
    <s v="HAN-104NH"/>
    <x v="28"/>
    <s v="NH"/>
    <x v="12"/>
    <n v="50"/>
    <n v="638.88572976806108"/>
    <x v="23"/>
    <x v="16"/>
    <x v="23"/>
  </r>
  <r>
    <n v="1285"/>
    <x v="22"/>
    <x v="84"/>
    <s v="04/28/86"/>
    <s v="M"/>
    <s v="Confirmed"/>
    <x v="1"/>
    <x v="1"/>
    <x v="1"/>
    <s v="Adelaide International Airport"/>
    <n v="106"/>
    <s v="Friday"/>
    <n v="12"/>
    <s v="Friday"/>
    <n v="14"/>
    <s v="ADL-106EK"/>
    <x v="26"/>
    <s v="EK"/>
    <x v="2"/>
    <n v="50"/>
    <n v="786.0635942172479"/>
    <x v="21"/>
    <x v="14"/>
    <x v="21"/>
  </r>
  <r>
    <n v="1286"/>
    <x v="22"/>
    <x v="85"/>
    <s v="11/13/77"/>
    <s v="F"/>
    <s v="Cancelled"/>
    <x v="0"/>
    <x v="0"/>
    <x v="16"/>
    <m/>
    <n v="101"/>
    <s v="Sunday"/>
    <n v="9"/>
    <s v="Sunday"/>
    <n v="11"/>
    <s v="BTJ-101GA"/>
    <x v="33"/>
    <s v="GA"/>
    <x v="7"/>
    <n v="100"/>
    <n v="163.90262177295807"/>
    <x v="27"/>
    <x v="0"/>
    <x v="27"/>
  </r>
  <r>
    <n v="1287"/>
    <x v="22"/>
    <x v="86"/>
    <s v="10/13/99"/>
    <s v="F"/>
    <s v="Confirmed"/>
    <x v="1"/>
    <x v="1"/>
    <x v="1"/>
    <s v="Indira Gandhi International Airport"/>
    <n v="101"/>
    <s v="Sunday"/>
    <n v="9"/>
    <s v="Sunday"/>
    <n v="11"/>
    <s v="DEL-101MH"/>
    <x v="34"/>
    <s v="MH"/>
    <x v="18"/>
    <n v="50"/>
    <n v="752.6140795697055"/>
    <x v="28"/>
    <x v="19"/>
    <x v="28"/>
  </r>
  <r>
    <n v="1288"/>
    <x v="23"/>
    <x v="87"/>
    <s v="12/31/88"/>
    <s v="F"/>
    <s v="Confirmed"/>
    <x v="0"/>
    <x v="0"/>
    <x v="3"/>
    <m/>
    <n v="104"/>
    <s v="Wednesday"/>
    <n v="7"/>
    <s v="Wednesday"/>
    <n v="9"/>
    <s v="JOG-104ID"/>
    <x v="6"/>
    <s v="ID"/>
    <x v="15"/>
    <n v="100"/>
    <n v="133.79805859016986"/>
    <x v="6"/>
    <x v="0"/>
    <x v="6"/>
  </r>
  <r>
    <n v="1289"/>
    <x v="23"/>
    <x v="88"/>
    <s v="03/18/99"/>
    <s v="F"/>
    <s v="Confirmed"/>
    <x v="1"/>
    <x v="1"/>
    <x v="1"/>
    <s v="Vancouver International Airport"/>
    <n v="106"/>
    <s v="Friday"/>
    <n v="12"/>
    <s v="Friday"/>
    <n v="14"/>
    <s v="YVR-106CX"/>
    <x v="35"/>
    <s v="CX"/>
    <x v="10"/>
    <n v="50"/>
    <n v="913.17174987790929"/>
    <x v="29"/>
    <x v="20"/>
    <x v="29"/>
  </r>
  <r>
    <n v="1290"/>
    <x v="24"/>
    <x v="89"/>
    <s v="10/13/99"/>
    <s v="M"/>
    <s v="Confirmed"/>
    <x v="1"/>
    <x v="1"/>
    <x v="1"/>
    <s v="Kopenhagen International Airport"/>
    <n v="101"/>
    <s v="Sunday"/>
    <n v="9"/>
    <s v="Sunday"/>
    <n v="11"/>
    <s v="CPH-101CX"/>
    <x v="30"/>
    <s v="CX"/>
    <x v="10"/>
    <n v="50"/>
    <n v="980.07077917299421"/>
    <x v="25"/>
    <x v="18"/>
    <x v="25"/>
  </r>
  <r>
    <n v="1291"/>
    <x v="25"/>
    <x v="90"/>
    <s v="12/31/88"/>
    <s v="M"/>
    <s v="Confirmed"/>
    <x v="1"/>
    <x v="1"/>
    <x v="1"/>
    <s v="Kuala Lumpur International Airport"/>
    <n v="103"/>
    <s v="Tuesday"/>
    <n v="3"/>
    <s v="Tuesday"/>
    <n v="5"/>
    <s v="KUL-103SGX"/>
    <x v="29"/>
    <s v="SGX"/>
    <x v="1"/>
    <n v="50"/>
    <n v="187.31728202623779"/>
    <x v="24"/>
    <x v="17"/>
    <x v="24"/>
  </r>
  <r>
    <n v="1292"/>
    <x v="25"/>
    <x v="91"/>
    <s v="03/18/99"/>
    <s v="F"/>
    <s v="Cancelled"/>
    <x v="1"/>
    <x v="1"/>
    <x v="1"/>
    <s v="Narita Tokyo International Airport"/>
    <n v="107"/>
    <s v="Saturday"/>
    <n v="3"/>
    <s v="Saturday"/>
    <n v="5"/>
    <s v="NRT-107SV"/>
    <x v="1"/>
    <s v="SV"/>
    <x v="19"/>
    <n v="50"/>
    <n v="551.91699168445064"/>
    <x v="1"/>
    <x v="1"/>
    <x v="1"/>
  </r>
  <r>
    <n v="1293"/>
    <x v="26"/>
    <x v="92"/>
    <d v="1997-11-03T00:00:00"/>
    <s v="F"/>
    <s v="Cancelled"/>
    <x v="1"/>
    <x v="1"/>
    <x v="1"/>
    <s v="Osaka Japan International Airport"/>
    <n v="104"/>
    <s v="Wednesday"/>
    <n v="7"/>
    <s v="Wednesday"/>
    <n v="9"/>
    <s v="KIX-104SV"/>
    <x v="4"/>
    <s v="SV"/>
    <x v="19"/>
    <n v="50"/>
    <n v="919.86165280741784"/>
    <x v="4"/>
    <x v="4"/>
    <x v="4"/>
  </r>
  <r>
    <n v="1294"/>
    <x v="26"/>
    <x v="93"/>
    <d v="1997-12-07T00:00:00"/>
    <s v="M"/>
    <s v="Confirmed"/>
    <x v="0"/>
    <x v="0"/>
    <x v="15"/>
    <m/>
    <n v="103"/>
    <s v="Tuesday"/>
    <n v="3"/>
    <s v="Tuesday"/>
    <n v="5"/>
    <s v="TKG-103ID"/>
    <x v="32"/>
    <s v="ID"/>
    <x v="15"/>
    <n v="100"/>
    <n v="157.21271884344958"/>
    <x v="14"/>
    <x v="0"/>
    <x v="14"/>
  </r>
  <r>
    <n v="1295"/>
    <x v="27"/>
    <x v="94"/>
    <d v="1986-07-06T00:00:00"/>
    <s v="M"/>
    <s v="Confirmed"/>
    <x v="1"/>
    <x v="1"/>
    <x v="1"/>
    <s v="Zurich International Airport"/>
    <n v="102"/>
    <s v="Monday"/>
    <n v="1"/>
    <s v="Monday"/>
    <n v="3"/>
    <s v="ZRH-102TRY"/>
    <x v="12"/>
    <s v="TRY"/>
    <x v="9"/>
    <n v="50"/>
    <n v="699.429351280113"/>
    <x v="10"/>
    <x v="7"/>
    <x v="10"/>
  </r>
  <r>
    <n v="1296"/>
    <x v="27"/>
    <x v="95"/>
    <d v="1980-03-05T00:00:00"/>
    <s v="M"/>
    <s v="Confirmed"/>
    <x v="0"/>
    <x v="0"/>
    <x v="5"/>
    <m/>
    <n v="101"/>
    <s v="Sunday"/>
    <n v="9"/>
    <s v="Sunday"/>
    <n v="11"/>
    <s v="SUB-101JT"/>
    <x v="9"/>
    <s v="JT"/>
    <x v="14"/>
    <n v="100"/>
    <n v="130.45310712541561"/>
    <x v="5"/>
    <x v="0"/>
    <x v="5"/>
  </r>
  <r>
    <n v="1297"/>
    <x v="27"/>
    <x v="96"/>
    <d v="1980-12-12T00:00:00"/>
    <s v="F"/>
    <s v="Confirmed"/>
    <x v="0"/>
    <x v="0"/>
    <x v="17"/>
    <m/>
    <n v="105"/>
    <s v="Thursday"/>
    <n v="9"/>
    <s v="Thursday"/>
    <n v="11"/>
    <s v="PKU-105ID"/>
    <x v="36"/>
    <s v="ID"/>
    <x v="15"/>
    <n v="100"/>
    <n v="133.79805859016986"/>
    <x v="6"/>
    <x v="0"/>
    <x v="6"/>
  </r>
  <r>
    <n v="1298"/>
    <x v="27"/>
    <x v="97"/>
    <d v="1981-04-12T00:00:00"/>
    <s v="F"/>
    <s v="Confirmed"/>
    <x v="0"/>
    <x v="0"/>
    <x v="16"/>
    <m/>
    <n v="104"/>
    <s v="Wednesday"/>
    <n v="7"/>
    <s v="Wednesday"/>
    <n v="9"/>
    <s v="BTJ-104ID"/>
    <x v="33"/>
    <s v="ID"/>
    <x v="15"/>
    <n v="100"/>
    <n v="163.90262177295807"/>
    <x v="27"/>
    <x v="0"/>
    <x v="27"/>
  </r>
  <r>
    <n v="1299"/>
    <x v="28"/>
    <x v="98"/>
    <d v="1999-12-10T00:00:00"/>
    <s v="F"/>
    <s v="Cancelled"/>
    <x v="0"/>
    <x v="0"/>
    <x v="13"/>
    <m/>
    <n v="103"/>
    <s v="Tuesday"/>
    <n v="3"/>
    <s v="Tuesday"/>
    <n v="5"/>
    <s v="PNK-103GA"/>
    <x v="23"/>
    <s v="GA"/>
    <x v="7"/>
    <n v="100"/>
    <n v="143.8329129844326"/>
    <x v="18"/>
    <x v="0"/>
    <x v="18"/>
  </r>
  <r>
    <n v="1300"/>
    <x v="28"/>
    <x v="99"/>
    <s v="09/22/87"/>
    <s v="F"/>
    <s v="Confirmed"/>
    <x v="0"/>
    <x v="0"/>
    <x v="2"/>
    <m/>
    <n v="102"/>
    <s v="Monday"/>
    <n v="1"/>
    <s v="Monday"/>
    <n v="3"/>
    <s v="DPS-102GA"/>
    <x v="5"/>
    <s v="GA"/>
    <x v="7"/>
    <n v="100"/>
    <n v="130.45310712541561"/>
    <x v="5"/>
    <x v="0"/>
    <x v="5"/>
  </r>
  <r>
    <n v="1301"/>
    <x v="28"/>
    <x v="100"/>
    <s v="08/28/67"/>
    <s v="M"/>
    <s v="Confirmed"/>
    <x v="0"/>
    <x v="0"/>
    <x v="17"/>
    <m/>
    <n v="105"/>
    <s v="Thursday"/>
    <n v="9"/>
    <s v="Thursday"/>
    <n v="11"/>
    <s v="PKU-105ID"/>
    <x v="36"/>
    <s v="ID"/>
    <x v="15"/>
    <n v="100"/>
    <n v="133.79805859016986"/>
    <x v="6"/>
    <x v="0"/>
    <x v="6"/>
  </r>
  <r>
    <n v="1302"/>
    <x v="28"/>
    <x v="101"/>
    <d v="1999-11-04T00:00:00"/>
    <s v="M"/>
    <s v="Confirmed"/>
    <x v="0"/>
    <x v="0"/>
    <x v="16"/>
    <m/>
    <n v="104"/>
    <s v="Wednesday"/>
    <n v="7"/>
    <s v="Wednesday"/>
    <n v="9"/>
    <s v="BTJ-104ID"/>
    <x v="33"/>
    <s v="ID"/>
    <x v="15"/>
    <n v="100"/>
    <n v="163.90262177295807"/>
    <x v="27"/>
    <x v="0"/>
    <x v="27"/>
  </r>
  <r>
    <n v="1303"/>
    <x v="28"/>
    <x v="102"/>
    <s v="01/30/98"/>
    <s v="F"/>
    <s v="Cancelled"/>
    <x v="0"/>
    <x v="0"/>
    <x v="13"/>
    <m/>
    <n v="103"/>
    <s v="Tuesday"/>
    <n v="3"/>
    <s v="Tuesday"/>
    <n v="5"/>
    <s v="PNK-103GA"/>
    <x v="23"/>
    <s v="GA"/>
    <x v="7"/>
    <n v="100"/>
    <n v="143.8329129844326"/>
    <x v="18"/>
    <x v="0"/>
    <x v="18"/>
  </r>
  <r>
    <n v="1304"/>
    <x v="28"/>
    <x v="103"/>
    <s v="04/29/97"/>
    <s v="F"/>
    <s v="Confirmed"/>
    <x v="0"/>
    <x v="0"/>
    <x v="2"/>
    <m/>
    <n v="102"/>
    <s v="Monday"/>
    <n v="1"/>
    <s v="Monday"/>
    <n v="3"/>
    <s v="DPS-102GA"/>
    <x v="5"/>
    <s v="GA"/>
    <x v="7"/>
    <n v="100"/>
    <n v="130.45310712541561"/>
    <x v="5"/>
    <x v="0"/>
    <x v="5"/>
  </r>
  <r>
    <n v="1305"/>
    <x v="29"/>
    <x v="104"/>
    <s v="03/22/90"/>
    <s v="F"/>
    <s v="Confirmed"/>
    <x v="0"/>
    <x v="0"/>
    <x v="2"/>
    <m/>
    <n v="104"/>
    <s v="Wednesday"/>
    <n v="7"/>
    <s v="Wednesday"/>
    <n v="9"/>
    <s v="DPS-104QZ"/>
    <x v="5"/>
    <s v="QZ"/>
    <x v="11"/>
    <n v="100"/>
    <n v="130.45310712541561"/>
    <x v="5"/>
    <x v="0"/>
    <x v="5"/>
  </r>
  <r>
    <n v="1306"/>
    <x v="29"/>
    <x v="105"/>
    <s v="10/20/88"/>
    <s v="M"/>
    <s v="Cancelled"/>
    <x v="0"/>
    <x v="0"/>
    <x v="0"/>
    <m/>
    <n v="102"/>
    <s v="Monday"/>
    <n v="1"/>
    <s v="Monday"/>
    <n v="3"/>
    <s v="KNO-102GA"/>
    <x v="0"/>
    <s v="GA"/>
    <x v="7"/>
    <n v="100"/>
    <n v="147.17786444918684"/>
    <x v="0"/>
    <x v="0"/>
    <x v="0"/>
  </r>
  <r>
    <n v="1307"/>
    <x v="29"/>
    <x v="106"/>
    <s v="11/28/85"/>
    <s v="M"/>
    <s v="Confirmed"/>
    <x v="0"/>
    <x v="0"/>
    <x v="18"/>
    <m/>
    <n v="105"/>
    <s v="Thursday"/>
    <n v="9"/>
    <s v="Thursday"/>
    <n v="11"/>
    <s v="SRG-105IP"/>
    <x v="37"/>
    <s v="IP"/>
    <x v="20"/>
    <n v="100"/>
    <n v="127.10815566066137"/>
    <x v="30"/>
    <x v="0"/>
    <x v="30"/>
  </r>
  <r>
    <n v="1308"/>
    <x v="30"/>
    <x v="107"/>
    <s v="03/22/67"/>
    <s v="F"/>
    <s v="Confirmed"/>
    <x v="0"/>
    <x v="0"/>
    <x v="19"/>
    <m/>
    <n v="103"/>
    <s v="Tuesday"/>
    <n v="3"/>
    <s v="Tuesday"/>
    <n v="5"/>
    <s v="BTH-1038B"/>
    <x v="38"/>
    <s v="8B"/>
    <x v="21"/>
    <n v="100"/>
    <n v="220.76679667378028"/>
    <x v="31"/>
    <x v="0"/>
    <x v="31"/>
  </r>
  <r>
    <n v="1309"/>
    <x v="30"/>
    <x v="108"/>
    <d v="1999-07-07T00:00:00"/>
    <s v="F"/>
    <s v="Confirmed"/>
    <x v="1"/>
    <x v="1"/>
    <x v="1"/>
    <s v="Kuala Lumpur International Airport"/>
    <n v="103"/>
    <s v="Tuesday"/>
    <n v="3"/>
    <s v="Tuesday"/>
    <n v="5"/>
    <s v="KUL-103SGX"/>
    <x v="29"/>
    <s v="SGX"/>
    <x v="1"/>
    <n v="50"/>
    <n v="187.31728202623779"/>
    <x v="24"/>
    <x v="17"/>
    <x v="24"/>
  </r>
  <r>
    <n v="1310"/>
    <x v="30"/>
    <x v="109"/>
    <s v="04/25/88"/>
    <s v="F"/>
    <s v="Confirmed"/>
    <x v="0"/>
    <x v="0"/>
    <x v="8"/>
    <m/>
    <n v="104"/>
    <s v="Wednesday"/>
    <n v="7"/>
    <s v="Wednesday"/>
    <n v="9"/>
    <s v="DJB-104JT"/>
    <x v="17"/>
    <s v="JT"/>
    <x v="14"/>
    <n v="100"/>
    <n v="157.54721398992501"/>
    <x v="15"/>
    <x v="0"/>
    <x v="15"/>
  </r>
  <r>
    <n v="1311"/>
    <x v="30"/>
    <x v="110"/>
    <s v="04/28/86"/>
    <s v="M"/>
    <s v="Confirmed"/>
    <x v="0"/>
    <x v="0"/>
    <x v="9"/>
    <m/>
    <n v="104"/>
    <s v="Wednesday"/>
    <n v="7"/>
    <s v="Wednesday"/>
    <n v="9"/>
    <s v="PDG-104GA"/>
    <x v="18"/>
    <s v="GA"/>
    <x v="7"/>
    <n v="100"/>
    <n v="147.17786444918684"/>
    <x v="0"/>
    <x v="0"/>
    <x v="0"/>
  </r>
  <r>
    <n v="1312"/>
    <x v="31"/>
    <x v="111"/>
    <s v="11/13/77"/>
    <s v="F"/>
    <s v="Cancelled"/>
    <x v="1"/>
    <x v="1"/>
    <x v="1"/>
    <s v="Baiyun International Airport"/>
    <n v="105"/>
    <s v="Thursday"/>
    <n v="9"/>
    <s v="Thursday"/>
    <n v="11"/>
    <s v="CAN-105TAT"/>
    <x v="11"/>
    <s v="TAT"/>
    <x v="8"/>
    <n v="50"/>
    <n v="658.95543855658661"/>
    <x v="9"/>
    <x v="6"/>
    <x v="9"/>
  </r>
  <r>
    <n v="1313"/>
    <x v="31"/>
    <x v="112"/>
    <s v="10/13/99"/>
    <s v="F"/>
    <s v="Confirmed"/>
    <x v="0"/>
    <x v="0"/>
    <x v="2"/>
    <m/>
    <n v="106"/>
    <s v="Friday"/>
    <n v="12"/>
    <s v="Friday"/>
    <n v="14"/>
    <s v="DPS-106QZ"/>
    <x v="5"/>
    <s v="QZ"/>
    <x v="11"/>
    <n v="100"/>
    <n v="130.45310712541561"/>
    <x v="5"/>
    <x v="0"/>
    <x v="5"/>
  </r>
  <r>
    <n v="1314"/>
    <x v="31"/>
    <x v="113"/>
    <s v="12/31/88"/>
    <s v="M"/>
    <s v="Confirmed"/>
    <x v="1"/>
    <x v="1"/>
    <x v="1"/>
    <s v="Zurich International Airport"/>
    <n v="102"/>
    <s v="Monday"/>
    <n v="1"/>
    <s v="Monday"/>
    <n v="3"/>
    <s v="ZRH-102TRY"/>
    <x v="12"/>
    <s v="TRY"/>
    <x v="9"/>
    <n v="50"/>
    <n v="699.429351280113"/>
    <x v="10"/>
    <x v="7"/>
    <x v="10"/>
  </r>
  <r>
    <n v="1315"/>
    <x v="31"/>
    <x v="114"/>
    <s v="03/18/99"/>
    <s v="F"/>
    <s v="Confirmed"/>
    <x v="0"/>
    <x v="0"/>
    <x v="0"/>
    <m/>
    <n v="102"/>
    <s v="Monday"/>
    <n v="1"/>
    <s v="Monday"/>
    <n v="3"/>
    <s v="KNO-102GA"/>
    <x v="0"/>
    <s v="GA"/>
    <x v="7"/>
    <n v="100"/>
    <n v="147.17786444918684"/>
    <x v="0"/>
    <x v="0"/>
    <x v="0"/>
  </r>
  <r>
    <n v="1316"/>
    <x v="31"/>
    <x v="115"/>
    <s v="12/28/90"/>
    <s v="F"/>
    <s v="Confirmed"/>
    <x v="1"/>
    <x v="1"/>
    <x v="1"/>
    <s v="Istanbul Turkey International Airport"/>
    <n v="106"/>
    <s v="Friday"/>
    <n v="12"/>
    <s v="Friday"/>
    <n v="14"/>
    <s v="IST-106QR"/>
    <x v="2"/>
    <s v="QR"/>
    <x v="5"/>
    <n v="50"/>
    <n v="772.68378835823091"/>
    <x v="2"/>
    <x v="2"/>
    <x v="2"/>
  </r>
  <r>
    <n v="1317"/>
    <x v="32"/>
    <x v="116"/>
    <s v="12/22/99"/>
    <s v="M"/>
    <s v="Confirmed"/>
    <x v="1"/>
    <x v="1"/>
    <x v="1"/>
    <s v="Kuala Lumpur International Airport"/>
    <n v="105"/>
    <s v="Thursday"/>
    <n v="9"/>
    <s v="Thursday"/>
    <n v="11"/>
    <s v="KUL-105MH"/>
    <x v="29"/>
    <s v="MH"/>
    <x v="18"/>
    <n v="50"/>
    <n v="187.31728202623779"/>
    <x v="24"/>
    <x v="17"/>
    <x v="24"/>
  </r>
  <r>
    <n v="1318"/>
    <x v="32"/>
    <x v="117"/>
    <s v="01/13/66"/>
    <s v="F"/>
    <s v="Confirmed"/>
    <x v="1"/>
    <x v="1"/>
    <x v="1"/>
    <s v="Indira Gandhi International Airport"/>
    <n v="101"/>
    <s v="Sunday"/>
    <n v="9"/>
    <s v="Sunday"/>
    <n v="11"/>
    <s v="DEL-101MH"/>
    <x v="34"/>
    <s v="MH"/>
    <x v="18"/>
    <n v="50"/>
    <n v="752.6140795697055"/>
    <x v="28"/>
    <x v="19"/>
    <x v="28"/>
  </r>
  <r>
    <n v="1319"/>
    <x v="33"/>
    <x v="118"/>
    <d v="1989-08-04T00:00:00"/>
    <s v="M"/>
    <s v="Confirmed"/>
    <x v="1"/>
    <x v="1"/>
    <x v="1"/>
    <s v="Seattle International Airport"/>
    <n v="104"/>
    <s v="Wednesday"/>
    <n v="7"/>
    <s v="Wednesday"/>
    <n v="9"/>
    <s v="SEA-104TAT"/>
    <x v="39"/>
    <s v="TAT"/>
    <x v="8"/>
    <n v="50"/>
    <n v="571.98670047297617"/>
    <x v="32"/>
    <x v="21"/>
    <x v="32"/>
  </r>
  <r>
    <n v="1320"/>
    <x v="34"/>
    <x v="119"/>
    <s v="05/14/97"/>
    <s v="M"/>
    <s v="Confirmed"/>
    <x v="1"/>
    <x v="1"/>
    <x v="1"/>
    <s v="Capital International Airport"/>
    <n v="105"/>
    <s v="Thursday"/>
    <n v="9"/>
    <s v="Thursday"/>
    <n v="11"/>
    <s v="PEK-105CX"/>
    <x v="24"/>
    <s v="CX"/>
    <x v="10"/>
    <n v="50"/>
    <n v="702.43980759839178"/>
    <x v="19"/>
    <x v="12"/>
    <x v="1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n v="1201"/>
    <x v="0"/>
    <x v="0"/>
    <d v="1965-01-12T00:00:00"/>
    <x v="0"/>
    <x v="0"/>
    <s v="Domestic"/>
    <x v="0"/>
    <x v="0"/>
    <x v="0"/>
    <n v="101"/>
    <s v="Sunday"/>
    <n v="9"/>
    <x v="0"/>
    <n v="11"/>
    <s v="KNO-101IU"/>
    <s v="KNO"/>
    <s v="IU"/>
    <x v="0"/>
    <n v="100"/>
    <n v="147.17786444918684"/>
    <n v="2200000"/>
    <m/>
    <n v="2420000"/>
  </r>
  <r>
    <n v="1202"/>
    <x v="0"/>
    <x v="1"/>
    <d v="1999-03-10T00:00:00"/>
    <x v="1"/>
    <x v="1"/>
    <s v="International"/>
    <x v="1"/>
    <x v="1"/>
    <x v="1"/>
    <n v="101"/>
    <s v="Sunday"/>
    <n v="9"/>
    <x v="0"/>
    <n v="11"/>
    <s v="NRT-101SGX"/>
    <s v="NRT"/>
    <s v="SGX"/>
    <x v="1"/>
    <n v="50"/>
    <n v="551.91699168445064"/>
    <n v="8250000"/>
    <n v="4125000"/>
    <n v="9075000"/>
  </r>
  <r>
    <n v="1203"/>
    <x v="0"/>
    <x v="2"/>
    <d v="1980-01-01T00:00:00"/>
    <x v="1"/>
    <x v="0"/>
    <s v="International"/>
    <x v="1"/>
    <x v="1"/>
    <x v="2"/>
    <n v="103"/>
    <s v="Tuesday"/>
    <n v="3"/>
    <x v="1"/>
    <n v="5"/>
    <s v="IST-103EK"/>
    <s v="IST"/>
    <s v="EK"/>
    <x v="2"/>
    <n v="50"/>
    <n v="772.68378835823091"/>
    <n v="11550000"/>
    <n v="5775000"/>
    <n v="12705000"/>
  </r>
  <r>
    <n v="1204"/>
    <x v="0"/>
    <x v="3"/>
    <d v="1985-02-11T00:00:00"/>
    <x v="1"/>
    <x v="0"/>
    <s v="International"/>
    <x v="1"/>
    <x v="1"/>
    <x v="3"/>
    <n v="102"/>
    <s v="Monday"/>
    <n v="1"/>
    <x v="2"/>
    <n v="3"/>
    <s v="AMS-102SGX"/>
    <s v="AMS"/>
    <s v="SGX"/>
    <x v="1"/>
    <n v="50"/>
    <n v="839.91731279979126"/>
    <n v="12555000"/>
    <n v="6277500"/>
    <n v="13810500"/>
  </r>
  <r>
    <n v="1205"/>
    <x v="1"/>
    <x v="4"/>
    <d v="1985-03-07T00:00:00"/>
    <x v="0"/>
    <x v="1"/>
    <s v="International"/>
    <x v="1"/>
    <x v="1"/>
    <x v="4"/>
    <n v="102"/>
    <s v="Monday"/>
    <n v="1"/>
    <x v="2"/>
    <n v="3"/>
    <s v="KIX-102JPY"/>
    <s v="KIX"/>
    <s v="JPY"/>
    <x v="3"/>
    <n v="50"/>
    <n v="919.86165280741784"/>
    <n v="13750000"/>
    <n v="6875000"/>
    <n v="15125000"/>
  </r>
  <r>
    <n v="1206"/>
    <x v="1"/>
    <x v="5"/>
    <d v="1965-01-06T00:00:00"/>
    <x v="1"/>
    <x v="0"/>
    <s v="Domestic"/>
    <x v="0"/>
    <x v="2"/>
    <x v="0"/>
    <n v="107"/>
    <s v="Saturday"/>
    <n v="3"/>
    <x v="3"/>
    <n v="5"/>
    <s v="DPS-107SJ"/>
    <s v="DPS"/>
    <s v="SJ"/>
    <x v="4"/>
    <n v="100"/>
    <n v="130.45310712541561"/>
    <n v="1950000"/>
    <m/>
    <n v="2145000"/>
  </r>
  <r>
    <n v="1207"/>
    <x v="1"/>
    <x v="6"/>
    <d v="1967-02-08T00:00:00"/>
    <x v="0"/>
    <x v="0"/>
    <s v="Domestic"/>
    <x v="0"/>
    <x v="3"/>
    <x v="0"/>
    <n v="103"/>
    <s v="Tuesday"/>
    <n v="3"/>
    <x v="1"/>
    <n v="5"/>
    <s v="JOG-103IU"/>
    <s v="JOG"/>
    <s v="IU"/>
    <x v="0"/>
    <n v="100"/>
    <n v="133.79805859016986"/>
    <n v="2000000"/>
    <m/>
    <n v="2200000"/>
  </r>
  <r>
    <n v="1208"/>
    <x v="2"/>
    <x v="7"/>
    <s v="07/22/95"/>
    <x v="0"/>
    <x v="1"/>
    <s v="International"/>
    <x v="1"/>
    <x v="1"/>
    <x v="5"/>
    <n v="102"/>
    <s v="Monday"/>
    <n v="1"/>
    <x v="2"/>
    <n v="3"/>
    <s v="BWN-102QR"/>
    <s v="BWN"/>
    <s v="QR"/>
    <x v="5"/>
    <n v="50"/>
    <n v="582.02155486723893"/>
    <n v="8700000"/>
    <n v="4350000"/>
    <n v="9570000"/>
  </r>
  <r>
    <n v="1209"/>
    <x v="2"/>
    <x v="8"/>
    <s v="06/18/90"/>
    <x v="1"/>
    <x v="1"/>
    <s v="Domestic"/>
    <x v="0"/>
    <x v="4"/>
    <x v="0"/>
    <n v="103"/>
    <s v="Tuesday"/>
    <n v="3"/>
    <x v="1"/>
    <n v="5"/>
    <s v="AMQ-103FS"/>
    <s v="AMQ"/>
    <s v="FS"/>
    <x v="6"/>
    <n v="100"/>
    <n v="250.87135985656849"/>
    <n v="3750000"/>
    <m/>
    <n v="4125000"/>
  </r>
  <r>
    <n v="1210"/>
    <x v="2"/>
    <x v="9"/>
    <d v="1997-12-05T00:00:00"/>
    <x v="1"/>
    <x v="1"/>
    <s v="Domestic"/>
    <x v="0"/>
    <x v="5"/>
    <x v="0"/>
    <n v="107"/>
    <s v="Saturday"/>
    <n v="3"/>
    <x v="3"/>
    <n v="5"/>
    <s v="SUB-107FS"/>
    <s v="SUB"/>
    <s v="FS"/>
    <x v="6"/>
    <n v="100"/>
    <n v="130.45310712541561"/>
    <n v="1950000"/>
    <m/>
    <n v="2145000"/>
  </r>
  <r>
    <n v="1211"/>
    <x v="2"/>
    <x v="10"/>
    <s v="04/13/91"/>
    <x v="0"/>
    <x v="0"/>
    <s v="Domestic"/>
    <x v="0"/>
    <x v="6"/>
    <x v="0"/>
    <n v="102"/>
    <s v="Monday"/>
    <n v="1"/>
    <x v="2"/>
    <n v="3"/>
    <s v="PLM-102GA"/>
    <s v="PLM"/>
    <s v="GA"/>
    <x v="7"/>
    <n v="100"/>
    <n v="147.17786444918684"/>
    <n v="2200000"/>
    <m/>
    <n v="2420000"/>
  </r>
  <r>
    <n v="1212"/>
    <x v="2"/>
    <x v="11"/>
    <d v="1988-04-04T00:00:00"/>
    <x v="0"/>
    <x v="0"/>
    <s v="International"/>
    <x v="1"/>
    <x v="1"/>
    <x v="6"/>
    <n v="105"/>
    <s v="Thursday"/>
    <n v="9"/>
    <x v="4"/>
    <n v="11"/>
    <s v="CAN-105TAT"/>
    <s v="CAN"/>
    <s v="TAT"/>
    <x v="8"/>
    <n v="50"/>
    <n v="658.95543855658661"/>
    <n v="9850000"/>
    <n v="4925000"/>
    <n v="10835000"/>
  </r>
  <r>
    <n v="1213"/>
    <x v="2"/>
    <x v="12"/>
    <s v="08/20/95"/>
    <x v="1"/>
    <x v="0"/>
    <s v="International"/>
    <x v="1"/>
    <x v="1"/>
    <x v="7"/>
    <n v="102"/>
    <s v="Monday"/>
    <n v="1"/>
    <x v="2"/>
    <n v="3"/>
    <s v="ZRH-102TRY"/>
    <s v="ZRH"/>
    <s v="TRY"/>
    <x v="9"/>
    <n v="50"/>
    <n v="699.429351280113"/>
    <n v="10455000"/>
    <n v="5227500"/>
    <n v="11500500"/>
  </r>
  <r>
    <n v="1214"/>
    <x v="2"/>
    <x v="13"/>
    <s v="08/27/98"/>
    <x v="0"/>
    <x v="0"/>
    <s v="International"/>
    <x v="1"/>
    <x v="1"/>
    <x v="8"/>
    <n v="105"/>
    <s v="Thursday"/>
    <n v="9"/>
    <x v="4"/>
    <n v="11"/>
    <s v="BNE-105QR"/>
    <s v="BNE"/>
    <s v="QR"/>
    <x v="5"/>
    <n v="50"/>
    <n v="692.40495320412901"/>
    <n v="10350000"/>
    <n v="5175000"/>
    <n v="11385000"/>
  </r>
  <r>
    <n v="1215"/>
    <x v="2"/>
    <x v="14"/>
    <s v="07/13/90"/>
    <x v="0"/>
    <x v="0"/>
    <s v="International"/>
    <x v="1"/>
    <x v="1"/>
    <x v="9"/>
    <n v="102"/>
    <s v="Monday"/>
    <n v="1"/>
    <x v="2"/>
    <n v="3"/>
    <s v="DRW-102EK"/>
    <s v="DRW"/>
    <s v="EK"/>
    <x v="2"/>
    <n v="50"/>
    <n v="705.784759063146"/>
    <n v="10550000"/>
    <n v="5275000"/>
    <n v="11605000"/>
  </r>
  <r>
    <n v="1216"/>
    <x v="2"/>
    <x v="15"/>
    <s v="03/29/65"/>
    <x v="0"/>
    <x v="0"/>
    <s v="International"/>
    <x v="1"/>
    <x v="1"/>
    <x v="3"/>
    <n v="105"/>
    <s v="Thursday"/>
    <n v="9"/>
    <x v="4"/>
    <n v="11"/>
    <s v="AMS-105CX"/>
    <s v="AMS"/>
    <s v="CX"/>
    <x v="10"/>
    <n v="50"/>
    <n v="839.91731279979126"/>
    <n v="12555000"/>
    <n v="6277500"/>
    <n v="13810500"/>
  </r>
  <r>
    <n v="1217"/>
    <x v="3"/>
    <x v="16"/>
    <s v="03/22/67"/>
    <x v="1"/>
    <x v="0"/>
    <s v="Domestic"/>
    <x v="0"/>
    <x v="2"/>
    <x v="0"/>
    <n v="104"/>
    <s v="Wednesday"/>
    <n v="7"/>
    <x v="5"/>
    <n v="9"/>
    <s v="DPS-104QZ"/>
    <s v="DPS"/>
    <s v="QZ"/>
    <x v="11"/>
    <n v="100"/>
    <n v="130.45310712541561"/>
    <n v="1950000"/>
    <m/>
    <n v="2145000"/>
  </r>
  <r>
    <n v="1218"/>
    <x v="3"/>
    <x v="17"/>
    <d v="1999-07-07T00:00:00"/>
    <x v="0"/>
    <x v="0"/>
    <s v="International"/>
    <x v="1"/>
    <x v="1"/>
    <x v="10"/>
    <n v="104"/>
    <s v="Wednesday"/>
    <n v="7"/>
    <x v="5"/>
    <n v="9"/>
    <s v="ICN-104SGX"/>
    <s v="ICN"/>
    <s v="SGX"/>
    <x v="1"/>
    <n v="50"/>
    <n v="558.94138976043462"/>
    <n v="8355000"/>
    <n v="4177500"/>
    <n v="9190500"/>
  </r>
  <r>
    <n v="1219"/>
    <x v="3"/>
    <x v="18"/>
    <s v="04/25/88"/>
    <x v="1"/>
    <x v="1"/>
    <s v="International"/>
    <x v="1"/>
    <x v="1"/>
    <x v="1"/>
    <n v="103"/>
    <s v="Tuesday"/>
    <n v="3"/>
    <x v="1"/>
    <n v="5"/>
    <s v="NRT-103NH"/>
    <s v="NRT"/>
    <s v="NH"/>
    <x v="12"/>
    <n v="50"/>
    <n v="551.91699168445064"/>
    <n v="8250000"/>
    <n v="4125000"/>
    <n v="9075000"/>
  </r>
  <r>
    <n v="1220"/>
    <x v="4"/>
    <x v="19"/>
    <s v="04/28/86"/>
    <x v="0"/>
    <x v="1"/>
    <s v="International"/>
    <x v="1"/>
    <x v="1"/>
    <x v="10"/>
    <n v="103"/>
    <s v="Tuesday"/>
    <n v="3"/>
    <x v="1"/>
    <n v="5"/>
    <s v="ICN-103JPY"/>
    <s v="ICN"/>
    <s v="JPY"/>
    <x v="3"/>
    <n v="50"/>
    <n v="558.94138976043462"/>
    <n v="8355000"/>
    <n v="4177500"/>
    <n v="9190500"/>
  </r>
  <r>
    <n v="1221"/>
    <x v="4"/>
    <x v="20"/>
    <d v="1968-10-07T00:00:00"/>
    <x v="1"/>
    <x v="0"/>
    <s v="Domestic"/>
    <x v="0"/>
    <x v="7"/>
    <x v="0"/>
    <n v="106"/>
    <s v="Friday"/>
    <n v="12"/>
    <x v="6"/>
    <n v="14"/>
    <s v="UPG-106IN"/>
    <s v="UPG"/>
    <s v="IN"/>
    <x v="13"/>
    <n v="100"/>
    <n v="157.21271884344958"/>
    <n v="2350000"/>
    <m/>
    <n v="2585000"/>
  </r>
  <r>
    <n v="1222"/>
    <x v="4"/>
    <x v="21"/>
    <d v="1967-10-10T00:00:00"/>
    <x v="0"/>
    <x v="0"/>
    <s v="Domestic"/>
    <x v="0"/>
    <x v="8"/>
    <x v="0"/>
    <n v="104"/>
    <s v="Wednesday"/>
    <n v="7"/>
    <x v="5"/>
    <n v="9"/>
    <s v="DJB-104JT"/>
    <s v="DJB"/>
    <s v="JT"/>
    <x v="14"/>
    <n v="100"/>
    <n v="157.54721398992501"/>
    <n v="2355000"/>
    <m/>
    <n v="2590500"/>
  </r>
  <r>
    <n v="1223"/>
    <x v="4"/>
    <x v="22"/>
    <s v="10/23/99"/>
    <x v="0"/>
    <x v="1"/>
    <s v="Domestic"/>
    <x v="0"/>
    <x v="9"/>
    <x v="0"/>
    <n v="104"/>
    <s v="Wednesday"/>
    <n v="7"/>
    <x v="5"/>
    <n v="9"/>
    <s v="PDG-104GA"/>
    <s v="PDG"/>
    <s v="GA"/>
    <x v="7"/>
    <n v="100"/>
    <n v="147.17786444918684"/>
    <n v="2200000"/>
    <m/>
    <n v="2420000"/>
  </r>
  <r>
    <n v="1224"/>
    <x v="4"/>
    <x v="23"/>
    <d v="1995-09-08T00:00:00"/>
    <x v="1"/>
    <x v="1"/>
    <s v="Domestic"/>
    <x v="0"/>
    <x v="9"/>
    <x v="0"/>
    <n v="103"/>
    <s v="Tuesday"/>
    <n v="3"/>
    <x v="1"/>
    <n v="5"/>
    <s v="PDG-103IU"/>
    <s v="PDG"/>
    <s v="IU"/>
    <x v="0"/>
    <n v="100"/>
    <n v="147.17786444918684"/>
    <n v="2200000"/>
    <m/>
    <n v="2420000"/>
  </r>
  <r>
    <n v="1225"/>
    <x v="4"/>
    <x v="24"/>
    <s v="03/18/99"/>
    <x v="0"/>
    <x v="1"/>
    <s v="Domestic"/>
    <x v="0"/>
    <x v="2"/>
    <x v="0"/>
    <n v="106"/>
    <s v="Friday"/>
    <n v="12"/>
    <x v="6"/>
    <n v="14"/>
    <s v="DPS-106QZ"/>
    <s v="DPS"/>
    <s v="QZ"/>
    <x v="11"/>
    <n v="100"/>
    <n v="130.45310712541561"/>
    <n v="1950000"/>
    <m/>
    <n v="2145000"/>
  </r>
  <r>
    <n v="1226"/>
    <x v="4"/>
    <x v="25"/>
    <d v="1997-11-03T00:00:00"/>
    <x v="0"/>
    <x v="0"/>
    <s v="Domestic"/>
    <x v="0"/>
    <x v="2"/>
    <x v="0"/>
    <n v="103"/>
    <s v="Tuesday"/>
    <n v="3"/>
    <x v="1"/>
    <n v="5"/>
    <s v="DPS-103QZ"/>
    <s v="DPS"/>
    <s v="QZ"/>
    <x v="11"/>
    <n v="100"/>
    <n v="130.45310712541561"/>
    <n v="1950000"/>
    <m/>
    <n v="2145000"/>
  </r>
  <r>
    <n v="1227"/>
    <x v="4"/>
    <x v="26"/>
    <d v="1997-12-07T00:00:00"/>
    <x v="0"/>
    <x v="0"/>
    <s v="Domestic"/>
    <x v="0"/>
    <x v="4"/>
    <x v="0"/>
    <n v="104"/>
    <s v="Wednesday"/>
    <n v="7"/>
    <x v="5"/>
    <n v="9"/>
    <s v="AMQ-104JT"/>
    <s v="AMQ"/>
    <s v="JT"/>
    <x v="14"/>
    <n v="100"/>
    <n v="250.87135985656849"/>
    <n v="3750000"/>
    <m/>
    <n v="4125000"/>
  </r>
  <r>
    <n v="1228"/>
    <x v="4"/>
    <x v="27"/>
    <d v="1986-07-06T00:00:00"/>
    <x v="0"/>
    <x v="0"/>
    <s v="Domestic"/>
    <x v="0"/>
    <x v="10"/>
    <x v="0"/>
    <n v="105"/>
    <s v="Thursday"/>
    <n v="9"/>
    <x v="4"/>
    <n v="11"/>
    <s v="SOC-105ID"/>
    <s v="SOC"/>
    <s v="ID"/>
    <x v="15"/>
    <n v="100"/>
    <n v="173.93747616722081"/>
    <n v="2600000"/>
    <m/>
    <n v="2860000"/>
  </r>
  <r>
    <n v="1229"/>
    <x v="4"/>
    <x v="28"/>
    <d v="1980-03-05T00:00:00"/>
    <x v="1"/>
    <x v="0"/>
    <s v="Domestic"/>
    <x v="0"/>
    <x v="11"/>
    <x v="0"/>
    <n v="101"/>
    <s v="Sunday"/>
    <n v="9"/>
    <x v="0"/>
    <n v="11"/>
    <s v="MLG-101SJ"/>
    <s v="MLG"/>
    <s v="SJ"/>
    <x v="4"/>
    <n v="100"/>
    <n v="147.17786444918684"/>
    <n v="2200000"/>
    <m/>
    <n v="2420000"/>
  </r>
  <r>
    <n v="1230"/>
    <x v="5"/>
    <x v="29"/>
    <d v="1980-12-12T00:00:00"/>
    <x v="0"/>
    <x v="0"/>
    <s v="Domestic"/>
    <x v="0"/>
    <x v="12"/>
    <x v="0"/>
    <n v="105"/>
    <s v="Thursday"/>
    <n v="9"/>
    <x v="4"/>
    <n v="11"/>
    <s v="LOP-105IN"/>
    <s v="LOP"/>
    <s v="IN"/>
    <x v="13"/>
    <n v="100"/>
    <n v="157.21271884344958"/>
    <n v="2350000"/>
    <m/>
    <n v="2585000"/>
  </r>
  <r>
    <n v="1231"/>
    <x v="5"/>
    <x v="30"/>
    <d v="1981-04-12T00:00:00"/>
    <x v="0"/>
    <x v="0"/>
    <s v="International"/>
    <x v="1"/>
    <x v="1"/>
    <x v="11"/>
    <n v="104"/>
    <s v="Wednesday"/>
    <n v="7"/>
    <x v="5"/>
    <n v="9"/>
    <s v="DAD-104TG"/>
    <s v="DAD"/>
    <s v="TG"/>
    <x v="16"/>
    <n v="50"/>
    <n v="759.30398249921393"/>
    <n v="11350000"/>
    <n v="5675000"/>
    <n v="12485000"/>
  </r>
  <r>
    <n v="1232"/>
    <x v="5"/>
    <x v="31"/>
    <s v="05/27/83"/>
    <x v="0"/>
    <x v="0"/>
    <s v="Domestic"/>
    <x v="0"/>
    <x v="13"/>
    <x v="0"/>
    <n v="103"/>
    <s v="Tuesday"/>
    <n v="3"/>
    <x v="1"/>
    <n v="5"/>
    <s v="PNK-103QG"/>
    <s v="PNK"/>
    <s v="QG"/>
    <x v="17"/>
    <n v="100"/>
    <n v="143.8329129844326"/>
    <n v="2150000"/>
    <m/>
    <n v="2365000"/>
  </r>
  <r>
    <n v="1233"/>
    <x v="5"/>
    <x v="32"/>
    <d v="1982-06-06T00:00:00"/>
    <x v="0"/>
    <x v="0"/>
    <s v="International"/>
    <x v="1"/>
    <x v="1"/>
    <x v="12"/>
    <n v="103"/>
    <s v="Tuesday"/>
    <n v="3"/>
    <x v="1"/>
    <n v="5"/>
    <s v="PEK-103MH"/>
    <s v="PEK"/>
    <s v="MH"/>
    <x v="18"/>
    <n v="50"/>
    <n v="702.43980759839178"/>
    <n v="10500000"/>
    <n v="5250000"/>
    <n v="11550000"/>
  </r>
  <r>
    <n v="1234"/>
    <x v="6"/>
    <x v="33"/>
    <s v="10/20/90"/>
    <x v="0"/>
    <x v="0"/>
    <s v="International"/>
    <x v="1"/>
    <x v="1"/>
    <x v="13"/>
    <n v="106"/>
    <s v="Friday"/>
    <n v="12"/>
    <x v="6"/>
    <n v="14"/>
    <s v="FRA-106NH"/>
    <s v="FRA"/>
    <s v="NH"/>
    <x v="12"/>
    <n v="50"/>
    <n v="692.73944835060445"/>
    <n v="10355000"/>
    <n v="5177500"/>
    <n v="11390500"/>
  </r>
  <r>
    <n v="1235"/>
    <x v="6"/>
    <x v="34"/>
    <d v="1992-11-12T00:00:00"/>
    <x v="0"/>
    <x v="1"/>
    <s v="International"/>
    <x v="1"/>
    <x v="1"/>
    <x v="13"/>
    <n v="103"/>
    <s v="Tuesday"/>
    <n v="3"/>
    <x v="1"/>
    <n v="5"/>
    <s v="FRA-103TG"/>
    <s v="FRA"/>
    <s v="TG"/>
    <x v="16"/>
    <n v="50"/>
    <n v="692.73944835060445"/>
    <n v="10355000"/>
    <n v="5177500"/>
    <n v="11390500"/>
  </r>
  <r>
    <n v="1236"/>
    <x v="7"/>
    <x v="35"/>
    <d v="1988-01-01T00:00:00"/>
    <x v="1"/>
    <x v="1"/>
    <s v="International"/>
    <x v="1"/>
    <x v="1"/>
    <x v="5"/>
    <n v="102"/>
    <s v="Monday"/>
    <n v="1"/>
    <x v="2"/>
    <n v="3"/>
    <s v="BWN-102QR"/>
    <s v="BWN"/>
    <s v="QR"/>
    <x v="5"/>
    <n v="50"/>
    <n v="582.02155486723893"/>
    <n v="8700000"/>
    <n v="4350000"/>
    <n v="9570000"/>
  </r>
  <r>
    <n v="1237"/>
    <x v="7"/>
    <x v="36"/>
    <d v="1999-12-10T00:00:00"/>
    <x v="1"/>
    <x v="1"/>
    <s v="Domestic"/>
    <x v="0"/>
    <x v="8"/>
    <x v="0"/>
    <n v="101"/>
    <s v="Sunday"/>
    <n v="9"/>
    <x v="0"/>
    <n v="11"/>
    <s v="DJB-101QG"/>
    <s v="DJB"/>
    <s v="QG"/>
    <x v="17"/>
    <n v="100"/>
    <n v="157.54721398992501"/>
    <n v="2355000"/>
    <m/>
    <n v="2590500"/>
  </r>
  <r>
    <n v="1238"/>
    <x v="7"/>
    <x v="37"/>
    <s v="09/22/87"/>
    <x v="0"/>
    <x v="1"/>
    <s v="Domestic"/>
    <x v="0"/>
    <x v="2"/>
    <x v="0"/>
    <n v="103"/>
    <s v="Tuesday"/>
    <n v="3"/>
    <x v="1"/>
    <n v="5"/>
    <s v="DPS-103FS"/>
    <s v="DPS"/>
    <s v="FS"/>
    <x v="6"/>
    <n v="100"/>
    <n v="130.45310712541561"/>
    <n v="1950000"/>
    <m/>
    <n v="2145000"/>
  </r>
  <r>
    <n v="1239"/>
    <x v="7"/>
    <x v="38"/>
    <s v="08/28/67"/>
    <x v="0"/>
    <x v="0"/>
    <s v="Domestic"/>
    <x v="0"/>
    <x v="5"/>
    <x v="0"/>
    <n v="107"/>
    <s v="Saturday"/>
    <n v="3"/>
    <x v="3"/>
    <n v="5"/>
    <s v="SUB-107FS"/>
    <s v="SUB"/>
    <s v="FS"/>
    <x v="6"/>
    <n v="100"/>
    <n v="130.45310712541561"/>
    <n v="1950000"/>
    <m/>
    <n v="2145000"/>
  </r>
  <r>
    <n v="1240"/>
    <x v="7"/>
    <x v="39"/>
    <d v="1999-11-04T00:00:00"/>
    <x v="0"/>
    <x v="0"/>
    <s v="Domestic"/>
    <x v="0"/>
    <x v="6"/>
    <x v="0"/>
    <n v="102"/>
    <s v="Monday"/>
    <n v="1"/>
    <x v="2"/>
    <n v="3"/>
    <s v="PLM-102GA"/>
    <s v="PLM"/>
    <s v="GA"/>
    <x v="7"/>
    <n v="100"/>
    <n v="147.17786444918684"/>
    <n v="2200000"/>
    <m/>
    <n v="2420000"/>
  </r>
  <r>
    <n v="1241"/>
    <x v="8"/>
    <x v="40"/>
    <s v="01/30/98"/>
    <x v="1"/>
    <x v="0"/>
    <s v="Domestic"/>
    <x v="0"/>
    <x v="5"/>
    <x v="0"/>
    <n v="101"/>
    <s v="Sunday"/>
    <n v="9"/>
    <x v="0"/>
    <n v="11"/>
    <s v="SUB-101JT"/>
    <s v="SUB"/>
    <s v="JT"/>
    <x v="14"/>
    <n v="100"/>
    <n v="130.45310712541561"/>
    <n v="1950000"/>
    <m/>
    <n v="2145000"/>
  </r>
  <r>
    <n v="1242"/>
    <x v="8"/>
    <x v="41"/>
    <s v="04/29/97"/>
    <x v="1"/>
    <x v="0"/>
    <s v="International"/>
    <x v="1"/>
    <x v="1"/>
    <x v="9"/>
    <n v="104"/>
    <s v="Wednesday"/>
    <n v="7"/>
    <x v="5"/>
    <n v="9"/>
    <s v="DRW-104EK"/>
    <s v="DRW"/>
    <s v="EK"/>
    <x v="2"/>
    <n v="50"/>
    <n v="705.784759063146"/>
    <n v="10550000"/>
    <n v="5275000"/>
    <n v="11605000"/>
  </r>
  <r>
    <n v="1243"/>
    <x v="9"/>
    <x v="42"/>
    <s v="03/22/90"/>
    <x v="1"/>
    <x v="0"/>
    <s v="International"/>
    <x v="1"/>
    <x v="1"/>
    <x v="14"/>
    <n v="106"/>
    <s v="Friday"/>
    <n v="12"/>
    <x v="6"/>
    <n v="14"/>
    <s v="ADL-106EK"/>
    <s v="ADL"/>
    <s v="EK"/>
    <x v="2"/>
    <n v="50"/>
    <n v="786.0635942172479"/>
    <n v="11750000"/>
    <n v="5875000"/>
    <n v="12925000"/>
  </r>
  <r>
    <n v="1244"/>
    <x v="9"/>
    <x v="43"/>
    <s v="10/20/88"/>
    <x v="0"/>
    <x v="0"/>
    <s v="International"/>
    <x v="1"/>
    <x v="1"/>
    <x v="2"/>
    <n v="103"/>
    <s v="Tuesday"/>
    <n v="3"/>
    <x v="1"/>
    <n v="5"/>
    <s v="IST-103TRY"/>
    <s v="IST"/>
    <s v="TRY"/>
    <x v="9"/>
    <n v="50"/>
    <n v="772.68378835823091"/>
    <n v="11550000"/>
    <n v="5775000"/>
    <n v="12705000"/>
  </r>
  <r>
    <n v="1245"/>
    <x v="9"/>
    <x v="44"/>
    <s v="11/28/85"/>
    <x v="0"/>
    <x v="0"/>
    <s v="International"/>
    <x v="1"/>
    <x v="1"/>
    <x v="15"/>
    <n v="105"/>
    <s v="Thursday"/>
    <n v="9"/>
    <x v="4"/>
    <n v="11"/>
    <s v="BKK-105TG"/>
    <s v="BKK"/>
    <s v="TG"/>
    <x v="16"/>
    <n v="50"/>
    <n v="170.59252470246656"/>
    <n v="2550000"/>
    <n v="1275000"/>
    <n v="2805000"/>
  </r>
  <r>
    <n v="1246"/>
    <x v="9"/>
    <x v="45"/>
    <s v="03/22/67"/>
    <x v="1"/>
    <x v="0"/>
    <s v="International"/>
    <x v="1"/>
    <x v="1"/>
    <x v="15"/>
    <n v="106"/>
    <s v="Friday"/>
    <n v="12"/>
    <x v="6"/>
    <n v="14"/>
    <s v="BKK-106SGX"/>
    <s v="BKK"/>
    <s v="SGX"/>
    <x v="1"/>
    <n v="50"/>
    <n v="170.59252470246656"/>
    <n v="2550000"/>
    <n v="1275000"/>
    <n v="2805000"/>
  </r>
  <r>
    <n v="1247"/>
    <x v="9"/>
    <x v="46"/>
    <d v="1999-07-07T00:00:00"/>
    <x v="1"/>
    <x v="0"/>
    <s v="International"/>
    <x v="1"/>
    <x v="1"/>
    <x v="16"/>
    <n v="104"/>
    <s v="Wednesday"/>
    <n v="7"/>
    <x v="5"/>
    <n v="9"/>
    <s v="HAN-104NH"/>
    <s v="HAN"/>
    <s v="NH"/>
    <x v="12"/>
    <n v="50"/>
    <n v="638.88572976806108"/>
    <n v="9550000"/>
    <n v="4775000"/>
    <n v="10505000"/>
  </r>
  <r>
    <n v="1248"/>
    <x v="9"/>
    <x v="47"/>
    <s v="04/25/88"/>
    <x v="1"/>
    <x v="0"/>
    <s v="International"/>
    <x v="1"/>
    <x v="1"/>
    <x v="17"/>
    <n v="103"/>
    <s v="Tuesday"/>
    <n v="3"/>
    <x v="1"/>
    <n v="5"/>
    <s v="KUL-103SGX"/>
    <s v="KUL"/>
    <s v="SGX"/>
    <x v="1"/>
    <n v="50"/>
    <n v="187.31728202623779"/>
    <n v="2800000"/>
    <n v="1400000"/>
    <n v="3080000"/>
  </r>
  <r>
    <n v="1249"/>
    <x v="9"/>
    <x v="48"/>
    <s v="04/28/86"/>
    <x v="0"/>
    <x v="0"/>
    <s v="International"/>
    <x v="1"/>
    <x v="1"/>
    <x v="1"/>
    <n v="107"/>
    <s v="Saturday"/>
    <n v="3"/>
    <x v="3"/>
    <n v="5"/>
    <s v="NRT-107SV"/>
    <s v="NRT"/>
    <s v="SV"/>
    <x v="19"/>
    <n v="50"/>
    <n v="551.91699168445064"/>
    <n v="8250000"/>
    <n v="4125000"/>
    <n v="9075000"/>
  </r>
  <r>
    <n v="1250"/>
    <x v="10"/>
    <x v="49"/>
    <s v="11/13/77"/>
    <x v="1"/>
    <x v="0"/>
    <s v="International"/>
    <x v="1"/>
    <x v="1"/>
    <x v="4"/>
    <n v="104"/>
    <s v="Wednesday"/>
    <n v="7"/>
    <x v="5"/>
    <n v="9"/>
    <s v="KIX-104SV"/>
    <s v="KIX"/>
    <s v="SV"/>
    <x v="19"/>
    <n v="50"/>
    <n v="919.86165280741784"/>
    <n v="13750000"/>
    <n v="6875000"/>
    <n v="15125000"/>
  </r>
  <r>
    <n v="1251"/>
    <x v="10"/>
    <x v="50"/>
    <s v="10/13/99"/>
    <x v="1"/>
    <x v="0"/>
    <s v="International"/>
    <x v="1"/>
    <x v="1"/>
    <x v="6"/>
    <n v="105"/>
    <s v="Thursday"/>
    <n v="9"/>
    <x v="4"/>
    <n v="11"/>
    <s v="CAN-105TAT"/>
    <s v="CAN"/>
    <s v="TAT"/>
    <x v="8"/>
    <n v="50"/>
    <n v="658.95543855658661"/>
    <n v="9850000"/>
    <n v="4925000"/>
    <n v="10835000"/>
  </r>
  <r>
    <n v="1252"/>
    <x v="10"/>
    <x v="51"/>
    <s v="12/31/88"/>
    <x v="1"/>
    <x v="0"/>
    <s v="International"/>
    <x v="1"/>
    <x v="1"/>
    <x v="7"/>
    <n v="102"/>
    <s v="Monday"/>
    <n v="1"/>
    <x v="2"/>
    <n v="3"/>
    <s v="ZRH-102TRY"/>
    <s v="ZRH"/>
    <s v="TRY"/>
    <x v="9"/>
    <n v="50"/>
    <n v="699.429351280113"/>
    <n v="10455000"/>
    <n v="5227500"/>
    <n v="11500500"/>
  </r>
  <r>
    <n v="1253"/>
    <x v="11"/>
    <x v="52"/>
    <s v="03/18/99"/>
    <x v="1"/>
    <x v="0"/>
    <s v="International"/>
    <x v="1"/>
    <x v="1"/>
    <x v="8"/>
    <n v="105"/>
    <s v="Thursday"/>
    <n v="9"/>
    <x v="4"/>
    <n v="11"/>
    <s v="BNE-105QR"/>
    <s v="BNE"/>
    <s v="QR"/>
    <x v="5"/>
    <n v="50"/>
    <n v="692.40495320412901"/>
    <n v="10350000"/>
    <n v="5175000"/>
    <n v="11385000"/>
  </r>
  <r>
    <n v="1254"/>
    <x v="12"/>
    <x v="53"/>
    <d v="1997-11-03T00:00:00"/>
    <x v="1"/>
    <x v="1"/>
    <s v="International"/>
    <x v="1"/>
    <x v="1"/>
    <x v="9"/>
    <n v="102"/>
    <s v="Monday"/>
    <n v="1"/>
    <x v="2"/>
    <n v="3"/>
    <s v="DRW-102EK"/>
    <s v="DRW"/>
    <s v="EK"/>
    <x v="2"/>
    <n v="50"/>
    <n v="705.784759063146"/>
    <n v="10550000"/>
    <n v="5275000"/>
    <n v="11605000"/>
  </r>
  <r>
    <n v="1255"/>
    <x v="12"/>
    <x v="54"/>
    <d v="1997-12-07T00:00:00"/>
    <x v="0"/>
    <x v="1"/>
    <s v="International"/>
    <x v="1"/>
    <x v="1"/>
    <x v="3"/>
    <n v="105"/>
    <s v="Thursday"/>
    <n v="9"/>
    <x v="4"/>
    <n v="11"/>
    <s v="AMS-105CX"/>
    <s v="AMS"/>
    <s v="CX"/>
    <x v="10"/>
    <n v="50"/>
    <n v="839.91731279979126"/>
    <n v="12555000"/>
    <n v="6277500"/>
    <n v="13810500"/>
  </r>
  <r>
    <n v="1256"/>
    <x v="12"/>
    <x v="55"/>
    <d v="1986-07-06T00:00:00"/>
    <x v="0"/>
    <x v="1"/>
    <s v="Domestic"/>
    <x v="0"/>
    <x v="4"/>
    <x v="0"/>
    <n v="104"/>
    <s v="Wednesday"/>
    <n v="7"/>
    <x v="5"/>
    <n v="9"/>
    <s v="AMQ-104JT"/>
    <s v="AMQ"/>
    <s v="JT"/>
    <x v="14"/>
    <n v="100"/>
    <n v="250.87135985656849"/>
    <n v="3750000"/>
    <m/>
    <n v="4125000"/>
  </r>
  <r>
    <n v="1257"/>
    <x v="13"/>
    <x v="56"/>
    <d v="1980-03-05T00:00:00"/>
    <x v="1"/>
    <x v="1"/>
    <s v="International"/>
    <x v="1"/>
    <x v="1"/>
    <x v="9"/>
    <n v="104"/>
    <s v="Wednesday"/>
    <n v="7"/>
    <x v="5"/>
    <n v="9"/>
    <s v="DRW-104EK"/>
    <s v="DRW"/>
    <s v="EK"/>
    <x v="2"/>
    <n v="50"/>
    <n v="705.784759063146"/>
    <n v="10550000"/>
    <n v="5275000"/>
    <n v="11605000"/>
  </r>
  <r>
    <n v="1258"/>
    <x v="13"/>
    <x v="57"/>
    <d v="1980-12-12T00:00:00"/>
    <x v="0"/>
    <x v="1"/>
    <s v="International"/>
    <x v="1"/>
    <x v="1"/>
    <x v="14"/>
    <n v="106"/>
    <s v="Friday"/>
    <n v="12"/>
    <x v="6"/>
    <n v="14"/>
    <s v="ADL-106EK"/>
    <s v="ADL"/>
    <s v="EK"/>
    <x v="2"/>
    <n v="50"/>
    <n v="786.0635942172479"/>
    <n v="11750000"/>
    <n v="5875000"/>
    <n v="12925000"/>
  </r>
  <r>
    <n v="1259"/>
    <x v="14"/>
    <x v="58"/>
    <d v="1981-04-12T00:00:00"/>
    <x v="1"/>
    <x v="1"/>
    <s v="International"/>
    <x v="1"/>
    <x v="1"/>
    <x v="2"/>
    <n v="103"/>
    <s v="Tuesday"/>
    <n v="3"/>
    <x v="1"/>
    <n v="5"/>
    <s v="IST-103TRY"/>
    <s v="IST"/>
    <s v="TRY"/>
    <x v="9"/>
    <n v="50"/>
    <n v="772.68378835823091"/>
    <n v="11550000"/>
    <n v="5775000"/>
    <n v="12705000"/>
  </r>
  <r>
    <n v="1260"/>
    <x v="14"/>
    <x v="59"/>
    <s v="05/27/83"/>
    <x v="1"/>
    <x v="0"/>
    <s v="Domestic"/>
    <x v="0"/>
    <x v="13"/>
    <x v="0"/>
    <n v="107"/>
    <s v="Saturday"/>
    <n v="3"/>
    <x v="3"/>
    <n v="5"/>
    <s v="PNK-107IP"/>
    <s v="PNK"/>
    <s v="IP"/>
    <x v="20"/>
    <n v="100"/>
    <n v="143.8329129844326"/>
    <n v="2150000"/>
    <m/>
    <n v="2365000"/>
  </r>
  <r>
    <n v="1261"/>
    <x v="14"/>
    <x v="60"/>
    <d v="1982-06-06T00:00:00"/>
    <x v="0"/>
    <x v="0"/>
    <s v="Domestic"/>
    <x v="0"/>
    <x v="13"/>
    <x v="0"/>
    <n v="103"/>
    <s v="Tuesday"/>
    <n v="3"/>
    <x v="1"/>
    <n v="5"/>
    <s v="PNK-103QG"/>
    <s v="PNK"/>
    <s v="QG"/>
    <x v="17"/>
    <n v="100"/>
    <n v="143.8329129844326"/>
    <n v="2150000"/>
    <m/>
    <n v="2365000"/>
  </r>
  <r>
    <n v="1262"/>
    <x v="15"/>
    <x v="61"/>
    <s v="07/28/99"/>
    <x v="1"/>
    <x v="0"/>
    <s v="Domestic"/>
    <x v="0"/>
    <x v="9"/>
    <x v="0"/>
    <n v="103"/>
    <s v="Tuesday"/>
    <n v="3"/>
    <x v="1"/>
    <n v="5"/>
    <s v="PDG-103IU"/>
    <s v="PDG"/>
    <s v="IU"/>
    <x v="0"/>
    <n v="100"/>
    <n v="147.17786444918684"/>
    <n v="2200000"/>
    <m/>
    <n v="2420000"/>
  </r>
  <r>
    <n v="1263"/>
    <x v="15"/>
    <x v="62"/>
    <s v="09/30/90"/>
    <x v="0"/>
    <x v="0"/>
    <s v="International"/>
    <x v="1"/>
    <x v="1"/>
    <x v="18"/>
    <n v="101"/>
    <s v="Sunday"/>
    <n v="9"/>
    <x v="0"/>
    <n v="11"/>
    <s v="CPH-101CX"/>
    <s v="CPH"/>
    <s v="CX"/>
    <x v="10"/>
    <n v="50"/>
    <n v="980.07077917299421"/>
    <n v="14650000"/>
    <n v="7325000"/>
    <n v="16115000"/>
  </r>
  <r>
    <n v="1264"/>
    <x v="16"/>
    <x v="63"/>
    <d v="1992-10-05T00:00:00"/>
    <x v="0"/>
    <x v="0"/>
    <s v="International"/>
    <x v="1"/>
    <x v="1"/>
    <x v="14"/>
    <n v="106"/>
    <s v="Friday"/>
    <n v="12"/>
    <x v="6"/>
    <n v="14"/>
    <s v="ADL-106EK"/>
    <s v="ADL"/>
    <s v="EK"/>
    <x v="2"/>
    <n v="50"/>
    <n v="786.0635942172479"/>
    <n v="11750000"/>
    <n v="5875000"/>
    <n v="12925000"/>
  </r>
  <r>
    <n v="1265"/>
    <x v="16"/>
    <x v="64"/>
    <d v="1968-10-07T00:00:00"/>
    <x v="1"/>
    <x v="0"/>
    <s v="Domestic"/>
    <x v="0"/>
    <x v="4"/>
    <x v="0"/>
    <n v="104"/>
    <s v="Wednesday"/>
    <n v="7"/>
    <x v="5"/>
    <n v="9"/>
    <s v="AMQ-104JT"/>
    <s v="AMQ"/>
    <s v="JT"/>
    <x v="14"/>
    <n v="100"/>
    <n v="250.87135985656849"/>
    <n v="3750000"/>
    <m/>
    <n v="4125000"/>
  </r>
  <r>
    <n v="1266"/>
    <x v="16"/>
    <x v="65"/>
    <d v="1998-08-10T00:00:00"/>
    <x v="1"/>
    <x v="0"/>
    <s v="Domestic"/>
    <x v="0"/>
    <x v="10"/>
    <x v="0"/>
    <n v="105"/>
    <s v="Thursday"/>
    <n v="9"/>
    <x v="4"/>
    <n v="11"/>
    <s v="SOC-105ID"/>
    <s v="SOC"/>
    <s v="ID"/>
    <x v="15"/>
    <n v="100"/>
    <n v="173.93747616722081"/>
    <n v="2600000"/>
    <m/>
    <n v="2860000"/>
  </r>
  <r>
    <n v="1267"/>
    <x v="16"/>
    <x v="66"/>
    <d v="1990-10-06T00:00:00"/>
    <x v="1"/>
    <x v="0"/>
    <s v="Domestic"/>
    <x v="0"/>
    <x v="11"/>
    <x v="0"/>
    <n v="101"/>
    <s v="Sunday"/>
    <n v="9"/>
    <x v="0"/>
    <n v="11"/>
    <s v="MLG-101SJ"/>
    <s v="MLG"/>
    <s v="SJ"/>
    <x v="4"/>
    <n v="100"/>
    <n v="147.17786444918684"/>
    <n v="2200000"/>
    <m/>
    <n v="2420000"/>
  </r>
  <r>
    <n v="1268"/>
    <x v="17"/>
    <x v="67"/>
    <d v="1999-06-06T00:00:00"/>
    <x v="1"/>
    <x v="0"/>
    <s v="Domestic"/>
    <x v="0"/>
    <x v="12"/>
    <x v="0"/>
    <n v="105"/>
    <s v="Thursday"/>
    <n v="9"/>
    <x v="4"/>
    <n v="11"/>
    <s v="LOP-105IN"/>
    <s v="LOP"/>
    <s v="IN"/>
    <x v="13"/>
    <n v="100"/>
    <n v="157.21271884344958"/>
    <n v="2350000"/>
    <m/>
    <n v="2585000"/>
  </r>
  <r>
    <n v="1269"/>
    <x v="17"/>
    <x v="68"/>
    <s v="10/23/99"/>
    <x v="1"/>
    <x v="0"/>
    <s v="International"/>
    <x v="1"/>
    <x v="1"/>
    <x v="12"/>
    <n v="105"/>
    <s v="Thursday"/>
    <n v="9"/>
    <x v="4"/>
    <n v="11"/>
    <s v="PEK-105CX"/>
    <s v="PEK"/>
    <s v="CX"/>
    <x v="10"/>
    <n v="50"/>
    <n v="702.43980759839178"/>
    <n v="10500000"/>
    <n v="5250000"/>
    <n v="11550000"/>
  </r>
  <r>
    <n v="1270"/>
    <x v="18"/>
    <x v="69"/>
    <d v="1995-09-08T00:00:00"/>
    <x v="1"/>
    <x v="0"/>
    <s v="International"/>
    <x v="1"/>
    <x v="1"/>
    <x v="5"/>
    <n v="107"/>
    <s v="Saturday"/>
    <n v="3"/>
    <x v="3"/>
    <n v="5"/>
    <s v="BWN-107SGX"/>
    <s v="BWN"/>
    <s v="SGX"/>
    <x v="1"/>
    <n v="50"/>
    <n v="582.02155486723893"/>
    <n v="8700000"/>
    <n v="4350000"/>
    <n v="9570000"/>
  </r>
  <r>
    <n v="1271"/>
    <x v="18"/>
    <x v="70"/>
    <s v="03/18/99"/>
    <x v="0"/>
    <x v="0"/>
    <s v="International"/>
    <x v="1"/>
    <x v="1"/>
    <x v="11"/>
    <n v="104"/>
    <s v="Wednesday"/>
    <n v="7"/>
    <x v="5"/>
    <n v="9"/>
    <s v="DAD-104TG"/>
    <s v="DAD"/>
    <s v="TG"/>
    <x v="16"/>
    <n v="50"/>
    <n v="759.30398249921393"/>
    <n v="11350000"/>
    <n v="5675000"/>
    <n v="12485000"/>
  </r>
  <r>
    <n v="1272"/>
    <x v="18"/>
    <x v="71"/>
    <d v="1997-11-03T00:00:00"/>
    <x v="1"/>
    <x v="0"/>
    <s v="International"/>
    <x v="1"/>
    <x v="1"/>
    <x v="6"/>
    <n v="103"/>
    <s v="Tuesday"/>
    <n v="3"/>
    <x v="1"/>
    <n v="5"/>
    <s v="CAN-103SV"/>
    <s v="CAN"/>
    <s v="SV"/>
    <x v="19"/>
    <n v="50"/>
    <n v="658.95543855658661"/>
    <n v="9850000"/>
    <n v="4925000"/>
    <n v="10835000"/>
  </r>
  <r>
    <n v="1273"/>
    <x v="19"/>
    <x v="72"/>
    <d v="1997-12-07T00:00:00"/>
    <x v="1"/>
    <x v="0"/>
    <s v="International"/>
    <x v="1"/>
    <x v="1"/>
    <x v="7"/>
    <n v="102"/>
    <s v="Monday"/>
    <n v="1"/>
    <x v="2"/>
    <n v="3"/>
    <s v="ZRH-102TRY"/>
    <s v="ZRH"/>
    <s v="TRY"/>
    <x v="9"/>
    <n v="50"/>
    <n v="699.429351280113"/>
    <n v="10455000"/>
    <n v="5227500"/>
    <n v="11500500"/>
  </r>
  <r>
    <n v="1274"/>
    <x v="20"/>
    <x v="73"/>
    <d v="1986-07-06T00:00:00"/>
    <x v="0"/>
    <x v="1"/>
    <s v="Domestic"/>
    <x v="0"/>
    <x v="14"/>
    <x v="0"/>
    <n v="105"/>
    <s v="Thursday"/>
    <n v="9"/>
    <x v="4"/>
    <n v="11"/>
    <s v="DJJ-105QZ"/>
    <s v="DJJ"/>
    <s v="QZ"/>
    <x v="11"/>
    <n v="100"/>
    <n v="183.97233056148355"/>
    <n v="2750000"/>
    <m/>
    <n v="3025000"/>
  </r>
  <r>
    <n v="1275"/>
    <x v="20"/>
    <x v="74"/>
    <d v="1980-03-05T00:00:00"/>
    <x v="0"/>
    <x v="0"/>
    <s v="Domestic"/>
    <x v="0"/>
    <x v="6"/>
    <x v="0"/>
    <n v="105"/>
    <s v="Thursday"/>
    <n v="9"/>
    <x v="4"/>
    <n v="11"/>
    <s v="PLM-105JT"/>
    <s v="PLM"/>
    <s v="JT"/>
    <x v="14"/>
    <n v="100"/>
    <n v="147.17786444918684"/>
    <n v="2200000"/>
    <m/>
    <n v="2420000"/>
  </r>
  <r>
    <n v="1276"/>
    <x v="21"/>
    <x v="75"/>
    <d v="1980-12-12T00:00:00"/>
    <x v="0"/>
    <x v="0"/>
    <s v="Domestic"/>
    <x v="0"/>
    <x v="3"/>
    <x v="0"/>
    <n v="106"/>
    <s v="Friday"/>
    <n v="12"/>
    <x v="6"/>
    <n v="14"/>
    <s v="JOG-106GA"/>
    <s v="JOG"/>
    <s v="GA"/>
    <x v="7"/>
    <n v="100"/>
    <n v="133.79805859016986"/>
    <n v="2000000"/>
    <m/>
    <n v="2200000"/>
  </r>
  <r>
    <n v="1277"/>
    <x v="21"/>
    <x v="76"/>
    <d v="1981-04-12T00:00:00"/>
    <x v="0"/>
    <x v="0"/>
    <s v="Domestic"/>
    <x v="0"/>
    <x v="3"/>
    <x v="0"/>
    <n v="104"/>
    <s v="Wednesday"/>
    <n v="7"/>
    <x v="5"/>
    <n v="9"/>
    <s v="JOG-104ID"/>
    <s v="JOG"/>
    <s v="ID"/>
    <x v="15"/>
    <n v="100"/>
    <n v="133.79805859016986"/>
    <n v="2000000"/>
    <m/>
    <n v="2200000"/>
  </r>
  <r>
    <n v="1278"/>
    <x v="21"/>
    <x v="77"/>
    <s v="05/27/83"/>
    <x v="0"/>
    <x v="1"/>
    <s v="Domestic"/>
    <x v="0"/>
    <x v="12"/>
    <x v="0"/>
    <n v="101"/>
    <s v="Sunday"/>
    <n v="9"/>
    <x v="0"/>
    <n v="11"/>
    <s v="LOP-101ID"/>
    <s v="LOP"/>
    <s v="ID"/>
    <x v="15"/>
    <n v="100"/>
    <n v="157.21271884344958"/>
    <n v="2350000"/>
    <m/>
    <n v="2585000"/>
  </r>
  <r>
    <n v="1279"/>
    <x v="21"/>
    <x v="78"/>
    <d v="1982-06-06T00:00:00"/>
    <x v="0"/>
    <x v="0"/>
    <s v="Domestic"/>
    <x v="0"/>
    <x v="15"/>
    <x v="0"/>
    <n v="103"/>
    <s v="Tuesday"/>
    <n v="3"/>
    <x v="1"/>
    <n v="5"/>
    <s v="TKG-103ID"/>
    <s v="TKG"/>
    <s v="ID"/>
    <x v="15"/>
    <n v="100"/>
    <n v="157.21271884344958"/>
    <n v="2350000"/>
    <m/>
    <n v="2585000"/>
  </r>
  <r>
    <n v="1280"/>
    <x v="21"/>
    <x v="79"/>
    <d v="1990-11-08T00:00:00"/>
    <x v="0"/>
    <x v="0"/>
    <s v="International"/>
    <x v="1"/>
    <x v="1"/>
    <x v="15"/>
    <n v="105"/>
    <s v="Thursday"/>
    <n v="9"/>
    <x v="4"/>
    <n v="11"/>
    <s v="BKK-105TG"/>
    <s v="BKK"/>
    <s v="TG"/>
    <x v="16"/>
    <n v="50"/>
    <n v="170.59252470246656"/>
    <n v="2550000"/>
    <n v="1275000"/>
    <n v="2805000"/>
  </r>
  <r>
    <n v="1281"/>
    <x v="22"/>
    <x v="80"/>
    <d v="1981-10-12T00:00:00"/>
    <x v="0"/>
    <x v="0"/>
    <s v="Domestic"/>
    <x v="0"/>
    <x v="11"/>
    <x v="0"/>
    <n v="101"/>
    <s v="Sunday"/>
    <n v="9"/>
    <x v="0"/>
    <n v="11"/>
    <s v="MLG-101SJ"/>
    <s v="MLG"/>
    <s v="SJ"/>
    <x v="4"/>
    <n v="100"/>
    <n v="147.17786444918684"/>
    <n v="2200000"/>
    <m/>
    <n v="2420000"/>
  </r>
  <r>
    <n v="1282"/>
    <x v="22"/>
    <x v="81"/>
    <s v="12/22/97"/>
    <x v="1"/>
    <x v="0"/>
    <s v="International"/>
    <x v="1"/>
    <x v="1"/>
    <x v="9"/>
    <n v="102"/>
    <s v="Monday"/>
    <n v="1"/>
    <x v="2"/>
    <n v="3"/>
    <s v="DRW-102EK"/>
    <s v="DRW"/>
    <s v="EK"/>
    <x v="2"/>
    <n v="50"/>
    <n v="705.784759063146"/>
    <n v="10550000"/>
    <n v="5275000"/>
    <n v="11605000"/>
  </r>
  <r>
    <n v="1283"/>
    <x v="22"/>
    <x v="82"/>
    <d v="1999-07-07T00:00:00"/>
    <x v="1"/>
    <x v="0"/>
    <s v="Domestic"/>
    <x v="0"/>
    <x v="2"/>
    <x v="0"/>
    <n v="103"/>
    <s v="Tuesday"/>
    <n v="3"/>
    <x v="1"/>
    <n v="5"/>
    <s v="DPS-103QZ"/>
    <s v="DPS"/>
    <s v="QZ"/>
    <x v="11"/>
    <n v="100"/>
    <n v="130.45310712541561"/>
    <n v="1950000"/>
    <m/>
    <n v="2145000"/>
  </r>
  <r>
    <n v="1284"/>
    <x v="22"/>
    <x v="83"/>
    <s v="04/25/88"/>
    <x v="1"/>
    <x v="0"/>
    <s v="International"/>
    <x v="1"/>
    <x v="1"/>
    <x v="16"/>
    <n v="104"/>
    <s v="Wednesday"/>
    <n v="7"/>
    <x v="5"/>
    <n v="9"/>
    <s v="HAN-104NH"/>
    <s v="HAN"/>
    <s v="NH"/>
    <x v="12"/>
    <n v="50"/>
    <n v="638.88572976806108"/>
    <n v="9550000"/>
    <n v="4775000"/>
    <n v="10505000"/>
  </r>
  <r>
    <n v="1285"/>
    <x v="22"/>
    <x v="84"/>
    <s v="04/28/86"/>
    <x v="1"/>
    <x v="0"/>
    <s v="International"/>
    <x v="1"/>
    <x v="1"/>
    <x v="14"/>
    <n v="106"/>
    <s v="Friday"/>
    <n v="12"/>
    <x v="6"/>
    <n v="14"/>
    <s v="ADL-106EK"/>
    <s v="ADL"/>
    <s v="EK"/>
    <x v="2"/>
    <n v="50"/>
    <n v="786.0635942172479"/>
    <n v="11750000"/>
    <n v="5875000"/>
    <n v="12925000"/>
  </r>
  <r>
    <n v="1286"/>
    <x v="22"/>
    <x v="85"/>
    <s v="11/13/77"/>
    <x v="0"/>
    <x v="1"/>
    <s v="Domestic"/>
    <x v="0"/>
    <x v="16"/>
    <x v="0"/>
    <n v="101"/>
    <s v="Sunday"/>
    <n v="9"/>
    <x v="0"/>
    <n v="11"/>
    <s v="BTJ-101GA"/>
    <s v="BTJ"/>
    <s v="GA"/>
    <x v="7"/>
    <n v="100"/>
    <n v="163.90262177295807"/>
    <n v="2450000"/>
    <m/>
    <n v="2695000"/>
  </r>
  <r>
    <n v="1287"/>
    <x v="22"/>
    <x v="86"/>
    <s v="10/13/99"/>
    <x v="0"/>
    <x v="0"/>
    <s v="International"/>
    <x v="1"/>
    <x v="1"/>
    <x v="19"/>
    <n v="101"/>
    <s v="Sunday"/>
    <n v="9"/>
    <x v="0"/>
    <n v="11"/>
    <s v="DEL-101MH"/>
    <s v="DEL"/>
    <s v="MH"/>
    <x v="18"/>
    <n v="50"/>
    <n v="752.6140795697055"/>
    <n v="11250000"/>
    <n v="5625000"/>
    <n v="12375000"/>
  </r>
  <r>
    <n v="1288"/>
    <x v="23"/>
    <x v="87"/>
    <s v="12/31/88"/>
    <x v="0"/>
    <x v="0"/>
    <s v="Domestic"/>
    <x v="0"/>
    <x v="3"/>
    <x v="0"/>
    <n v="104"/>
    <s v="Wednesday"/>
    <n v="7"/>
    <x v="5"/>
    <n v="9"/>
    <s v="JOG-104ID"/>
    <s v="JOG"/>
    <s v="ID"/>
    <x v="15"/>
    <n v="100"/>
    <n v="133.79805859016986"/>
    <n v="2000000"/>
    <m/>
    <n v="2200000"/>
  </r>
  <r>
    <n v="1289"/>
    <x v="23"/>
    <x v="88"/>
    <s v="03/18/99"/>
    <x v="0"/>
    <x v="0"/>
    <s v="International"/>
    <x v="1"/>
    <x v="1"/>
    <x v="20"/>
    <n v="106"/>
    <s v="Friday"/>
    <n v="12"/>
    <x v="6"/>
    <n v="14"/>
    <s v="YVR-106CX"/>
    <s v="YVR"/>
    <s v="CX"/>
    <x v="10"/>
    <n v="50"/>
    <n v="913.17174987790929"/>
    <n v="13650000"/>
    <n v="6825000"/>
    <n v="15015000"/>
  </r>
  <r>
    <n v="1290"/>
    <x v="24"/>
    <x v="89"/>
    <s v="10/13/99"/>
    <x v="1"/>
    <x v="0"/>
    <s v="International"/>
    <x v="1"/>
    <x v="1"/>
    <x v="18"/>
    <n v="101"/>
    <s v="Sunday"/>
    <n v="9"/>
    <x v="0"/>
    <n v="11"/>
    <s v="CPH-101CX"/>
    <s v="CPH"/>
    <s v="CX"/>
    <x v="10"/>
    <n v="50"/>
    <n v="980.07077917299421"/>
    <n v="14650000"/>
    <n v="7325000"/>
    <n v="16115000"/>
  </r>
  <r>
    <n v="1291"/>
    <x v="25"/>
    <x v="90"/>
    <s v="12/31/88"/>
    <x v="1"/>
    <x v="0"/>
    <s v="International"/>
    <x v="1"/>
    <x v="1"/>
    <x v="17"/>
    <n v="103"/>
    <s v="Tuesday"/>
    <n v="3"/>
    <x v="1"/>
    <n v="5"/>
    <s v="KUL-103SGX"/>
    <s v="KUL"/>
    <s v="SGX"/>
    <x v="1"/>
    <n v="50"/>
    <n v="187.31728202623779"/>
    <n v="2800000"/>
    <n v="1400000"/>
    <n v="3080000"/>
  </r>
  <r>
    <n v="1292"/>
    <x v="25"/>
    <x v="91"/>
    <s v="03/18/99"/>
    <x v="0"/>
    <x v="1"/>
    <s v="International"/>
    <x v="1"/>
    <x v="1"/>
    <x v="1"/>
    <n v="107"/>
    <s v="Saturday"/>
    <n v="3"/>
    <x v="3"/>
    <n v="5"/>
    <s v="NRT-107SV"/>
    <s v="NRT"/>
    <s v="SV"/>
    <x v="19"/>
    <n v="50"/>
    <n v="551.91699168445064"/>
    <n v="8250000"/>
    <n v="4125000"/>
    <n v="9075000"/>
  </r>
  <r>
    <n v="1293"/>
    <x v="26"/>
    <x v="92"/>
    <d v="1997-11-03T00:00:00"/>
    <x v="0"/>
    <x v="1"/>
    <s v="International"/>
    <x v="1"/>
    <x v="1"/>
    <x v="4"/>
    <n v="104"/>
    <s v="Wednesday"/>
    <n v="7"/>
    <x v="5"/>
    <n v="9"/>
    <s v="KIX-104SV"/>
    <s v="KIX"/>
    <s v="SV"/>
    <x v="19"/>
    <n v="50"/>
    <n v="919.86165280741784"/>
    <n v="13750000"/>
    <n v="6875000"/>
    <n v="15125000"/>
  </r>
  <r>
    <n v="1294"/>
    <x v="26"/>
    <x v="93"/>
    <d v="1997-12-07T00:00:00"/>
    <x v="1"/>
    <x v="0"/>
    <s v="Domestic"/>
    <x v="0"/>
    <x v="15"/>
    <x v="0"/>
    <n v="103"/>
    <s v="Tuesday"/>
    <n v="3"/>
    <x v="1"/>
    <n v="5"/>
    <s v="TKG-103ID"/>
    <s v="TKG"/>
    <s v="ID"/>
    <x v="15"/>
    <n v="100"/>
    <n v="157.21271884344958"/>
    <n v="2350000"/>
    <m/>
    <n v="2585000"/>
  </r>
  <r>
    <n v="1295"/>
    <x v="27"/>
    <x v="94"/>
    <d v="1986-07-06T00:00:00"/>
    <x v="1"/>
    <x v="0"/>
    <s v="International"/>
    <x v="1"/>
    <x v="1"/>
    <x v="7"/>
    <n v="102"/>
    <s v="Monday"/>
    <n v="1"/>
    <x v="2"/>
    <n v="3"/>
    <s v="ZRH-102TRY"/>
    <s v="ZRH"/>
    <s v="TRY"/>
    <x v="9"/>
    <n v="50"/>
    <n v="699.429351280113"/>
    <n v="10455000"/>
    <n v="5227500"/>
    <n v="11500500"/>
  </r>
  <r>
    <n v="1296"/>
    <x v="27"/>
    <x v="95"/>
    <d v="1980-03-05T00:00:00"/>
    <x v="1"/>
    <x v="0"/>
    <s v="Domestic"/>
    <x v="0"/>
    <x v="5"/>
    <x v="0"/>
    <n v="101"/>
    <s v="Sunday"/>
    <n v="9"/>
    <x v="0"/>
    <n v="11"/>
    <s v="SUB-101JT"/>
    <s v="SUB"/>
    <s v="JT"/>
    <x v="14"/>
    <n v="100"/>
    <n v="130.45310712541561"/>
    <n v="1950000"/>
    <m/>
    <n v="2145000"/>
  </r>
  <r>
    <n v="1297"/>
    <x v="27"/>
    <x v="96"/>
    <d v="1980-12-12T00:00:00"/>
    <x v="0"/>
    <x v="0"/>
    <s v="Domestic"/>
    <x v="0"/>
    <x v="17"/>
    <x v="0"/>
    <n v="105"/>
    <s v="Thursday"/>
    <n v="9"/>
    <x v="4"/>
    <n v="11"/>
    <s v="PKU-105ID"/>
    <s v="PKU"/>
    <s v="ID"/>
    <x v="15"/>
    <n v="100"/>
    <n v="133.79805859016986"/>
    <n v="2000000"/>
    <m/>
    <n v="2200000"/>
  </r>
  <r>
    <n v="1298"/>
    <x v="27"/>
    <x v="97"/>
    <d v="1981-04-12T00:00:00"/>
    <x v="0"/>
    <x v="0"/>
    <s v="Domestic"/>
    <x v="0"/>
    <x v="16"/>
    <x v="0"/>
    <n v="104"/>
    <s v="Wednesday"/>
    <n v="7"/>
    <x v="5"/>
    <n v="9"/>
    <s v="BTJ-104ID"/>
    <s v="BTJ"/>
    <s v="ID"/>
    <x v="15"/>
    <n v="100"/>
    <n v="163.90262177295807"/>
    <n v="2450000"/>
    <m/>
    <n v="2695000"/>
  </r>
  <r>
    <n v="1299"/>
    <x v="28"/>
    <x v="98"/>
    <d v="1999-12-10T00:00:00"/>
    <x v="0"/>
    <x v="1"/>
    <s v="Domestic"/>
    <x v="0"/>
    <x v="13"/>
    <x v="0"/>
    <n v="103"/>
    <s v="Tuesday"/>
    <n v="3"/>
    <x v="1"/>
    <n v="5"/>
    <s v="PNK-103GA"/>
    <s v="PNK"/>
    <s v="GA"/>
    <x v="7"/>
    <n v="100"/>
    <n v="143.8329129844326"/>
    <n v="2150000"/>
    <m/>
    <n v="2365000"/>
  </r>
  <r>
    <n v="1300"/>
    <x v="28"/>
    <x v="99"/>
    <s v="09/22/87"/>
    <x v="0"/>
    <x v="0"/>
    <s v="Domestic"/>
    <x v="0"/>
    <x v="2"/>
    <x v="0"/>
    <n v="102"/>
    <s v="Monday"/>
    <n v="1"/>
    <x v="2"/>
    <n v="3"/>
    <s v="DPS-102GA"/>
    <s v="DPS"/>
    <s v="GA"/>
    <x v="7"/>
    <n v="100"/>
    <n v="130.45310712541561"/>
    <n v="1950000"/>
    <m/>
    <n v="2145000"/>
  </r>
  <r>
    <n v="1301"/>
    <x v="28"/>
    <x v="100"/>
    <s v="08/28/67"/>
    <x v="1"/>
    <x v="0"/>
    <s v="Domestic"/>
    <x v="0"/>
    <x v="17"/>
    <x v="0"/>
    <n v="105"/>
    <s v="Thursday"/>
    <n v="9"/>
    <x v="4"/>
    <n v="11"/>
    <s v="PKU-105ID"/>
    <s v="PKU"/>
    <s v="ID"/>
    <x v="15"/>
    <n v="100"/>
    <n v="133.79805859016986"/>
    <n v="2000000"/>
    <m/>
    <n v="2200000"/>
  </r>
  <r>
    <n v="1302"/>
    <x v="28"/>
    <x v="101"/>
    <d v="1999-11-04T00:00:00"/>
    <x v="1"/>
    <x v="0"/>
    <s v="Domestic"/>
    <x v="0"/>
    <x v="16"/>
    <x v="0"/>
    <n v="104"/>
    <s v="Wednesday"/>
    <n v="7"/>
    <x v="5"/>
    <n v="9"/>
    <s v="BTJ-104ID"/>
    <s v="BTJ"/>
    <s v="ID"/>
    <x v="15"/>
    <n v="100"/>
    <n v="163.90262177295807"/>
    <n v="2450000"/>
    <m/>
    <n v="2695000"/>
  </r>
  <r>
    <n v="1303"/>
    <x v="28"/>
    <x v="102"/>
    <s v="01/30/98"/>
    <x v="0"/>
    <x v="1"/>
    <s v="Domestic"/>
    <x v="0"/>
    <x v="13"/>
    <x v="0"/>
    <n v="103"/>
    <s v="Tuesday"/>
    <n v="3"/>
    <x v="1"/>
    <n v="5"/>
    <s v="PNK-103GA"/>
    <s v="PNK"/>
    <s v="GA"/>
    <x v="7"/>
    <n v="100"/>
    <n v="143.8329129844326"/>
    <n v="2150000"/>
    <m/>
    <n v="2365000"/>
  </r>
  <r>
    <n v="1304"/>
    <x v="28"/>
    <x v="103"/>
    <s v="04/29/97"/>
    <x v="0"/>
    <x v="0"/>
    <s v="Domestic"/>
    <x v="0"/>
    <x v="2"/>
    <x v="0"/>
    <n v="102"/>
    <s v="Monday"/>
    <n v="1"/>
    <x v="2"/>
    <n v="3"/>
    <s v="DPS-102GA"/>
    <s v="DPS"/>
    <s v="GA"/>
    <x v="7"/>
    <n v="100"/>
    <n v="130.45310712541561"/>
    <n v="1950000"/>
    <m/>
    <n v="2145000"/>
  </r>
  <r>
    <n v="1305"/>
    <x v="29"/>
    <x v="104"/>
    <s v="03/22/90"/>
    <x v="0"/>
    <x v="0"/>
    <s v="Domestic"/>
    <x v="0"/>
    <x v="2"/>
    <x v="0"/>
    <n v="104"/>
    <s v="Wednesday"/>
    <n v="7"/>
    <x v="5"/>
    <n v="9"/>
    <s v="DPS-104QZ"/>
    <s v="DPS"/>
    <s v="QZ"/>
    <x v="11"/>
    <n v="100"/>
    <n v="130.45310712541561"/>
    <n v="1950000"/>
    <m/>
    <n v="2145000"/>
  </r>
  <r>
    <n v="1306"/>
    <x v="29"/>
    <x v="105"/>
    <s v="10/20/88"/>
    <x v="1"/>
    <x v="1"/>
    <s v="Domestic"/>
    <x v="0"/>
    <x v="0"/>
    <x v="0"/>
    <n v="102"/>
    <s v="Monday"/>
    <n v="1"/>
    <x v="2"/>
    <n v="3"/>
    <s v="KNO-102GA"/>
    <s v="KNO"/>
    <s v="GA"/>
    <x v="7"/>
    <n v="100"/>
    <n v="147.17786444918684"/>
    <n v="2200000"/>
    <m/>
    <n v="2420000"/>
  </r>
  <r>
    <n v="1307"/>
    <x v="29"/>
    <x v="106"/>
    <s v="11/28/85"/>
    <x v="1"/>
    <x v="0"/>
    <s v="Domestic"/>
    <x v="0"/>
    <x v="18"/>
    <x v="0"/>
    <n v="105"/>
    <s v="Thursday"/>
    <n v="9"/>
    <x v="4"/>
    <n v="11"/>
    <s v="SRG-105IP"/>
    <s v="SRG"/>
    <s v="IP"/>
    <x v="20"/>
    <n v="100"/>
    <n v="127.10815566066137"/>
    <n v="1900000"/>
    <m/>
    <n v="2090000"/>
  </r>
  <r>
    <n v="1308"/>
    <x v="30"/>
    <x v="107"/>
    <s v="03/22/67"/>
    <x v="0"/>
    <x v="0"/>
    <s v="Domestic"/>
    <x v="0"/>
    <x v="19"/>
    <x v="0"/>
    <n v="103"/>
    <s v="Tuesday"/>
    <n v="3"/>
    <x v="1"/>
    <n v="5"/>
    <s v="BTH-1038B"/>
    <s v="BTH"/>
    <s v="8B"/>
    <x v="21"/>
    <n v="100"/>
    <n v="220.76679667378028"/>
    <n v="3300000"/>
    <m/>
    <n v="3630000"/>
  </r>
  <r>
    <n v="1309"/>
    <x v="30"/>
    <x v="108"/>
    <d v="1999-07-07T00:00:00"/>
    <x v="0"/>
    <x v="0"/>
    <s v="International"/>
    <x v="1"/>
    <x v="1"/>
    <x v="17"/>
    <n v="103"/>
    <s v="Tuesday"/>
    <n v="3"/>
    <x v="1"/>
    <n v="5"/>
    <s v="KUL-103SGX"/>
    <s v="KUL"/>
    <s v="SGX"/>
    <x v="1"/>
    <n v="50"/>
    <n v="187.31728202623779"/>
    <n v="2800000"/>
    <n v="1400000"/>
    <n v="3080000"/>
  </r>
  <r>
    <n v="1310"/>
    <x v="30"/>
    <x v="109"/>
    <s v="04/25/88"/>
    <x v="0"/>
    <x v="0"/>
    <s v="Domestic"/>
    <x v="0"/>
    <x v="8"/>
    <x v="0"/>
    <n v="104"/>
    <s v="Wednesday"/>
    <n v="7"/>
    <x v="5"/>
    <n v="9"/>
    <s v="DJB-104JT"/>
    <s v="DJB"/>
    <s v="JT"/>
    <x v="14"/>
    <n v="100"/>
    <n v="157.54721398992501"/>
    <n v="2355000"/>
    <m/>
    <n v="2590500"/>
  </r>
  <r>
    <n v="1311"/>
    <x v="30"/>
    <x v="110"/>
    <s v="04/28/86"/>
    <x v="1"/>
    <x v="0"/>
    <s v="Domestic"/>
    <x v="0"/>
    <x v="9"/>
    <x v="0"/>
    <n v="104"/>
    <s v="Wednesday"/>
    <n v="7"/>
    <x v="5"/>
    <n v="9"/>
    <s v="PDG-104GA"/>
    <s v="PDG"/>
    <s v="GA"/>
    <x v="7"/>
    <n v="100"/>
    <n v="147.17786444918684"/>
    <n v="2200000"/>
    <m/>
    <n v="2420000"/>
  </r>
  <r>
    <n v="1312"/>
    <x v="31"/>
    <x v="111"/>
    <s v="11/13/77"/>
    <x v="0"/>
    <x v="1"/>
    <s v="International"/>
    <x v="1"/>
    <x v="1"/>
    <x v="6"/>
    <n v="105"/>
    <s v="Thursday"/>
    <n v="9"/>
    <x v="4"/>
    <n v="11"/>
    <s v="CAN-105TAT"/>
    <s v="CAN"/>
    <s v="TAT"/>
    <x v="8"/>
    <n v="50"/>
    <n v="658.95543855658661"/>
    <n v="9850000"/>
    <n v="4925000"/>
    <n v="10835000"/>
  </r>
  <r>
    <n v="1313"/>
    <x v="31"/>
    <x v="112"/>
    <s v="10/13/99"/>
    <x v="0"/>
    <x v="0"/>
    <s v="Domestic"/>
    <x v="0"/>
    <x v="2"/>
    <x v="0"/>
    <n v="106"/>
    <s v="Friday"/>
    <n v="12"/>
    <x v="6"/>
    <n v="14"/>
    <s v="DPS-106QZ"/>
    <s v="DPS"/>
    <s v="QZ"/>
    <x v="11"/>
    <n v="100"/>
    <n v="130.45310712541561"/>
    <n v="1950000"/>
    <m/>
    <n v="2145000"/>
  </r>
  <r>
    <n v="1314"/>
    <x v="31"/>
    <x v="113"/>
    <s v="12/31/88"/>
    <x v="1"/>
    <x v="0"/>
    <s v="International"/>
    <x v="1"/>
    <x v="1"/>
    <x v="7"/>
    <n v="102"/>
    <s v="Monday"/>
    <n v="1"/>
    <x v="2"/>
    <n v="3"/>
    <s v="ZRH-102TRY"/>
    <s v="ZRH"/>
    <s v="TRY"/>
    <x v="9"/>
    <n v="50"/>
    <n v="699.429351280113"/>
    <n v="10455000"/>
    <n v="5227500"/>
    <n v="11500500"/>
  </r>
  <r>
    <n v="1315"/>
    <x v="31"/>
    <x v="114"/>
    <s v="03/18/99"/>
    <x v="0"/>
    <x v="0"/>
    <s v="Domestic"/>
    <x v="0"/>
    <x v="0"/>
    <x v="0"/>
    <n v="102"/>
    <s v="Monday"/>
    <n v="1"/>
    <x v="2"/>
    <n v="3"/>
    <s v="KNO-102GA"/>
    <s v="KNO"/>
    <s v="GA"/>
    <x v="7"/>
    <n v="100"/>
    <n v="147.17786444918684"/>
    <n v="2200000"/>
    <m/>
    <n v="2420000"/>
  </r>
  <r>
    <n v="1316"/>
    <x v="31"/>
    <x v="115"/>
    <s v="12/28/90"/>
    <x v="0"/>
    <x v="0"/>
    <s v="International"/>
    <x v="1"/>
    <x v="1"/>
    <x v="2"/>
    <n v="106"/>
    <s v="Friday"/>
    <n v="12"/>
    <x v="6"/>
    <n v="14"/>
    <s v="IST-106QR"/>
    <s v="IST"/>
    <s v="QR"/>
    <x v="5"/>
    <n v="50"/>
    <n v="772.68378835823091"/>
    <n v="11550000"/>
    <n v="5775000"/>
    <n v="12705000"/>
  </r>
  <r>
    <n v="1317"/>
    <x v="32"/>
    <x v="116"/>
    <s v="12/22/99"/>
    <x v="1"/>
    <x v="0"/>
    <s v="International"/>
    <x v="1"/>
    <x v="1"/>
    <x v="17"/>
    <n v="105"/>
    <s v="Thursday"/>
    <n v="9"/>
    <x v="4"/>
    <n v="11"/>
    <s v="KUL-105MH"/>
    <s v="KUL"/>
    <s v="MH"/>
    <x v="18"/>
    <n v="50"/>
    <n v="187.31728202623779"/>
    <n v="2800000"/>
    <n v="1400000"/>
    <n v="3080000"/>
  </r>
  <r>
    <n v="1318"/>
    <x v="32"/>
    <x v="117"/>
    <s v="01/13/66"/>
    <x v="0"/>
    <x v="0"/>
    <s v="International"/>
    <x v="1"/>
    <x v="1"/>
    <x v="19"/>
    <n v="101"/>
    <s v="Sunday"/>
    <n v="9"/>
    <x v="0"/>
    <n v="11"/>
    <s v="DEL-101MH"/>
    <s v="DEL"/>
    <s v="MH"/>
    <x v="18"/>
    <n v="50"/>
    <n v="752.6140795697055"/>
    <n v="11250000"/>
    <n v="5625000"/>
    <n v="12375000"/>
  </r>
  <r>
    <n v="1319"/>
    <x v="33"/>
    <x v="118"/>
    <d v="1989-08-04T00:00:00"/>
    <x v="1"/>
    <x v="0"/>
    <s v="International"/>
    <x v="1"/>
    <x v="1"/>
    <x v="21"/>
    <n v="104"/>
    <s v="Wednesday"/>
    <n v="7"/>
    <x v="5"/>
    <n v="9"/>
    <s v="SEA-104TAT"/>
    <s v="SEA"/>
    <s v="TAT"/>
    <x v="8"/>
    <n v="50"/>
    <n v="571.98670047297617"/>
    <n v="8550000"/>
    <n v="4275000"/>
    <n v="9405000"/>
  </r>
  <r>
    <n v="1320"/>
    <x v="34"/>
    <x v="119"/>
    <s v="05/14/97"/>
    <x v="1"/>
    <x v="0"/>
    <s v="International"/>
    <x v="1"/>
    <x v="1"/>
    <x v="12"/>
    <n v="105"/>
    <s v="Thursday"/>
    <n v="9"/>
    <x v="4"/>
    <n v="11"/>
    <s v="PEK-105CX"/>
    <s v="PEK"/>
    <s v="CX"/>
    <x v="10"/>
    <n v="50"/>
    <n v="702.43980759839178"/>
    <n v="10500000"/>
    <n v="5250000"/>
    <n v="115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9EB5CC-EF0B-824E-BAE3-FEB63FA79447}" name="PivotTable1" cacheId="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F25" firstHeaderRow="1" firstDataRow="3" firstDataCol="1" rowPageCount="1" colPageCount="1"/>
  <pivotFields count="24">
    <pivotField showAll="0" insertBlankRow="1"/>
    <pivotField axis="axisCol" showAll="0" insertBlankRow="1">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axis="axisRow" showAll="0" insertBlankRow="1">
      <items count="121">
        <item x="3"/>
        <item x="90"/>
        <item x="110"/>
        <item x="72"/>
        <item x="2"/>
        <item x="74"/>
        <item x="26"/>
        <item x="50"/>
        <item x="51"/>
        <item x="43"/>
        <item x="36"/>
        <item x="21"/>
        <item x="24"/>
        <item x="88"/>
        <item x="1"/>
        <item x="83"/>
        <item x="82"/>
        <item x="22"/>
        <item x="47"/>
        <item x="95"/>
        <item x="85"/>
        <item x="103"/>
        <item x="66"/>
        <item x="0"/>
        <item x="6"/>
        <item x="4"/>
        <item x="7"/>
        <item x="8"/>
        <item x="5"/>
        <item x="10"/>
        <item x="9"/>
        <item x="104"/>
        <item x="99"/>
        <item x="111"/>
        <item x="107"/>
        <item x="91"/>
        <item x="55"/>
        <item x="11"/>
        <item x="48"/>
        <item x="105"/>
        <item x="12"/>
        <item x="106"/>
        <item x="101"/>
        <item x="89"/>
        <item x="70"/>
        <item x="71"/>
        <item x="40"/>
        <item x="67"/>
        <item x="68"/>
        <item x="69"/>
        <item x="115"/>
        <item x="81"/>
        <item x="13"/>
        <item x="32"/>
        <item x="41"/>
        <item x="64"/>
        <item x="116"/>
        <item x="94"/>
        <item x="45"/>
        <item x="23"/>
        <item x="75"/>
        <item x="78"/>
        <item x="96"/>
        <item x="77"/>
        <item x="117"/>
        <item x="80"/>
        <item x="97"/>
        <item x="20"/>
        <item x="79"/>
        <item x="17"/>
        <item x="44"/>
        <item x="49"/>
        <item x="35"/>
        <item x="25"/>
        <item x="14"/>
        <item x="34"/>
        <item x="86"/>
        <item x="18"/>
        <item x="46"/>
        <item x="93"/>
        <item x="59"/>
        <item x="61"/>
        <item x="118"/>
        <item x="27"/>
        <item x="39"/>
        <item x="29"/>
        <item x="15"/>
        <item x="19"/>
        <item x="28"/>
        <item x="87"/>
        <item x="33"/>
        <item x="16"/>
        <item x="76"/>
        <item x="84"/>
        <item x="100"/>
        <item x="98"/>
        <item x="57"/>
        <item x="114"/>
        <item x="119"/>
        <item x="42"/>
        <item x="58"/>
        <item x="109"/>
        <item x="30"/>
        <item x="62"/>
        <item x="31"/>
        <item x="38"/>
        <item x="108"/>
        <item x="102"/>
        <item x="92"/>
        <item x="73"/>
        <item x="65"/>
        <item x="56"/>
        <item x="63"/>
        <item x="112"/>
        <item x="60"/>
        <item x="37"/>
        <item x="52"/>
        <item x="113"/>
        <item x="54"/>
        <item x="53"/>
        <item t="default"/>
      </items>
    </pivotField>
    <pivotField showAll="0" insertBlankRow="1"/>
    <pivotField showAll="0" insertBlankRow="1"/>
    <pivotField showAll="0" insertBlankRow="1"/>
    <pivotField showAll="0" insertBlankRow="1"/>
    <pivotField axis="axisCol" showAll="0" insertBlankRow="1">
      <items count="3">
        <item h="1" x="1"/>
        <item x="0"/>
        <item t="default"/>
      </items>
    </pivotField>
    <pivotField axis="axisPage" multipleItemSelectionAllowed="1" showAll="0" insertBlankRow="1">
      <items count="21">
        <item h="1" x="11"/>
        <item h="1" x="10"/>
        <item x="3"/>
        <item h="1" x="19"/>
        <item h="1" x="18"/>
        <item h="1" x="5"/>
        <item h="1" x="0"/>
        <item x="9"/>
        <item x="2"/>
        <item h="1" x="4"/>
        <item h="1" x="15"/>
        <item h="1" x="14"/>
        <item h="1" x="7"/>
        <item h="1" x="16"/>
        <item h="1" x="6"/>
        <item h="1" x="17"/>
        <item h="1" x="8"/>
        <item h="1" x="13"/>
        <item h="1" x="12"/>
        <item h="1" x="1"/>
        <item t="default"/>
      </items>
    </pivotField>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showAll="0" insertBlankRow="1"/>
    <pivotField numFmtId="173" showAll="0" insertBlankRow="1"/>
    <pivotField numFmtId="172" showAll="0" insertBlankRow="1"/>
    <pivotField dataField="1" numFmtId="165" showAll="0" insertBlankRow="1"/>
    <pivotField dataField="1" showAll="0" insertBlankRow="1"/>
    <pivotField dataField="1" numFmtId="165" showAll="0" insertBlankRow="1">
      <items count="34">
        <item h="1" x="30"/>
        <item h="1" x="5"/>
        <item h="1" x="6"/>
        <item h="1" x="18"/>
        <item x="0"/>
        <item h="1" x="14"/>
        <item h="1" x="15"/>
        <item h="1" x="27"/>
        <item h="1" x="22"/>
        <item h="1" x="16"/>
        <item h="1" x="26"/>
        <item h="1" x="24"/>
        <item h="1" x="31"/>
        <item h="1" x="8"/>
        <item h="1" x="1"/>
        <item h="1" x="13"/>
        <item h="1" x="32"/>
        <item h="1" x="7"/>
        <item h="1" x="23"/>
        <item h="1" x="9"/>
        <item h="1" x="11"/>
        <item h="1" x="20"/>
        <item h="1" x="10"/>
        <item h="1" x="19"/>
        <item h="1" x="12"/>
        <item h="1" x="28"/>
        <item h="1" x="17"/>
        <item h="1" x="2"/>
        <item h="1" x="21"/>
        <item h="1" x="3"/>
        <item h="1" x="29"/>
        <item h="1" x="4"/>
        <item h="1" x="25"/>
        <item t="default"/>
      </items>
    </pivotField>
  </pivotFields>
  <rowFields count="2">
    <field x="2"/>
    <field x="-2"/>
  </rowFields>
  <rowItems count="20">
    <i>
      <x v="2"/>
    </i>
    <i r="1">
      <x/>
    </i>
    <i r="1" i="1">
      <x v="1"/>
    </i>
    <i r="1" i="2">
      <x v="2"/>
    </i>
    <i t="blank">
      <x v="2"/>
    </i>
    <i>
      <x v="17"/>
    </i>
    <i r="1">
      <x/>
    </i>
    <i r="1" i="1">
      <x v="1"/>
    </i>
    <i r="1" i="2">
      <x v="2"/>
    </i>
    <i t="blank">
      <x v="17"/>
    </i>
    <i>
      <x v="59"/>
    </i>
    <i r="1">
      <x/>
    </i>
    <i r="1" i="1">
      <x v="1"/>
    </i>
    <i r="1" i="2">
      <x v="2"/>
    </i>
    <i t="blank">
      <x v="59"/>
    </i>
    <i>
      <x v="81"/>
    </i>
    <i r="1">
      <x/>
    </i>
    <i r="1" i="1">
      <x v="1"/>
    </i>
    <i r="1" i="2">
      <x v="2"/>
    </i>
    <i t="blank">
      <x v="81"/>
    </i>
  </rowItems>
  <colFields count="2">
    <field x="7"/>
    <field x="1"/>
  </colFields>
  <colItems count="5">
    <i>
      <x v="1"/>
      <x v="4"/>
    </i>
    <i r="1">
      <x v="19"/>
    </i>
    <i r="1">
      <x v="28"/>
    </i>
    <i t="default">
      <x v="1"/>
    </i>
    <i t="grand">
      <x/>
    </i>
  </colItems>
  <pageFields count="1">
    <pageField fld="8" hier="-1"/>
  </pageFields>
  <dataFields count="3">
    <dataField name="Sum of Price (IDR)" fld="21" baseField="0" baseItem="0"/>
    <dataField name="Max of Refund Description" fld="22" subtotal="max" baseField="0" baseItem="0"/>
    <dataField name="Average of Total Payment" fld="23" subtotal="average" baseField="0" baseItem="0"/>
  </dataFields>
  <formats count="6">
    <format dxfId="302">
      <pivotArea outline="0" collapsedLevelsAreSubtotals="1" fieldPosition="0"/>
    </format>
    <format dxfId="301">
      <pivotArea dataOnly="0" labelOnly="1" outline="0" fieldPosition="0">
        <references count="1">
          <reference field="8" count="0"/>
        </references>
      </pivotArea>
    </format>
    <format dxfId="300">
      <pivotArea field="7" type="button" dataOnly="0" labelOnly="1" outline="0" axis="axisCol" fieldPosition="0"/>
    </format>
    <format dxfId="299">
      <pivotArea type="topRight" dataOnly="0" labelOnly="1" outline="0" fieldPosition="0"/>
    </format>
    <format dxfId="298">
      <pivotArea dataOnly="0" labelOnly="1" fieldPosition="0">
        <references count="1">
          <reference field="7" count="1">
            <x v="1"/>
          </reference>
        </references>
      </pivotArea>
    </format>
    <format dxfId="297">
      <pivotArea dataOnly="0" labelOnly="1" grandCol="1" outline="0" fieldPosition="0"/>
    </format>
  </formats>
  <chartFormats count="15">
    <chartFormat chart="1" format="3" series="1">
      <pivotArea type="data" outline="0" fieldPosition="0">
        <references count="3">
          <reference field="4294967294" count="1" selected="0">
            <x v="0"/>
          </reference>
          <reference field="1" count="1" selected="0">
            <x v="4"/>
          </reference>
          <reference field="7" count="1" selected="0">
            <x v="1"/>
          </reference>
        </references>
      </pivotArea>
    </chartFormat>
    <chartFormat chart="1" format="4" series="1">
      <pivotArea type="data" outline="0" fieldPosition="0">
        <references count="3">
          <reference field="4294967294" count="1" selected="0">
            <x v="0"/>
          </reference>
          <reference field="1" count="1" selected="0">
            <x v="19"/>
          </reference>
          <reference field="7" count="1" selected="0">
            <x v="1"/>
          </reference>
        </references>
      </pivotArea>
    </chartFormat>
    <chartFormat chart="1" format="5" series="1">
      <pivotArea type="data" outline="0" fieldPosition="0">
        <references count="3">
          <reference field="4294967294" count="1" selected="0">
            <x v="0"/>
          </reference>
          <reference field="1" count="1" selected="0">
            <x v="28"/>
          </reference>
          <reference field="7" count="1" selected="0">
            <x v="1"/>
          </reference>
        </references>
      </pivotArea>
    </chartFormat>
    <chartFormat chart="1" format="6" series="1">
      <pivotArea type="data" outline="0" fieldPosition="0">
        <references count="2">
          <reference field="4294967294" count="1" selected="0">
            <x v="0"/>
          </reference>
          <reference field="2" count="1" selected="0">
            <x v="17"/>
          </reference>
        </references>
      </pivotArea>
    </chartFormat>
    <chartFormat chart="1" format="7" series="1">
      <pivotArea type="data" outline="0" fieldPosition="0">
        <references count="2">
          <reference field="4294967294" count="1" selected="0">
            <x v="1"/>
          </reference>
          <reference field="2" count="1" selected="0">
            <x v="17"/>
          </reference>
        </references>
      </pivotArea>
    </chartFormat>
    <chartFormat chart="1" format="8" series="1">
      <pivotArea type="data" outline="0" fieldPosition="0">
        <references count="2">
          <reference field="4294967294" count="1" selected="0">
            <x v="2"/>
          </reference>
          <reference field="2" count="1" selected="0">
            <x v="17"/>
          </reference>
        </references>
      </pivotArea>
    </chartFormat>
    <chartFormat chart="1" format="9" series="1">
      <pivotArea type="data" outline="0" fieldPosition="0">
        <references count="2">
          <reference field="4294967294" count="1" selected="0">
            <x v="0"/>
          </reference>
          <reference field="2" count="1" selected="0">
            <x v="59"/>
          </reference>
        </references>
      </pivotArea>
    </chartFormat>
    <chartFormat chart="1" format="10" series="1">
      <pivotArea type="data" outline="0" fieldPosition="0">
        <references count="2">
          <reference field="4294967294" count="1" selected="0">
            <x v="1"/>
          </reference>
          <reference field="2" count="1" selected="0">
            <x v="59"/>
          </reference>
        </references>
      </pivotArea>
    </chartFormat>
    <chartFormat chart="1" format="11" series="1">
      <pivotArea type="data" outline="0" fieldPosition="0">
        <references count="2">
          <reference field="4294967294" count="1" selected="0">
            <x v="2"/>
          </reference>
          <reference field="2" count="1" selected="0">
            <x v="59"/>
          </reference>
        </references>
      </pivotArea>
    </chartFormat>
    <chartFormat chart="1" format="12" series="1">
      <pivotArea type="data" outline="0" fieldPosition="0">
        <references count="2">
          <reference field="4294967294" count="1" selected="0">
            <x v="0"/>
          </reference>
          <reference field="2" count="1" selected="0">
            <x v="81"/>
          </reference>
        </references>
      </pivotArea>
    </chartFormat>
    <chartFormat chart="1" format="13" series="1">
      <pivotArea type="data" outline="0" fieldPosition="0">
        <references count="2">
          <reference field="4294967294" count="1" selected="0">
            <x v="1"/>
          </reference>
          <reference field="2" count="1" selected="0">
            <x v="81"/>
          </reference>
        </references>
      </pivotArea>
    </chartFormat>
    <chartFormat chart="1" format="14" series="1">
      <pivotArea type="data" outline="0" fieldPosition="0">
        <references count="2">
          <reference field="4294967294" count="1" selected="0">
            <x v="2"/>
          </reference>
          <reference field="2" count="1" selected="0">
            <x v="81"/>
          </reference>
        </references>
      </pivotArea>
    </chartFormat>
    <chartFormat chart="1" format="15" series="1">
      <pivotArea type="data" outline="0" fieldPosition="0">
        <references count="2">
          <reference field="4294967294" count="1" selected="0">
            <x v="0"/>
          </reference>
          <reference field="2" count="1" selected="0">
            <x v="2"/>
          </reference>
        </references>
      </pivotArea>
    </chartFormat>
    <chartFormat chart="1" format="16" series="1">
      <pivotArea type="data" outline="0" fieldPosition="0">
        <references count="2">
          <reference field="4294967294" count="1" selected="0">
            <x v="1"/>
          </reference>
          <reference field="2" count="1" selected="0">
            <x v="2"/>
          </reference>
        </references>
      </pivotArea>
    </chartFormat>
    <chartFormat chart="1" format="17" series="1">
      <pivotArea type="data" outline="0" fieldPosition="0">
        <references count="2">
          <reference field="4294967294" count="1" selected="0">
            <x v="2"/>
          </reference>
          <reference field="2"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FD376A-AF02-C341-BB4B-CFA225693522}"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49" firstHeaderRow="1" firstDataRow="3" firstDataCol="1" rowPageCount="2" colPageCount="1"/>
  <pivotFields count="24">
    <pivotField showAll="0"/>
    <pivotField axis="axisPage" multipleItemSelectionAllowed="1" showAll="0">
      <items count="36">
        <item x="11"/>
        <item x="12"/>
        <item x="13"/>
        <item x="14"/>
        <item x="15"/>
        <item x="16"/>
        <item x="17"/>
        <item x="18"/>
        <item x="19"/>
        <item x="20"/>
        <item x="21"/>
        <item x="22"/>
        <item x="23"/>
        <item x="24"/>
        <item h="1" x="25"/>
        <item h="1" x="26"/>
        <item h="1" x="27"/>
        <item h="1" x="28"/>
        <item h="1" x="29"/>
        <item h="1" x="30"/>
        <item h="1" x="31"/>
        <item h="1" x="32"/>
        <item h="1" x="33"/>
        <item h="1" x="34"/>
        <item x="0"/>
        <item x="1"/>
        <item x="2"/>
        <item x="3"/>
        <item x="4"/>
        <item x="5"/>
        <item x="6"/>
        <item x="7"/>
        <item x="8"/>
        <item x="9"/>
        <item x="10"/>
        <item t="default"/>
      </items>
    </pivotField>
    <pivotField axis="axisRow" showAll="0">
      <items count="121">
        <item x="3"/>
        <item x="90"/>
        <item x="110"/>
        <item x="72"/>
        <item x="2"/>
        <item x="74"/>
        <item x="26"/>
        <item x="50"/>
        <item x="51"/>
        <item x="43"/>
        <item x="36"/>
        <item x="21"/>
        <item x="24"/>
        <item x="88"/>
        <item x="1"/>
        <item x="83"/>
        <item x="82"/>
        <item x="22"/>
        <item x="47"/>
        <item x="95"/>
        <item x="85"/>
        <item x="103"/>
        <item x="66"/>
        <item x="0"/>
        <item x="6"/>
        <item x="4"/>
        <item x="7"/>
        <item x="8"/>
        <item x="5"/>
        <item x="10"/>
        <item x="9"/>
        <item x="104"/>
        <item x="99"/>
        <item x="111"/>
        <item x="107"/>
        <item x="91"/>
        <item x="55"/>
        <item x="11"/>
        <item x="48"/>
        <item x="105"/>
        <item x="12"/>
        <item x="106"/>
        <item x="101"/>
        <item x="89"/>
        <item x="70"/>
        <item x="71"/>
        <item x="40"/>
        <item x="67"/>
        <item x="68"/>
        <item x="69"/>
        <item x="115"/>
        <item x="81"/>
        <item x="13"/>
        <item x="32"/>
        <item x="41"/>
        <item x="64"/>
        <item x="116"/>
        <item x="94"/>
        <item x="45"/>
        <item x="23"/>
        <item x="75"/>
        <item x="78"/>
        <item x="96"/>
        <item x="77"/>
        <item x="117"/>
        <item x="80"/>
        <item x="97"/>
        <item x="20"/>
        <item x="79"/>
        <item x="17"/>
        <item x="44"/>
        <item x="49"/>
        <item x="35"/>
        <item x="25"/>
        <item x="14"/>
        <item x="34"/>
        <item x="86"/>
        <item x="18"/>
        <item x="46"/>
        <item x="93"/>
        <item x="59"/>
        <item x="61"/>
        <item x="118"/>
        <item x="27"/>
        <item x="39"/>
        <item x="29"/>
        <item x="15"/>
        <item x="19"/>
        <item x="28"/>
        <item x="87"/>
        <item x="33"/>
        <item x="16"/>
        <item x="76"/>
        <item x="84"/>
        <item x="100"/>
        <item x="98"/>
        <item x="57"/>
        <item x="114"/>
        <item x="119"/>
        <item x="42"/>
        <item x="58"/>
        <item x="109"/>
        <item x="30"/>
        <item x="62"/>
        <item x="31"/>
        <item x="38"/>
        <item x="108"/>
        <item x="102"/>
        <item x="92"/>
        <item x="73"/>
        <item x="65"/>
        <item x="56"/>
        <item x="63"/>
        <item x="112"/>
        <item x="60"/>
        <item x="37"/>
        <item x="52"/>
        <item x="113"/>
        <item x="54"/>
        <item x="53"/>
        <item t="default"/>
      </items>
    </pivotField>
    <pivotField showAll="0"/>
    <pivotField showAll="0"/>
    <pivotField showAll="0"/>
    <pivotField axis="axisCol" showAll="0">
      <items count="3">
        <item x="0"/>
        <item x="1"/>
        <item t="default"/>
      </items>
    </pivotField>
    <pivotField axis="axisCol" showAll="0">
      <items count="3">
        <item x="1"/>
        <item x="0"/>
        <item t="default"/>
      </items>
    </pivotField>
    <pivotField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pivotField showAll="0"/>
    <pivotField showAll="0"/>
    <pivotField axis="axisRow" showAll="0">
      <items count="41">
        <item x="26"/>
        <item x="8"/>
        <item x="3"/>
        <item x="27"/>
        <item x="13"/>
        <item x="38"/>
        <item x="33"/>
        <item x="7"/>
        <item x="11"/>
        <item x="30"/>
        <item x="22"/>
        <item x="34"/>
        <item x="17"/>
        <item x="31"/>
        <item x="5"/>
        <item x="14"/>
        <item x="25"/>
        <item x="28"/>
        <item x="15"/>
        <item x="2"/>
        <item x="6"/>
        <item x="4"/>
        <item x="0"/>
        <item x="29"/>
        <item x="21"/>
        <item x="20"/>
        <item x="1"/>
        <item x="18"/>
        <item x="24"/>
        <item x="36"/>
        <item x="10"/>
        <item x="23"/>
        <item x="39"/>
        <item x="19"/>
        <item x="37"/>
        <item x="9"/>
        <item x="32"/>
        <item x="16"/>
        <item x="35"/>
        <item x="12"/>
        <item t="default"/>
      </items>
    </pivotField>
    <pivotField showAll="0"/>
    <pivotField axis="axisPage" multipleItemSelectionAllowed="1" showAll="0">
      <items count="23">
        <item h="1" x="8"/>
        <item h="1" x="6"/>
        <item h="1" x="12"/>
        <item h="1" x="15"/>
        <item h="1" x="10"/>
        <item h="1" x="17"/>
        <item h="1" x="2"/>
        <item x="7"/>
        <item h="1" x="11"/>
        <item h="1" x="3"/>
        <item h="1" x="14"/>
        <item h="1" x="18"/>
        <item h="1" x="13"/>
        <item h="1" x="20"/>
        <item h="1" x="5"/>
        <item h="1" x="19"/>
        <item h="1" x="1"/>
        <item h="1" x="4"/>
        <item h="1" x="0"/>
        <item h="1" x="16"/>
        <item h="1" x="21"/>
        <item h="1" x="9"/>
        <item t="default"/>
      </items>
    </pivotField>
    <pivotField numFmtId="173" showAll="0"/>
    <pivotField numFmtId="172" showAll="0"/>
    <pivotField dataField="1" numFmtId="165" showAll="0">
      <items count="34">
        <item x="30"/>
        <item x="5"/>
        <item x="6"/>
        <item x="18"/>
        <item x="0"/>
        <item x="14"/>
        <item x="15"/>
        <item x="27"/>
        <item x="22"/>
        <item x="16"/>
        <item x="26"/>
        <item x="24"/>
        <item x="31"/>
        <item x="8"/>
        <item x="1"/>
        <item x="13"/>
        <item x="32"/>
        <item x="7"/>
        <item x="23"/>
        <item x="9"/>
        <item x="11"/>
        <item x="20"/>
        <item x="10"/>
        <item x="19"/>
        <item x="12"/>
        <item x="28"/>
        <item x="17"/>
        <item x="2"/>
        <item x="21"/>
        <item x="3"/>
        <item x="29"/>
        <item x="4"/>
        <item x="25"/>
        <item t="default"/>
      </items>
    </pivotField>
    <pivotField dataField="1" showAll="0">
      <items count="23">
        <item x="15"/>
        <item x="17"/>
        <item x="1"/>
        <item x="10"/>
        <item x="21"/>
        <item x="5"/>
        <item x="16"/>
        <item x="6"/>
        <item x="8"/>
        <item x="13"/>
        <item x="7"/>
        <item x="12"/>
        <item x="9"/>
        <item x="19"/>
        <item x="11"/>
        <item x="2"/>
        <item x="14"/>
        <item x="3"/>
        <item x="20"/>
        <item x="4"/>
        <item x="18"/>
        <item x="0"/>
        <item t="default"/>
      </items>
    </pivotField>
    <pivotField dataField="1" numFmtId="165" showAll="0">
      <items count="34">
        <item x="30"/>
        <item x="5"/>
        <item x="6"/>
        <item x="18"/>
        <item x="0"/>
        <item x="14"/>
        <item x="15"/>
        <item x="27"/>
        <item x="22"/>
        <item x="16"/>
        <item x="26"/>
        <item x="24"/>
        <item x="31"/>
        <item x="8"/>
        <item x="1"/>
        <item x="13"/>
        <item x="32"/>
        <item x="7"/>
        <item x="23"/>
        <item x="9"/>
        <item x="11"/>
        <item x="20"/>
        <item x="10"/>
        <item x="19"/>
        <item x="12"/>
        <item x="28"/>
        <item x="17"/>
        <item x="2"/>
        <item x="21"/>
        <item x="3"/>
        <item x="29"/>
        <item x="4"/>
        <item x="25"/>
        <item t="default"/>
      </items>
    </pivotField>
  </pivotFields>
  <rowFields count="3">
    <field x="2"/>
    <field x="16"/>
    <field x="-2"/>
  </rowFields>
  <rowItems count="43">
    <i>
      <x v="17"/>
    </i>
    <i r="1">
      <x v="27"/>
    </i>
    <i r="2">
      <x/>
    </i>
    <i r="2" i="1">
      <x v="1"/>
    </i>
    <i r="2" i="2">
      <x v="2"/>
    </i>
    <i t="default">
      <x v="17"/>
    </i>
    <i t="default" i="1">
      <x v="17"/>
    </i>
    <i t="default" i="2">
      <x v="17"/>
    </i>
    <i>
      <x v="20"/>
    </i>
    <i r="1">
      <x v="6"/>
    </i>
    <i r="2">
      <x/>
    </i>
    <i r="2" i="1">
      <x v="1"/>
    </i>
    <i r="2" i="2">
      <x v="2"/>
    </i>
    <i t="default">
      <x v="20"/>
    </i>
    <i t="default" i="1">
      <x v="20"/>
    </i>
    <i t="default" i="2">
      <x v="20"/>
    </i>
    <i>
      <x v="29"/>
    </i>
    <i r="1">
      <x v="30"/>
    </i>
    <i r="2">
      <x/>
    </i>
    <i r="2" i="1">
      <x v="1"/>
    </i>
    <i r="2" i="2">
      <x v="2"/>
    </i>
    <i t="default">
      <x v="29"/>
    </i>
    <i t="default" i="1">
      <x v="29"/>
    </i>
    <i t="default" i="2">
      <x v="29"/>
    </i>
    <i>
      <x v="60"/>
    </i>
    <i r="1">
      <x v="20"/>
    </i>
    <i r="2">
      <x/>
    </i>
    <i r="2" i="1">
      <x v="1"/>
    </i>
    <i r="2" i="2">
      <x v="2"/>
    </i>
    <i t="default">
      <x v="60"/>
    </i>
    <i t="default" i="1">
      <x v="60"/>
    </i>
    <i t="default" i="2">
      <x v="60"/>
    </i>
    <i>
      <x v="84"/>
    </i>
    <i r="1">
      <x v="30"/>
    </i>
    <i r="2">
      <x/>
    </i>
    <i r="2" i="1">
      <x v="1"/>
    </i>
    <i r="2" i="2">
      <x v="2"/>
    </i>
    <i t="default">
      <x v="84"/>
    </i>
    <i t="default" i="1">
      <x v="84"/>
    </i>
    <i t="default" i="2">
      <x v="84"/>
    </i>
    <i t="grand">
      <x/>
    </i>
    <i t="grand" i="1">
      <x/>
    </i>
    <i t="grand" i="2">
      <x/>
    </i>
  </rowItems>
  <colFields count="2">
    <field x="6"/>
    <field x="7"/>
  </colFields>
  <colItems count="3">
    <i>
      <x/>
      <x v="1"/>
    </i>
    <i t="default">
      <x/>
    </i>
    <i t="grand">
      <x/>
    </i>
  </colItems>
  <pageFields count="2">
    <pageField fld="1" hier="-1"/>
    <pageField fld="18" hier="-1"/>
  </pageFields>
  <dataFields count="3">
    <dataField name="Sum of Total Payment" fld="23" baseField="0" baseItem="0" numFmtId="165"/>
    <dataField name="Max of Price (IDR)" fld="21" subtotal="max" baseField="0" baseItem="0" numFmtId="165"/>
    <dataField name="Min of Refund Description" fld="22" subtotal="min" baseField="0" baseItem="0" numFmtId="165"/>
  </dataFields>
  <chartFormats count="5">
    <chartFormat chart="0" format="0" series="1">
      <pivotArea type="data" outline="0" fieldPosition="0">
        <references count="3">
          <reference field="4294967294" count="1" selected="0">
            <x v="0"/>
          </reference>
          <reference field="6" count="1" selected="0">
            <x v="0"/>
          </reference>
          <reference field="7" count="1" selected="0">
            <x v="1"/>
          </reference>
        </references>
      </pivotArea>
    </chartFormat>
    <chartFormat chart="0" format="1" series="1">
      <pivotArea type="data" outline="0" fieldPosition="0">
        <references count="3">
          <reference field="4294967294" count="1" selected="0">
            <x v="0"/>
          </reference>
          <reference field="6" count="1" selected="0">
            <x v="1"/>
          </reference>
          <reference field="7" count="1" selected="0">
            <x v="0"/>
          </reference>
        </references>
      </pivotArea>
    </chartFormat>
    <chartFormat chart="1" format="0" series="1">
      <pivotArea type="data" outline="0" fieldPosition="0">
        <references count="3">
          <reference field="4294967294" count="1" selected="0">
            <x v="0"/>
          </reference>
          <reference field="6" count="1" selected="0">
            <x v="0"/>
          </reference>
          <reference field="7" count="1" selected="0">
            <x v="1"/>
          </reference>
        </references>
      </pivotArea>
    </chartFormat>
    <chartFormat chart="1" format="1" series="1">
      <pivotArea type="data" outline="0" fieldPosition="0">
        <references count="3">
          <reference field="4294967294" count="1" selected="0">
            <x v="0"/>
          </reference>
          <reference field="6" count="1" selected="0">
            <x v="1"/>
          </reference>
          <reference field="7" count="1" selected="0">
            <x v="0"/>
          </reference>
        </references>
      </pivotArea>
    </chartFormat>
    <chartFormat chart="2" format="0" series="1">
      <pivotArea type="data" outline="0" fieldPosition="0">
        <references count="3">
          <reference field="4294967294" count="1" selected="0">
            <x v="0"/>
          </reference>
          <reference field="6" count="1" selected="0">
            <x v="0"/>
          </reference>
          <reference field="7" count="1" selected="0">
            <x v="1"/>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E5061E-6673-DE4A-954F-0B020DDE0445}"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27:T50"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pivotField showAll="0">
      <items count="21">
        <item x="11"/>
        <item x="10"/>
        <item x="3"/>
        <item x="19"/>
        <item x="18"/>
        <item x="5"/>
        <item x="0"/>
        <item x="9"/>
        <item x="2"/>
        <item x="4"/>
        <item x="15"/>
        <item x="14"/>
        <item x="7"/>
        <item x="16"/>
        <item x="6"/>
        <item x="17"/>
        <item x="8"/>
        <item x="13"/>
        <item x="12"/>
        <item x="1"/>
        <item t="default"/>
      </items>
    </pivotField>
    <pivotField axis="axisRow"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numFmtId="165" showAll="0"/>
    <pivotField showAll="0"/>
    <pivotField dataField="1" numFmtId="165" showAll="0"/>
  </pivotFields>
  <rowFields count="1">
    <field x="9"/>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Min of Total Payment" fld="23" subtotal="min" baseField="0" baseItem="0" numFmtId="165"/>
  </dataFields>
  <formats count="10">
    <format dxfId="142">
      <pivotArea field="9" type="button" dataOnly="0" labelOnly="1" outline="0" axis="axisRow" fieldPosition="0"/>
    </format>
    <format dxfId="141">
      <pivotArea dataOnly="0" labelOnly="1" outline="0" axis="axisValues" fieldPosition="0"/>
    </format>
    <format dxfId="140">
      <pivotArea dataOnly="0" labelOnly="1" outline="0" axis="axisValues" fieldPosition="0"/>
    </format>
    <format dxfId="139">
      <pivotArea dataOnly="0" labelOnly="1" outline="0" axis="axisValues" fieldPosition="0"/>
    </format>
    <format dxfId="138">
      <pivotArea type="all" dataOnly="0" outline="0" fieldPosition="0"/>
    </format>
    <format dxfId="137">
      <pivotArea outline="0" collapsedLevelsAreSubtotals="1" fieldPosition="0"/>
    </format>
    <format dxfId="136">
      <pivotArea field="9" type="button" dataOnly="0" labelOnly="1" outline="0" axis="axisRow" fieldPosition="0"/>
    </format>
    <format dxfId="135">
      <pivotArea dataOnly="0" labelOnly="1" fieldPosition="0">
        <references count="1">
          <reference field="9" count="0"/>
        </references>
      </pivotArea>
    </format>
    <format dxfId="134">
      <pivotArea dataOnly="0" labelOnly="1" grandRow="1" outline="0" fieldPosition="0"/>
    </format>
    <format dxfId="1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C4CAD0-5F40-734E-BD3A-B66872E7AC10}"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2:T23"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showAll="0"/>
    <pivotField axis="axisRow"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numFmtId="165" showAll="0"/>
    <pivotField showAll="0"/>
    <pivotField dataField="1" numFmtId="165" showAll="0"/>
  </pivotFields>
  <rowFields count="1">
    <field x="8"/>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Max of Total Payment" fld="23" subtotal="max" baseField="0" baseItem="0" numFmtId="165"/>
  </dataFields>
  <formats count="10">
    <format dxfId="152">
      <pivotArea field="8" type="button" dataOnly="0" labelOnly="1" outline="0" axis="axisRow" fieldPosition="0"/>
    </format>
    <format dxfId="151">
      <pivotArea dataOnly="0" labelOnly="1" outline="0" axis="axisValues" fieldPosition="0"/>
    </format>
    <format dxfId="150">
      <pivotArea dataOnly="0" outline="0" axis="axisValues" fieldPosition="0"/>
    </format>
    <format dxfId="149">
      <pivotArea dataOnly="0" outline="0" axis="axisValues" fieldPosition="0"/>
    </format>
    <format dxfId="148">
      <pivotArea type="all" dataOnly="0" outline="0" fieldPosition="0"/>
    </format>
    <format dxfId="147">
      <pivotArea outline="0" collapsedLevelsAreSubtotals="1" fieldPosition="0"/>
    </format>
    <format dxfId="146">
      <pivotArea field="8" type="button" dataOnly="0" labelOnly="1" outline="0" axis="axisRow" fieldPosition="0"/>
    </format>
    <format dxfId="145">
      <pivotArea dataOnly="0" labelOnly="1" fieldPosition="0">
        <references count="1">
          <reference field="8" count="0"/>
        </references>
      </pivotArea>
    </format>
    <format dxfId="144">
      <pivotArea dataOnly="0" labelOnly="1" grandRow="1" outline="0" fieldPosition="0"/>
    </format>
    <format dxfId="1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E6930E-520F-6A47-8B25-A61771E4D8A8}"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25:G48"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showAll="0"/>
    <pivotField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axis="axisRow" dataField="1"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18"/>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Airline" fld="18" subtotal="count" baseField="0" baseItem="0"/>
  </dataFields>
  <formats count="14">
    <format dxfId="166">
      <pivotArea outline="0" collapsedLevelsAreSubtotals="1" fieldPosition="0"/>
    </format>
    <format dxfId="165">
      <pivotArea dataOnly="0" labelOnly="1" outline="0" axis="axisValues" fieldPosition="0"/>
    </format>
    <format dxfId="164">
      <pivotArea outline="0" collapsedLevelsAreSubtotals="1" fieldPosition="0"/>
    </format>
    <format dxfId="163">
      <pivotArea dataOnly="0" labelOnly="1" outline="0" axis="axisValues" fieldPosition="0"/>
    </format>
    <format dxfId="162">
      <pivotArea type="all" dataOnly="0" outline="0" fieldPosition="0"/>
    </format>
    <format dxfId="161">
      <pivotArea dataOnly="0" labelOnly="1" fieldPosition="0">
        <references count="1">
          <reference field="18" count="0"/>
        </references>
      </pivotArea>
    </format>
    <format dxfId="160">
      <pivotArea collapsedLevelsAreSubtotals="1" fieldPosition="0">
        <references count="1">
          <reference field="18" count="1">
            <x v="1"/>
          </reference>
        </references>
      </pivotArea>
    </format>
    <format dxfId="159">
      <pivotArea dataOnly="0" labelOnly="1" fieldPosition="0">
        <references count="1">
          <reference field="18" count="1">
            <x v="1"/>
          </reference>
        </references>
      </pivotArea>
    </format>
    <format dxfId="158">
      <pivotArea type="all" dataOnly="0" outline="0" fieldPosition="0"/>
    </format>
    <format dxfId="157">
      <pivotArea outline="0" collapsedLevelsAreSubtotals="1" fieldPosition="0"/>
    </format>
    <format dxfId="156">
      <pivotArea field="18" type="button" dataOnly="0" labelOnly="1" outline="0" axis="axisRow" fieldPosition="0"/>
    </format>
    <format dxfId="155">
      <pivotArea dataOnly="0" labelOnly="1" fieldPosition="0">
        <references count="1">
          <reference field="18" count="0"/>
        </references>
      </pivotArea>
    </format>
    <format dxfId="154">
      <pivotArea dataOnly="0" labelOnly="1" grandRow="1" outline="0" fieldPosition="0"/>
    </format>
    <format dxfId="153">
      <pivotArea dataOnly="0" labelOnly="1" outline="0" axis="axisValues" fieldPosition="0"/>
    </format>
  </formats>
  <chartFormats count="23">
    <chartFormat chart="9" format="24" series="1">
      <pivotArea type="data" outline="0" fieldPosition="0">
        <references count="1">
          <reference field="4294967294" count="1" selected="0">
            <x v="0"/>
          </reference>
        </references>
      </pivotArea>
    </chartFormat>
    <chartFormat chart="9" format="25">
      <pivotArea type="data" outline="0" fieldPosition="0">
        <references count="2">
          <reference field="4294967294" count="1" selected="0">
            <x v="0"/>
          </reference>
          <reference field="18" count="1" selected="0">
            <x v="0"/>
          </reference>
        </references>
      </pivotArea>
    </chartFormat>
    <chartFormat chart="9" format="26">
      <pivotArea type="data" outline="0" fieldPosition="0">
        <references count="2">
          <reference field="4294967294" count="1" selected="0">
            <x v="0"/>
          </reference>
          <reference field="18" count="1" selected="0">
            <x v="1"/>
          </reference>
        </references>
      </pivotArea>
    </chartFormat>
    <chartFormat chart="9" format="27">
      <pivotArea type="data" outline="0" fieldPosition="0">
        <references count="2">
          <reference field="4294967294" count="1" selected="0">
            <x v="0"/>
          </reference>
          <reference field="18" count="1" selected="0">
            <x v="2"/>
          </reference>
        </references>
      </pivotArea>
    </chartFormat>
    <chartFormat chart="9" format="28">
      <pivotArea type="data" outline="0" fieldPosition="0">
        <references count="2">
          <reference field="4294967294" count="1" selected="0">
            <x v="0"/>
          </reference>
          <reference field="18" count="1" selected="0">
            <x v="3"/>
          </reference>
        </references>
      </pivotArea>
    </chartFormat>
    <chartFormat chart="9" format="29">
      <pivotArea type="data" outline="0" fieldPosition="0">
        <references count="2">
          <reference field="4294967294" count="1" selected="0">
            <x v="0"/>
          </reference>
          <reference field="18" count="1" selected="0">
            <x v="4"/>
          </reference>
        </references>
      </pivotArea>
    </chartFormat>
    <chartFormat chart="9" format="30">
      <pivotArea type="data" outline="0" fieldPosition="0">
        <references count="2">
          <reference field="4294967294" count="1" selected="0">
            <x v="0"/>
          </reference>
          <reference field="18" count="1" selected="0">
            <x v="5"/>
          </reference>
        </references>
      </pivotArea>
    </chartFormat>
    <chartFormat chart="9" format="31">
      <pivotArea type="data" outline="0" fieldPosition="0">
        <references count="2">
          <reference field="4294967294" count="1" selected="0">
            <x v="0"/>
          </reference>
          <reference field="18" count="1" selected="0">
            <x v="6"/>
          </reference>
        </references>
      </pivotArea>
    </chartFormat>
    <chartFormat chart="9" format="32">
      <pivotArea type="data" outline="0" fieldPosition="0">
        <references count="2">
          <reference field="4294967294" count="1" selected="0">
            <x v="0"/>
          </reference>
          <reference field="18" count="1" selected="0">
            <x v="7"/>
          </reference>
        </references>
      </pivotArea>
    </chartFormat>
    <chartFormat chart="9" format="33">
      <pivotArea type="data" outline="0" fieldPosition="0">
        <references count="2">
          <reference field="4294967294" count="1" selected="0">
            <x v="0"/>
          </reference>
          <reference field="18" count="1" selected="0">
            <x v="8"/>
          </reference>
        </references>
      </pivotArea>
    </chartFormat>
    <chartFormat chart="9" format="34">
      <pivotArea type="data" outline="0" fieldPosition="0">
        <references count="2">
          <reference field="4294967294" count="1" selected="0">
            <x v="0"/>
          </reference>
          <reference field="18" count="1" selected="0">
            <x v="9"/>
          </reference>
        </references>
      </pivotArea>
    </chartFormat>
    <chartFormat chart="9" format="35">
      <pivotArea type="data" outline="0" fieldPosition="0">
        <references count="2">
          <reference field="4294967294" count="1" selected="0">
            <x v="0"/>
          </reference>
          <reference field="18" count="1" selected="0">
            <x v="10"/>
          </reference>
        </references>
      </pivotArea>
    </chartFormat>
    <chartFormat chart="9" format="36">
      <pivotArea type="data" outline="0" fieldPosition="0">
        <references count="2">
          <reference field="4294967294" count="1" selected="0">
            <x v="0"/>
          </reference>
          <reference field="18" count="1" selected="0">
            <x v="11"/>
          </reference>
        </references>
      </pivotArea>
    </chartFormat>
    <chartFormat chart="9" format="37">
      <pivotArea type="data" outline="0" fieldPosition="0">
        <references count="2">
          <reference field="4294967294" count="1" selected="0">
            <x v="0"/>
          </reference>
          <reference field="18" count="1" selected="0">
            <x v="12"/>
          </reference>
        </references>
      </pivotArea>
    </chartFormat>
    <chartFormat chart="9" format="38">
      <pivotArea type="data" outline="0" fieldPosition="0">
        <references count="2">
          <reference field="4294967294" count="1" selected="0">
            <x v="0"/>
          </reference>
          <reference field="18" count="1" selected="0">
            <x v="13"/>
          </reference>
        </references>
      </pivotArea>
    </chartFormat>
    <chartFormat chart="9" format="39">
      <pivotArea type="data" outline="0" fieldPosition="0">
        <references count="2">
          <reference field="4294967294" count="1" selected="0">
            <x v="0"/>
          </reference>
          <reference field="18" count="1" selected="0">
            <x v="14"/>
          </reference>
        </references>
      </pivotArea>
    </chartFormat>
    <chartFormat chart="9" format="40">
      <pivotArea type="data" outline="0" fieldPosition="0">
        <references count="2">
          <reference field="4294967294" count="1" selected="0">
            <x v="0"/>
          </reference>
          <reference field="18" count="1" selected="0">
            <x v="15"/>
          </reference>
        </references>
      </pivotArea>
    </chartFormat>
    <chartFormat chart="9" format="41">
      <pivotArea type="data" outline="0" fieldPosition="0">
        <references count="2">
          <reference field="4294967294" count="1" selected="0">
            <x v="0"/>
          </reference>
          <reference field="18" count="1" selected="0">
            <x v="16"/>
          </reference>
        </references>
      </pivotArea>
    </chartFormat>
    <chartFormat chart="9" format="42">
      <pivotArea type="data" outline="0" fieldPosition="0">
        <references count="2">
          <reference field="4294967294" count="1" selected="0">
            <x v="0"/>
          </reference>
          <reference field="18" count="1" selected="0">
            <x v="17"/>
          </reference>
        </references>
      </pivotArea>
    </chartFormat>
    <chartFormat chart="9" format="43">
      <pivotArea type="data" outline="0" fieldPosition="0">
        <references count="2">
          <reference field="4294967294" count="1" selected="0">
            <x v="0"/>
          </reference>
          <reference field="18" count="1" selected="0">
            <x v="18"/>
          </reference>
        </references>
      </pivotArea>
    </chartFormat>
    <chartFormat chart="9" format="44">
      <pivotArea type="data" outline="0" fieldPosition="0">
        <references count="2">
          <reference field="4294967294" count="1" selected="0">
            <x v="0"/>
          </reference>
          <reference field="18" count="1" selected="0">
            <x v="19"/>
          </reference>
        </references>
      </pivotArea>
    </chartFormat>
    <chartFormat chart="9" format="45">
      <pivotArea type="data" outline="0" fieldPosition="0">
        <references count="2">
          <reference field="4294967294" count="1" selected="0">
            <x v="0"/>
          </reference>
          <reference field="18" count="1" selected="0">
            <x v="20"/>
          </reference>
        </references>
      </pivotArea>
    </chartFormat>
    <chartFormat chart="9" format="46">
      <pivotArea type="data" outline="0" fieldPosition="0">
        <references count="2">
          <reference field="4294967294" count="1" selected="0">
            <x v="0"/>
          </reference>
          <reference field="18"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4225AA-E069-E848-A172-225105AB1E26}"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27:P50"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showAll="0"/>
    <pivotField showAll="0">
      <items count="21">
        <item x="11"/>
        <item x="10"/>
        <item x="3"/>
        <item x="19"/>
        <item x="18"/>
        <item x="5"/>
        <item x="0"/>
        <item x="9"/>
        <item x="2"/>
        <item x="4"/>
        <item x="15"/>
        <item x="14"/>
        <item x="7"/>
        <item x="16"/>
        <item x="6"/>
        <item x="17"/>
        <item x="8"/>
        <item x="13"/>
        <item x="12"/>
        <item x="1"/>
        <item t="default"/>
      </items>
    </pivotField>
    <pivotField axis="axisRow" dataField="1"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numFmtId="165" showAll="0"/>
    <pivotField showAll="0"/>
    <pivotField numFmtId="165" showAll="0"/>
  </pivotFields>
  <rowFields count="1">
    <field x="9"/>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Destination Airport (International)" fld="9" subtotal="count" baseField="0" baseItem="0"/>
  </dataFields>
  <formats count="11">
    <format dxfId="177">
      <pivotArea dataOnly="0" labelOnly="1" outline="0" axis="axisValues" fieldPosition="0"/>
    </format>
    <format dxfId="176">
      <pivotArea outline="0" collapsedLevelsAreSubtotals="1" fieldPosition="0"/>
    </format>
    <format dxfId="175">
      <pivotArea dataOnly="0" labelOnly="1" outline="0" axis="axisValues" fieldPosition="0"/>
    </format>
    <format dxfId="174">
      <pivotArea outline="0" collapsedLevelsAreSubtotals="1" fieldPosition="0"/>
    </format>
    <format dxfId="173">
      <pivotArea dataOnly="0" labelOnly="1" outline="0" axis="axisValues" fieldPosition="0"/>
    </format>
    <format dxfId="172">
      <pivotArea type="all" dataOnly="0" outline="0" fieldPosition="0"/>
    </format>
    <format dxfId="171">
      <pivotArea outline="0" collapsedLevelsAreSubtotals="1" fieldPosition="0"/>
    </format>
    <format dxfId="170">
      <pivotArea field="9" type="button" dataOnly="0" labelOnly="1" outline="0" axis="axisRow" fieldPosition="0"/>
    </format>
    <format dxfId="169">
      <pivotArea dataOnly="0" labelOnly="1" fieldPosition="0">
        <references count="1">
          <reference field="9" count="0"/>
        </references>
      </pivotArea>
    </format>
    <format dxfId="168">
      <pivotArea dataOnly="0" labelOnly="1" grandRow="1" outline="0" fieldPosition="0"/>
    </format>
    <format dxfId="16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371485-2D29-684C-A66D-0F93C4F92313}"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14:G22"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items count="121">
        <item x="3"/>
        <item x="90"/>
        <item x="110"/>
        <item x="72"/>
        <item x="2"/>
        <item x="74"/>
        <item x="26"/>
        <item x="50"/>
        <item x="51"/>
        <item x="43"/>
        <item x="36"/>
        <item x="21"/>
        <item x="24"/>
        <item x="88"/>
        <item x="1"/>
        <item x="83"/>
        <item x="82"/>
        <item x="22"/>
        <item x="47"/>
        <item x="95"/>
        <item x="85"/>
        <item x="103"/>
        <item x="66"/>
        <item x="0"/>
        <item x="6"/>
        <item x="4"/>
        <item x="7"/>
        <item x="8"/>
        <item x="5"/>
        <item x="10"/>
        <item x="9"/>
        <item x="104"/>
        <item x="99"/>
        <item x="111"/>
        <item x="107"/>
        <item x="91"/>
        <item x="55"/>
        <item x="11"/>
        <item x="48"/>
        <item x="105"/>
        <item x="12"/>
        <item x="106"/>
        <item x="101"/>
        <item x="89"/>
        <item x="70"/>
        <item x="71"/>
        <item x="40"/>
        <item x="67"/>
        <item x="68"/>
        <item x="69"/>
        <item x="115"/>
        <item x="81"/>
        <item x="13"/>
        <item x="32"/>
        <item x="41"/>
        <item x="64"/>
        <item x="116"/>
        <item x="94"/>
        <item x="45"/>
        <item x="23"/>
        <item x="75"/>
        <item x="78"/>
        <item x="96"/>
        <item x="77"/>
        <item x="117"/>
        <item x="80"/>
        <item x="97"/>
        <item x="20"/>
        <item x="79"/>
        <item x="17"/>
        <item x="44"/>
        <item x="49"/>
        <item x="35"/>
        <item x="25"/>
        <item x="14"/>
        <item x="34"/>
        <item x="86"/>
        <item x="18"/>
        <item x="46"/>
        <item x="93"/>
        <item x="59"/>
        <item x="61"/>
        <item x="118"/>
        <item x="27"/>
        <item x="39"/>
        <item x="29"/>
        <item x="15"/>
        <item x="19"/>
        <item x="28"/>
        <item x="87"/>
        <item x="33"/>
        <item x="16"/>
        <item x="76"/>
        <item x="84"/>
        <item x="100"/>
        <item x="98"/>
        <item x="57"/>
        <item x="114"/>
        <item x="119"/>
        <item x="42"/>
        <item x="58"/>
        <item x="109"/>
        <item x="30"/>
        <item x="62"/>
        <item x="31"/>
        <item x="38"/>
        <item x="108"/>
        <item x="102"/>
        <item x="92"/>
        <item x="73"/>
        <item x="65"/>
        <item x="56"/>
        <item x="63"/>
        <item x="112"/>
        <item x="60"/>
        <item x="37"/>
        <item x="52"/>
        <item x="113"/>
        <item x="54"/>
        <item x="53"/>
        <item t="default"/>
      </items>
    </pivotField>
    <pivotField showAll="0"/>
    <pivotField showAll="0">
      <items count="3">
        <item x="0"/>
        <item x="1"/>
        <item t="default"/>
      </items>
    </pivotField>
    <pivotField showAll="0">
      <items count="3">
        <item x="1"/>
        <item x="0"/>
        <item t="default"/>
      </items>
    </pivotField>
    <pivotField showAll="0"/>
    <pivotField showAll="0">
      <items count="3">
        <item x="1"/>
        <item x="0"/>
        <item t="default"/>
      </items>
    </pivotField>
    <pivotField showAll="0">
      <items count="21">
        <item x="11"/>
        <item x="10"/>
        <item x="3"/>
        <item x="19"/>
        <item x="18"/>
        <item x="5"/>
        <item x="0"/>
        <item x="9"/>
        <item x="2"/>
        <item x="4"/>
        <item x="15"/>
        <item x="14"/>
        <item x="7"/>
        <item x="16"/>
        <item x="6"/>
        <item x="17"/>
        <item x="8"/>
        <item x="13"/>
        <item x="12"/>
        <item x="1"/>
        <item t="default"/>
      </items>
    </pivotField>
    <pivotField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axis="axisRow" dataField="1"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13"/>
  </rowFields>
  <rowItems count="8">
    <i>
      <x/>
    </i>
    <i>
      <x v="1"/>
    </i>
    <i>
      <x v="2"/>
    </i>
    <i>
      <x v="3"/>
    </i>
    <i>
      <x v="4"/>
    </i>
    <i>
      <x v="5"/>
    </i>
    <i>
      <x v="6"/>
    </i>
    <i t="grand">
      <x/>
    </i>
  </rowItems>
  <colItems count="1">
    <i/>
  </colItems>
  <dataFields count="1">
    <dataField name="Count of Arrival Date" fld="13" subtotal="count" baseField="0" baseItem="0"/>
  </dataFields>
  <formats count="10">
    <format dxfId="187">
      <pivotArea outline="0" collapsedLevelsAreSubtotals="1" fieldPosition="0"/>
    </format>
    <format dxfId="186">
      <pivotArea dataOnly="0" labelOnly="1" outline="0" axis="axisValues" fieldPosition="0"/>
    </format>
    <format dxfId="185">
      <pivotArea outline="0" collapsedLevelsAreSubtotals="1" fieldPosition="0"/>
    </format>
    <format dxfId="184">
      <pivotArea dataOnly="0" labelOnly="1" outline="0" axis="axisValues" fieldPosition="0"/>
    </format>
    <format dxfId="183">
      <pivotArea type="all" dataOnly="0" outline="0" fieldPosition="0"/>
    </format>
    <format dxfId="182">
      <pivotArea outline="0" collapsedLevelsAreSubtotals="1" fieldPosition="0"/>
    </format>
    <format dxfId="181">
      <pivotArea field="13" type="button" dataOnly="0" labelOnly="1" outline="0" axis="axisRow" fieldPosition="0"/>
    </format>
    <format dxfId="180">
      <pivotArea dataOnly="0" labelOnly="1" fieldPosition="0">
        <references count="1">
          <reference field="13" count="0"/>
        </references>
      </pivotArea>
    </format>
    <format dxfId="179">
      <pivotArea dataOnly="0" labelOnly="1" grandRow="1" outline="0" fieldPosition="0"/>
    </format>
    <format dxfId="178">
      <pivotArea dataOnly="0" labelOnly="1" outline="0" axis="axisValues" fieldPosition="0"/>
    </format>
  </formats>
  <chartFormats count="9">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3" count="1" selected="0">
            <x v="0"/>
          </reference>
        </references>
      </pivotArea>
    </chartFormat>
    <chartFormat chart="2" format="11">
      <pivotArea type="data" outline="0" fieldPosition="0">
        <references count="2">
          <reference field="4294967294" count="1" selected="0">
            <x v="0"/>
          </reference>
          <reference field="13" count="1" selected="0">
            <x v="1"/>
          </reference>
        </references>
      </pivotArea>
    </chartFormat>
    <chartFormat chart="2" format="12">
      <pivotArea type="data" outline="0" fieldPosition="0">
        <references count="2">
          <reference field="4294967294" count="1" selected="0">
            <x v="0"/>
          </reference>
          <reference field="13" count="1" selected="0">
            <x v="2"/>
          </reference>
        </references>
      </pivotArea>
    </chartFormat>
    <chartFormat chart="2" format="13">
      <pivotArea type="data" outline="0" fieldPosition="0">
        <references count="2">
          <reference field="4294967294" count="1" selected="0">
            <x v="0"/>
          </reference>
          <reference field="13" count="1" selected="0">
            <x v="3"/>
          </reference>
        </references>
      </pivotArea>
    </chartFormat>
    <chartFormat chart="2" format="14">
      <pivotArea type="data" outline="0" fieldPosition="0">
        <references count="2">
          <reference field="4294967294" count="1" selected="0">
            <x v="0"/>
          </reference>
          <reference field="13" count="1" selected="0">
            <x v="4"/>
          </reference>
        </references>
      </pivotArea>
    </chartFormat>
    <chartFormat chart="2" format="15">
      <pivotArea type="data" outline="0" fieldPosition="0">
        <references count="2">
          <reference field="4294967294" count="1" selected="0">
            <x v="0"/>
          </reference>
          <reference field="13" count="1" selected="0">
            <x v="5"/>
          </reference>
        </references>
      </pivotArea>
    </chartFormat>
    <chartFormat chart="2" format="16">
      <pivotArea type="data" outline="0" fieldPosition="0">
        <references count="2">
          <reference field="4294967294" count="1" selected="0">
            <x v="0"/>
          </reference>
          <reference field="13" count="1" selected="0">
            <x v="6"/>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C588C5E-7A81-954F-886F-BD68B70CC323}"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8:G11"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axis="axisRow" dataField="1" showAll="0">
      <items count="3">
        <item x="1"/>
        <item x="0"/>
        <item t="default"/>
      </items>
    </pivotField>
    <pivotField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numFmtId="165" showAll="0"/>
    <pivotField showAll="0"/>
    <pivotField numFmtId="165" showAll="0"/>
  </pivotFields>
  <rowFields count="1">
    <field x="7"/>
  </rowFields>
  <rowItems count="3">
    <i>
      <x/>
    </i>
    <i>
      <x v="1"/>
    </i>
    <i t="grand">
      <x/>
    </i>
  </rowItems>
  <colItems count="1">
    <i/>
  </colItems>
  <dataFields count="1">
    <dataField name="Count of Origin Airport" fld="7" subtotal="count" baseField="0" baseItem="0"/>
  </dataFields>
  <formats count="10">
    <format dxfId="197">
      <pivotArea outline="0" collapsedLevelsAreSubtotals="1" fieldPosition="0"/>
    </format>
    <format dxfId="196">
      <pivotArea dataOnly="0" labelOnly="1" outline="0" axis="axisValues" fieldPosition="0"/>
    </format>
    <format dxfId="195">
      <pivotArea outline="0" collapsedLevelsAreSubtotals="1" fieldPosition="0"/>
    </format>
    <format dxfId="194">
      <pivotArea dataOnly="0" labelOnly="1" outline="0" axis="axisValues" fieldPosition="0"/>
    </format>
    <format dxfId="193">
      <pivotArea type="all" dataOnly="0" outline="0" fieldPosition="0"/>
    </format>
    <format dxfId="192">
      <pivotArea outline="0" collapsedLevelsAreSubtotals="1" fieldPosition="0"/>
    </format>
    <format dxfId="191">
      <pivotArea field="7" type="button" dataOnly="0" labelOnly="1" outline="0" axis="axisRow" fieldPosition="0"/>
    </format>
    <format dxfId="190">
      <pivotArea dataOnly="0" labelOnly="1" fieldPosition="0">
        <references count="1">
          <reference field="7" count="0"/>
        </references>
      </pivotArea>
    </format>
    <format dxfId="189">
      <pivotArea dataOnly="0" labelOnly="1" grandRow="1" outline="0" fieldPosition="0"/>
    </format>
    <format dxfId="188">
      <pivotArea dataOnly="0" labelOnly="1" outline="0" axis="axisValues" fieldPosition="0"/>
    </format>
  </format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A8433C-F6DB-1D40-84B1-E55B6456CC6F}" name="PivotTable2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O2:P23"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showAll="0"/>
    <pivotField axis="axisRow" dataField="1"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numFmtId="165" showAll="0"/>
    <pivotField showAll="0"/>
    <pivotField numFmtId="165" showAll="0"/>
  </pivotFields>
  <rowFields count="1">
    <field x="8"/>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Count of Destination Aiport (Domestic)" fld="8" subtotal="count" baseField="0" baseItem="0"/>
  </dataFields>
  <formats count="13">
    <format dxfId="210">
      <pivotArea dataOnly="0" labelOnly="1" outline="0" axis="axisValues" fieldPosition="0"/>
    </format>
    <format dxfId="209">
      <pivotArea field="8" type="button" dataOnly="0" labelOnly="1" outline="0" axis="axisRow" fieldPosition="0"/>
    </format>
    <format dxfId="208">
      <pivotArea field="8" type="button" dataOnly="0" labelOnly="1" outline="0" axis="axisRow" fieldPosition="0"/>
    </format>
    <format dxfId="207">
      <pivotArea outline="0" collapsedLevelsAreSubtotals="1" fieldPosition="0"/>
    </format>
    <format dxfId="206">
      <pivotArea dataOnly="0" labelOnly="1" outline="0" axis="axisValues" fieldPosition="0"/>
    </format>
    <format dxfId="205">
      <pivotArea outline="0" collapsedLevelsAreSubtotals="1" fieldPosition="0"/>
    </format>
    <format dxfId="204">
      <pivotArea dataOnly="0" labelOnly="1" outline="0" axis="axisValues" fieldPosition="0"/>
    </format>
    <format dxfId="203">
      <pivotArea type="all" dataOnly="0" outline="0" fieldPosition="0"/>
    </format>
    <format dxfId="202">
      <pivotArea outline="0" collapsedLevelsAreSubtotals="1" fieldPosition="0"/>
    </format>
    <format dxfId="201">
      <pivotArea field="8" type="button" dataOnly="0" labelOnly="1" outline="0" axis="axisRow" fieldPosition="0"/>
    </format>
    <format dxfId="200">
      <pivotArea dataOnly="0" labelOnly="1" fieldPosition="0">
        <references count="1">
          <reference field="8" count="0"/>
        </references>
      </pivotArea>
    </format>
    <format dxfId="199">
      <pivotArea dataOnly="0" labelOnly="1" grandRow="1" outline="0" fieldPosition="0"/>
    </format>
    <format dxfId="198">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B2AA801-D16B-4C45-AD08-6D2C85386392}"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F2:G5"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items count="3">
        <item x="0"/>
        <item x="1"/>
        <item t="default"/>
      </items>
    </pivotField>
    <pivotField axis="axisRow" dataField="1" showAll="0">
      <items count="3">
        <item x="1"/>
        <item x="0"/>
        <item t="default"/>
      </items>
    </pivotField>
    <pivotField showAll="0"/>
    <pivotField showAll="0">
      <items count="3">
        <item h="1" x="1"/>
        <item x="0"/>
        <item t="default"/>
      </items>
    </pivotField>
    <pivotField showAll="0">
      <items count="21">
        <item x="11"/>
        <item x="10"/>
        <item x="3"/>
        <item x="19"/>
        <item x="18"/>
        <item x="5"/>
        <item x="0"/>
        <item x="9"/>
        <item x="2"/>
        <item x="4"/>
        <item x="15"/>
        <item x="14"/>
        <item x="7"/>
        <item x="16"/>
        <item x="6"/>
        <item x="17"/>
        <item x="8"/>
        <item x="13"/>
        <item x="12"/>
        <item x="1"/>
        <item t="default"/>
      </items>
    </pivotField>
    <pivotField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numFmtId="165" showAll="0"/>
    <pivotField showAll="0"/>
    <pivotField numFmtId="165" showAll="0"/>
  </pivotFields>
  <rowFields count="1">
    <field x="5"/>
  </rowFields>
  <rowItems count="3">
    <i>
      <x/>
    </i>
    <i>
      <x v="1"/>
    </i>
    <i t="grand">
      <x/>
    </i>
  </rowItems>
  <colItems count="1">
    <i/>
  </colItems>
  <dataFields count="1">
    <dataField name="Count of Remarks" fld="5" subtotal="count" baseField="0" baseItem="0"/>
  </dataFields>
  <formats count="17">
    <format dxfId="227">
      <pivotArea outline="0" collapsedLevelsAreSubtotals="1" fieldPosition="0"/>
    </format>
    <format dxfId="226">
      <pivotArea dataOnly="0" labelOnly="1" outline="0" axis="axisValues" fieldPosition="0"/>
    </format>
    <format dxfId="225">
      <pivotArea outline="0" collapsedLevelsAreSubtotals="1" fieldPosition="0"/>
    </format>
    <format dxfId="224">
      <pivotArea dataOnly="0" labelOnly="1" outline="0" axis="axisValues" fieldPosition="0"/>
    </format>
    <format dxfId="223">
      <pivotArea type="all" dataOnly="0" outline="0" fieldPosition="0"/>
    </format>
    <format dxfId="222">
      <pivotArea field="5" type="button" dataOnly="0" labelOnly="1" outline="0" axis="axisRow" fieldPosition="0"/>
    </format>
    <format dxfId="221">
      <pivotArea dataOnly="0" labelOnly="1" outline="0" axis="axisValues" fieldPosition="0"/>
    </format>
    <format dxfId="220">
      <pivotArea field="5" type="button" dataOnly="0" labelOnly="1" outline="0" axis="axisRow" fieldPosition="0"/>
    </format>
    <format dxfId="219">
      <pivotArea dataOnly="0" labelOnly="1" outline="0" axis="axisValues" fieldPosition="0"/>
    </format>
    <format dxfId="218">
      <pivotArea field="5" type="button" dataOnly="0" labelOnly="1" outline="0" axis="axisRow" fieldPosition="0"/>
    </format>
    <format dxfId="217">
      <pivotArea dataOnly="0" labelOnly="1" outline="0" axis="axisValues" fieldPosition="0"/>
    </format>
    <format dxfId="216">
      <pivotArea type="all" dataOnly="0" outline="0" fieldPosition="0"/>
    </format>
    <format dxfId="215">
      <pivotArea outline="0" collapsedLevelsAreSubtotals="1" fieldPosition="0"/>
    </format>
    <format dxfId="214">
      <pivotArea field="5" type="button" dataOnly="0" labelOnly="1" outline="0" axis="axisRow" fieldPosition="0"/>
    </format>
    <format dxfId="213">
      <pivotArea dataOnly="0" labelOnly="1" fieldPosition="0">
        <references count="1">
          <reference field="5" count="0"/>
        </references>
      </pivotArea>
    </format>
    <format dxfId="212">
      <pivotArea dataOnly="0" labelOnly="1" grandRow="1" outline="0" fieldPosition="0"/>
    </format>
    <format dxfId="211">
      <pivotArea dataOnly="0" labelOnly="1" outline="0" axis="axisValues" fieldPosition="0"/>
    </format>
  </formats>
  <chartFormats count="2">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AEAA13D-9ED0-7144-8DC3-77CAA94EC89A}"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6:L49"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showAll="0"/>
    <pivotField showAll="0">
      <items count="21">
        <item x="11"/>
        <item x="10"/>
        <item x="3"/>
        <item x="19"/>
        <item x="18"/>
        <item x="5"/>
        <item x="0"/>
        <item x="9"/>
        <item x="2"/>
        <item x="4"/>
        <item x="15"/>
        <item x="14"/>
        <item x="7"/>
        <item x="16"/>
        <item x="6"/>
        <item x="17"/>
        <item x="8"/>
        <item x="13"/>
        <item x="12"/>
        <item x="1"/>
        <item t="default"/>
      </items>
    </pivotField>
    <pivotField axis="axisRow"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dataField="1" numFmtId="165" showAll="0"/>
    <pivotField showAll="0"/>
    <pivotField numFmtId="165" showAll="0"/>
  </pivotFields>
  <rowFields count="1">
    <field x="9"/>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Price (IDR)" fld="21" baseField="0" baseItem="0" numFmtId="165"/>
  </dataFields>
  <formats count="14">
    <format dxfId="241">
      <pivotArea type="all" dataOnly="0" outline="0" fieldPosition="0"/>
    </format>
    <format dxfId="240">
      <pivotArea field="9" type="button" dataOnly="0" labelOnly="1" outline="0" axis="axisRow" fieldPosition="0"/>
    </format>
    <format dxfId="239">
      <pivotArea dataOnly="0" labelOnly="1" outline="0" axis="axisValues" fieldPosition="0"/>
    </format>
    <format dxfId="238">
      <pivotArea field="9" type="button" dataOnly="0" labelOnly="1" outline="0" axis="axisRow" fieldPosition="0"/>
    </format>
    <format dxfId="237">
      <pivotArea dataOnly="0" labelOnly="1" outline="0" axis="axisValues" fieldPosition="0"/>
    </format>
    <format dxfId="236">
      <pivotArea field="9" type="button" dataOnly="0" labelOnly="1" outline="0" axis="axisRow" fieldPosition="0"/>
    </format>
    <format dxfId="235">
      <pivotArea dataOnly="0" labelOnly="1" outline="0" axis="axisValues" fieldPosition="0"/>
    </format>
    <format dxfId="234">
      <pivotArea dataOnly="0" fieldPosition="0">
        <references count="1">
          <reference field="9" count="1">
            <x v="0"/>
          </reference>
        </references>
      </pivotArea>
    </format>
    <format dxfId="233">
      <pivotArea type="all" dataOnly="0" outline="0" fieldPosition="0"/>
    </format>
    <format dxfId="232">
      <pivotArea outline="0" collapsedLevelsAreSubtotals="1" fieldPosition="0"/>
    </format>
    <format dxfId="231">
      <pivotArea field="9" type="button" dataOnly="0" labelOnly="1" outline="0" axis="axisRow" fieldPosition="0"/>
    </format>
    <format dxfId="230">
      <pivotArea dataOnly="0" labelOnly="1" fieldPosition="0">
        <references count="1">
          <reference field="9" count="0"/>
        </references>
      </pivotArea>
    </format>
    <format dxfId="229">
      <pivotArea dataOnly="0" labelOnly="1" grandRow="1" outline="0" fieldPosition="0"/>
    </format>
    <format dxfId="22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45E3171-CE3D-9041-A64D-08B27BA8F54A}"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C38" firstHeaderRow="1" firstDataRow="1" firstDataCol="1"/>
  <pivotFields count="24">
    <pivotField showAll="0"/>
    <pivotField axis="axisRow" dataField="1"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numFmtId="165" showAll="0"/>
    <pivotField showAll="0"/>
    <pivotField numFmtId="165" showAll="0"/>
  </pivotFields>
  <rowFields count="1">
    <field x="1"/>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Count of Order Date" fld="1" subtotal="count" baseField="0" baseItem="0"/>
  </dataFields>
  <formats count="19">
    <format dxfId="260">
      <pivotArea type="all" dataOnly="0" outline="0" fieldPosition="0"/>
    </format>
    <format dxfId="259">
      <pivotArea outline="0" collapsedLevelsAreSubtotals="1" fieldPosition="0"/>
    </format>
    <format dxfId="258">
      <pivotArea field="1" type="button" dataOnly="0" labelOnly="1" outline="0" axis="axisRow" fieldPosition="0"/>
    </format>
    <format dxfId="257">
      <pivotArea dataOnly="0" labelOnly="1" fieldPosition="0">
        <references count="1">
          <reference field="1" count="0"/>
        </references>
      </pivotArea>
    </format>
    <format dxfId="256">
      <pivotArea dataOnly="0" labelOnly="1" grandRow="1" outline="0" fieldPosition="0"/>
    </format>
    <format dxfId="255">
      <pivotArea dataOnly="0" labelOnly="1" outline="0" axis="axisValues" fieldPosition="0"/>
    </format>
    <format dxfId="254">
      <pivotArea type="all" dataOnly="0" outline="0" fieldPosition="0"/>
    </format>
    <format dxfId="253">
      <pivotArea field="1" type="button" dataOnly="0" labelOnly="1" outline="0" axis="axisRow" fieldPosition="0"/>
    </format>
    <format dxfId="252">
      <pivotArea dataOnly="0" labelOnly="1" outline="0" axis="axisValues" fieldPosition="0"/>
    </format>
    <format dxfId="251">
      <pivotArea field="1" type="button" dataOnly="0" labelOnly="1" outline="0" axis="axisRow" fieldPosition="0"/>
    </format>
    <format dxfId="250">
      <pivotArea dataOnly="0" labelOnly="1" outline="0" axis="axisValues" fieldPosition="0"/>
    </format>
    <format dxfId="249">
      <pivotArea field="1" type="button" dataOnly="0" labelOnly="1" outline="0" axis="axisRow" fieldPosition="0"/>
    </format>
    <format dxfId="248">
      <pivotArea dataOnly="0" labelOnly="1" outline="0" axis="axisValues" fieldPosition="0"/>
    </format>
    <format dxfId="247">
      <pivotArea type="all" dataOnly="0" outline="0" fieldPosition="0"/>
    </format>
    <format dxfId="246">
      <pivotArea outline="0" collapsedLevelsAreSubtotals="1" fieldPosition="0"/>
    </format>
    <format dxfId="245">
      <pivotArea field="1" type="button" dataOnly="0" labelOnly="1" outline="0" axis="axisRow" fieldPosition="0"/>
    </format>
    <format dxfId="244">
      <pivotArea dataOnly="0" labelOnly="1" fieldPosition="0">
        <references count="1">
          <reference field="1" count="0"/>
        </references>
      </pivotArea>
    </format>
    <format dxfId="243">
      <pivotArea dataOnly="0" labelOnly="1" grandRow="1" outline="0" fieldPosition="0"/>
    </format>
    <format dxfId="24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1B80E62-0789-D340-9C48-0015742313F6}"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2:L23" firstHeaderRow="1" firstDataRow="1" firstDataCol="1"/>
  <pivotFields count="24">
    <pivotField showAll="0"/>
    <pivotField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items count="3">
        <item x="1"/>
        <item x="0"/>
        <item t="default"/>
      </items>
    </pivotField>
    <pivotField showAll="0"/>
    <pivotField showAll="0"/>
    <pivotField axis="axisRow"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pivotField numFmtId="173" showAll="0"/>
    <pivotField numFmtId="172" showAll="0"/>
    <pivotField dataField="1" numFmtId="165" showAll="0"/>
    <pivotField showAll="0"/>
    <pivotField numFmtId="165" showAll="0"/>
  </pivotFields>
  <rowFields count="1">
    <field x="8"/>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Price (IDR)" fld="21" baseField="0" baseItem="0" numFmtId="165"/>
  </dataFields>
  <formats count="13">
    <format dxfId="273">
      <pivotArea type="all" dataOnly="0" outline="0" fieldPosition="0"/>
    </format>
    <format dxfId="272">
      <pivotArea field="8" type="button" dataOnly="0" labelOnly="1" outline="0" axis="axisRow" fieldPosition="0"/>
    </format>
    <format dxfId="271">
      <pivotArea dataOnly="0" labelOnly="1" outline="0" axis="axisValues" fieldPosition="0"/>
    </format>
    <format dxfId="270">
      <pivotArea field="8" type="button" dataOnly="0" labelOnly="1" outline="0" axis="axisRow" fieldPosition="0"/>
    </format>
    <format dxfId="269">
      <pivotArea dataOnly="0" labelOnly="1" outline="0" axis="axisValues" fieldPosition="0"/>
    </format>
    <format dxfId="268">
      <pivotArea field="8" type="button" dataOnly="0" labelOnly="1" outline="0" axis="axisRow" fieldPosition="0"/>
    </format>
    <format dxfId="267">
      <pivotArea dataOnly="0" labelOnly="1" outline="0" axis="axisValues" fieldPosition="0"/>
    </format>
    <format dxfId="266">
      <pivotArea type="all" dataOnly="0" outline="0" fieldPosition="0"/>
    </format>
    <format dxfId="265">
      <pivotArea outline="0" collapsedLevelsAreSubtotals="1" fieldPosition="0"/>
    </format>
    <format dxfId="264">
      <pivotArea field="8" type="button" dataOnly="0" labelOnly="1" outline="0" axis="axisRow" fieldPosition="0"/>
    </format>
    <format dxfId="263">
      <pivotArea dataOnly="0" labelOnly="1" fieldPosition="0">
        <references count="1">
          <reference field="8" count="0"/>
        </references>
      </pivotArea>
    </format>
    <format dxfId="262">
      <pivotArea dataOnly="0" labelOnly="1" grandRow="1" outline="0" fieldPosition="0"/>
    </format>
    <format dxfId="2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CDC9013-55A0-DC4B-8F8E-AD10F30E21AA}" name="PivotTable3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26:S49"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showAll="0"/>
    <pivotField axis="axisRow"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dataField="1" numFmtId="165" showAll="0"/>
  </pivotFields>
  <rowFields count="1">
    <field x="9"/>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Min of Total Payment" fld="23" subtotal="min" baseField="0" baseItem="0" numFmtId="165"/>
  </dataFields>
  <formats count="6">
    <format dxfId="66">
      <pivotArea type="all" dataOnly="0" outline="0" fieldPosition="0"/>
    </format>
    <format dxfId="65">
      <pivotArea outline="0" collapsedLevelsAreSubtotals="1" fieldPosition="0"/>
    </format>
    <format dxfId="64">
      <pivotArea field="9" type="button" dataOnly="0" labelOnly="1" outline="0" axis="axisRow" fieldPosition="0"/>
    </format>
    <format dxfId="63">
      <pivotArea dataOnly="0" labelOnly="1" fieldPosition="0">
        <references count="1">
          <reference field="9" count="0"/>
        </references>
      </pivotArea>
    </format>
    <format dxfId="62">
      <pivotArea dataOnly="0" labelOnly="1" grandRow="1" outline="0" fieldPosition="0"/>
    </format>
    <format dxfId="6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493F1D2-0B92-5C44-AF8A-2846B46E784A}" name="PivotTable3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S24"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axis="axisRow"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dataField="1" numFmtId="165" showAll="0"/>
  </pivotFields>
  <rowFields count="1">
    <field x="8"/>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Max of Total Payment" fld="23" subtotal="max" baseField="0" baseItem="0" numFmtId="165"/>
  </dataFields>
  <formats count="6">
    <format dxfId="72">
      <pivotArea type="all" dataOnly="0" outline="0" fieldPosition="0"/>
    </format>
    <format dxfId="71">
      <pivotArea outline="0" collapsedLevelsAreSubtotals="1" fieldPosition="0"/>
    </format>
    <format dxfId="70">
      <pivotArea field="8" type="button" dataOnly="0" labelOnly="1" outline="0" axis="axisRow" fieldPosition="0"/>
    </format>
    <format dxfId="69">
      <pivotArea dataOnly="0" labelOnly="1" fieldPosition="0">
        <references count="1">
          <reference field="8" count="0"/>
        </references>
      </pivotArea>
    </format>
    <format dxfId="68">
      <pivotArea dataOnly="0" labelOnly="1" grandRow="1" outline="0" fieldPosition="0"/>
    </format>
    <format dxfId="6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17C1975-3643-1A4B-8682-3D068650AF15}" name="PivotTable3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26:G49"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showAll="0"/>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axis="axisRow" dataField="1"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18"/>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Airline" fld="18" subtotal="count" baseField="0" baseItem="0"/>
  </dataFields>
  <formats count="6">
    <format dxfId="78">
      <pivotArea type="all" dataOnly="0" outline="0" fieldPosition="0"/>
    </format>
    <format dxfId="77">
      <pivotArea outline="0" collapsedLevelsAreSubtotals="1" fieldPosition="0"/>
    </format>
    <format dxfId="76">
      <pivotArea field="18" type="button" dataOnly="0" labelOnly="1" outline="0" axis="axisRow" fieldPosition="0"/>
    </format>
    <format dxfId="75">
      <pivotArea dataOnly="0" labelOnly="1" fieldPosition="0">
        <references count="1">
          <reference field="18" count="0"/>
        </references>
      </pivotArea>
    </format>
    <format dxfId="74">
      <pivotArea dataOnly="0" labelOnly="1" grandRow="1" outline="0" fieldPosition="0"/>
    </format>
    <format dxfId="73">
      <pivotArea dataOnly="0" labelOnly="1" outline="0" axis="axisValues" fieldPosition="0"/>
    </format>
  </formats>
  <chartFormats count="23">
    <chartFormat chart="2" format="24" series="1">
      <pivotArea type="data" outline="0" fieldPosition="0">
        <references count="1">
          <reference field="4294967294" count="1" selected="0">
            <x v="0"/>
          </reference>
        </references>
      </pivotArea>
    </chartFormat>
    <chartFormat chart="2" format="25">
      <pivotArea type="data" outline="0" fieldPosition="0">
        <references count="2">
          <reference field="4294967294" count="1" selected="0">
            <x v="0"/>
          </reference>
          <reference field="18" count="1" selected="0">
            <x v="0"/>
          </reference>
        </references>
      </pivotArea>
    </chartFormat>
    <chartFormat chart="2" format="26">
      <pivotArea type="data" outline="0" fieldPosition="0">
        <references count="2">
          <reference field="4294967294" count="1" selected="0">
            <x v="0"/>
          </reference>
          <reference field="18" count="1" selected="0">
            <x v="1"/>
          </reference>
        </references>
      </pivotArea>
    </chartFormat>
    <chartFormat chart="2" format="27">
      <pivotArea type="data" outline="0" fieldPosition="0">
        <references count="2">
          <reference field="4294967294" count="1" selected="0">
            <x v="0"/>
          </reference>
          <reference field="18" count="1" selected="0">
            <x v="2"/>
          </reference>
        </references>
      </pivotArea>
    </chartFormat>
    <chartFormat chart="2" format="28">
      <pivotArea type="data" outline="0" fieldPosition="0">
        <references count="2">
          <reference field="4294967294" count="1" selected="0">
            <x v="0"/>
          </reference>
          <reference field="18" count="1" selected="0">
            <x v="3"/>
          </reference>
        </references>
      </pivotArea>
    </chartFormat>
    <chartFormat chart="2" format="29">
      <pivotArea type="data" outline="0" fieldPosition="0">
        <references count="2">
          <reference field="4294967294" count="1" selected="0">
            <x v="0"/>
          </reference>
          <reference field="18" count="1" selected="0">
            <x v="4"/>
          </reference>
        </references>
      </pivotArea>
    </chartFormat>
    <chartFormat chart="2" format="30">
      <pivotArea type="data" outline="0" fieldPosition="0">
        <references count="2">
          <reference field="4294967294" count="1" selected="0">
            <x v="0"/>
          </reference>
          <reference field="18" count="1" selected="0">
            <x v="5"/>
          </reference>
        </references>
      </pivotArea>
    </chartFormat>
    <chartFormat chart="2" format="31">
      <pivotArea type="data" outline="0" fieldPosition="0">
        <references count="2">
          <reference field="4294967294" count="1" selected="0">
            <x v="0"/>
          </reference>
          <reference field="18" count="1" selected="0">
            <x v="6"/>
          </reference>
        </references>
      </pivotArea>
    </chartFormat>
    <chartFormat chart="2" format="32">
      <pivotArea type="data" outline="0" fieldPosition="0">
        <references count="2">
          <reference field="4294967294" count="1" selected="0">
            <x v="0"/>
          </reference>
          <reference field="18" count="1" selected="0">
            <x v="7"/>
          </reference>
        </references>
      </pivotArea>
    </chartFormat>
    <chartFormat chart="2" format="33">
      <pivotArea type="data" outline="0" fieldPosition="0">
        <references count="2">
          <reference field="4294967294" count="1" selected="0">
            <x v="0"/>
          </reference>
          <reference field="18" count="1" selected="0">
            <x v="8"/>
          </reference>
        </references>
      </pivotArea>
    </chartFormat>
    <chartFormat chart="2" format="34">
      <pivotArea type="data" outline="0" fieldPosition="0">
        <references count="2">
          <reference field="4294967294" count="1" selected="0">
            <x v="0"/>
          </reference>
          <reference field="18" count="1" selected="0">
            <x v="9"/>
          </reference>
        </references>
      </pivotArea>
    </chartFormat>
    <chartFormat chart="2" format="35">
      <pivotArea type="data" outline="0" fieldPosition="0">
        <references count="2">
          <reference field="4294967294" count="1" selected="0">
            <x v="0"/>
          </reference>
          <reference field="18" count="1" selected="0">
            <x v="10"/>
          </reference>
        </references>
      </pivotArea>
    </chartFormat>
    <chartFormat chart="2" format="36">
      <pivotArea type="data" outline="0" fieldPosition="0">
        <references count="2">
          <reference field="4294967294" count="1" selected="0">
            <x v="0"/>
          </reference>
          <reference field="18" count="1" selected="0">
            <x v="11"/>
          </reference>
        </references>
      </pivotArea>
    </chartFormat>
    <chartFormat chart="2" format="37">
      <pivotArea type="data" outline="0" fieldPosition="0">
        <references count="2">
          <reference field="4294967294" count="1" selected="0">
            <x v="0"/>
          </reference>
          <reference field="18" count="1" selected="0">
            <x v="12"/>
          </reference>
        </references>
      </pivotArea>
    </chartFormat>
    <chartFormat chart="2" format="38">
      <pivotArea type="data" outline="0" fieldPosition="0">
        <references count="2">
          <reference field="4294967294" count="1" selected="0">
            <x v="0"/>
          </reference>
          <reference field="18" count="1" selected="0">
            <x v="13"/>
          </reference>
        </references>
      </pivotArea>
    </chartFormat>
    <chartFormat chart="2" format="39">
      <pivotArea type="data" outline="0" fieldPosition="0">
        <references count="2">
          <reference field="4294967294" count="1" selected="0">
            <x v="0"/>
          </reference>
          <reference field="18" count="1" selected="0">
            <x v="14"/>
          </reference>
        </references>
      </pivotArea>
    </chartFormat>
    <chartFormat chart="2" format="40">
      <pivotArea type="data" outline="0" fieldPosition="0">
        <references count="2">
          <reference field="4294967294" count="1" selected="0">
            <x v="0"/>
          </reference>
          <reference field="18" count="1" selected="0">
            <x v="15"/>
          </reference>
        </references>
      </pivotArea>
    </chartFormat>
    <chartFormat chart="2" format="41">
      <pivotArea type="data" outline="0" fieldPosition="0">
        <references count="2">
          <reference field="4294967294" count="1" selected="0">
            <x v="0"/>
          </reference>
          <reference field="18" count="1" selected="0">
            <x v="16"/>
          </reference>
        </references>
      </pivotArea>
    </chartFormat>
    <chartFormat chart="2" format="42">
      <pivotArea type="data" outline="0" fieldPosition="0">
        <references count="2">
          <reference field="4294967294" count="1" selected="0">
            <x v="0"/>
          </reference>
          <reference field="18" count="1" selected="0">
            <x v="17"/>
          </reference>
        </references>
      </pivotArea>
    </chartFormat>
    <chartFormat chart="2" format="43">
      <pivotArea type="data" outline="0" fieldPosition="0">
        <references count="2">
          <reference field="4294967294" count="1" selected="0">
            <x v="0"/>
          </reference>
          <reference field="18" count="1" selected="0">
            <x v="18"/>
          </reference>
        </references>
      </pivotArea>
    </chartFormat>
    <chartFormat chart="2" format="44">
      <pivotArea type="data" outline="0" fieldPosition="0">
        <references count="2">
          <reference field="4294967294" count="1" selected="0">
            <x v="0"/>
          </reference>
          <reference field="18" count="1" selected="0">
            <x v="19"/>
          </reference>
        </references>
      </pivotArea>
    </chartFormat>
    <chartFormat chart="2" format="45">
      <pivotArea type="data" outline="0" fieldPosition="0">
        <references count="2">
          <reference field="4294967294" count="1" selected="0">
            <x v="0"/>
          </reference>
          <reference field="18" count="1" selected="0">
            <x v="20"/>
          </reference>
        </references>
      </pivotArea>
    </chartFormat>
    <chartFormat chart="2" format="46">
      <pivotArea type="data" outline="0" fieldPosition="0">
        <references count="2">
          <reference field="4294967294" count="1" selected="0">
            <x v="0"/>
          </reference>
          <reference field="18"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C3C955F-7B13-8B43-A377-E57E15EACB0F}" name="PivotTable3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26:O49"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showAll="0"/>
    <pivotField axis="axisRow" dataField="1"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9"/>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Count of Destination Airport (International)" fld="9" subtotal="count" baseField="0" baseItem="0"/>
  </dataFields>
  <formats count="6">
    <format dxfId="84">
      <pivotArea type="all" dataOnly="0" outline="0" fieldPosition="0"/>
    </format>
    <format dxfId="83">
      <pivotArea outline="0" collapsedLevelsAreSubtotals="1" fieldPosition="0"/>
    </format>
    <format dxfId="82">
      <pivotArea field="9" type="button" dataOnly="0" labelOnly="1" outline="0" axis="axisRow" fieldPosition="0"/>
    </format>
    <format dxfId="81">
      <pivotArea dataOnly="0" labelOnly="1" fieldPosition="0">
        <references count="1">
          <reference field="9" count="0"/>
        </references>
      </pivotArea>
    </format>
    <format dxfId="80">
      <pivotArea dataOnly="0" labelOnly="1" grandRow="1" outline="0" fieldPosition="0"/>
    </format>
    <format dxfId="7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2063B77E-C294-4B4B-9038-F3B2536D0495}" name="PivotTable3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15:G23"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showAll="0"/>
    <pivotField showAll="0"/>
    <pivotField showAll="0"/>
    <pivotField showAll="0"/>
    <pivotField showAll="0"/>
    <pivotField axis="axisRow" dataField="1"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13"/>
  </rowFields>
  <rowItems count="8">
    <i>
      <x/>
    </i>
    <i>
      <x v="1"/>
    </i>
    <i>
      <x v="2"/>
    </i>
    <i>
      <x v="3"/>
    </i>
    <i>
      <x v="4"/>
    </i>
    <i>
      <x v="5"/>
    </i>
    <i>
      <x v="6"/>
    </i>
    <i t="grand">
      <x/>
    </i>
  </rowItems>
  <colItems count="1">
    <i/>
  </colItems>
  <dataFields count="1">
    <dataField name="Count of Arrival Date" fld="13" subtotal="count" baseField="0" baseItem="0"/>
  </dataFields>
  <formats count="6">
    <format dxfId="90">
      <pivotArea type="all" dataOnly="0" outline="0" fieldPosition="0"/>
    </format>
    <format dxfId="89">
      <pivotArea outline="0" collapsedLevelsAreSubtotals="1" fieldPosition="0"/>
    </format>
    <format dxfId="88">
      <pivotArea field="13" type="button" dataOnly="0" labelOnly="1" outline="0" axis="axisRow" fieldPosition="0"/>
    </format>
    <format dxfId="87">
      <pivotArea dataOnly="0" labelOnly="1" fieldPosition="0">
        <references count="1">
          <reference field="13" count="0"/>
        </references>
      </pivotArea>
    </format>
    <format dxfId="86">
      <pivotArea dataOnly="0" labelOnly="1" grandRow="1" outline="0" fieldPosition="0"/>
    </format>
    <format dxfId="85">
      <pivotArea dataOnly="0" labelOnly="1" outline="0" axis="axisValues" fieldPosition="0"/>
    </format>
  </formats>
  <chartFormats count="8">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3" count="1" selected="0">
            <x v="0"/>
          </reference>
        </references>
      </pivotArea>
    </chartFormat>
    <chartFormat chart="2" format="4">
      <pivotArea type="data" outline="0" fieldPosition="0">
        <references count="2">
          <reference field="4294967294" count="1" selected="0">
            <x v="0"/>
          </reference>
          <reference field="13" count="1" selected="0">
            <x v="1"/>
          </reference>
        </references>
      </pivotArea>
    </chartFormat>
    <chartFormat chart="2" format="5">
      <pivotArea type="data" outline="0" fieldPosition="0">
        <references count="2">
          <reference field="4294967294" count="1" selected="0">
            <x v="0"/>
          </reference>
          <reference field="13" count="1" selected="0">
            <x v="2"/>
          </reference>
        </references>
      </pivotArea>
    </chartFormat>
    <chartFormat chart="2" format="6">
      <pivotArea type="data" outline="0" fieldPosition="0">
        <references count="2">
          <reference field="4294967294" count="1" selected="0">
            <x v="0"/>
          </reference>
          <reference field="13" count="1" selected="0">
            <x v="3"/>
          </reference>
        </references>
      </pivotArea>
    </chartFormat>
    <chartFormat chart="2" format="7">
      <pivotArea type="data" outline="0" fieldPosition="0">
        <references count="2">
          <reference field="4294967294" count="1" selected="0">
            <x v="0"/>
          </reference>
          <reference field="13" count="1" selected="0">
            <x v="4"/>
          </reference>
        </references>
      </pivotArea>
    </chartFormat>
    <chartFormat chart="2" format="8">
      <pivotArea type="data" outline="0" fieldPosition="0">
        <references count="2">
          <reference field="4294967294" count="1" selected="0">
            <x v="0"/>
          </reference>
          <reference field="13" count="1" selected="0">
            <x v="5"/>
          </reference>
        </references>
      </pivotArea>
    </chartFormat>
    <chartFormat chart="2" format="9">
      <pivotArea type="data" outline="0" fieldPosition="0">
        <references count="2">
          <reference field="4294967294" count="1" selected="0">
            <x v="0"/>
          </reference>
          <reference field="1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FD788D8-BF3B-764F-BCE3-B2581FDAB7D0}"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9:G12" firstHeaderRow="1" firstDataRow="1" firstDataCol="1"/>
  <pivotFields count="24">
    <pivotField showAll="0"/>
    <pivotField showAll="0"/>
    <pivotField showAll="0"/>
    <pivotField showAll="0"/>
    <pivotField showAll="0"/>
    <pivotField showAll="0">
      <items count="3">
        <item x="1"/>
        <item x="0"/>
        <item t="default"/>
      </items>
    </pivotField>
    <pivotField showAll="0"/>
    <pivotField axis="axisRow" dataField="1" showAll="0">
      <items count="3">
        <item x="1"/>
        <item x="0"/>
        <item t="default"/>
      </items>
    </pivotField>
    <pivotField showAll="0"/>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7"/>
  </rowFields>
  <rowItems count="3">
    <i>
      <x/>
    </i>
    <i>
      <x v="1"/>
    </i>
    <i t="grand">
      <x/>
    </i>
  </rowItems>
  <colItems count="1">
    <i/>
  </colItems>
  <dataFields count="1">
    <dataField name="Count of Origin Airport" fld="7" subtotal="count" baseField="0" baseItem="0"/>
  </dataFields>
  <formats count="6">
    <format dxfId="96">
      <pivotArea type="all" dataOnly="0" outline="0" fieldPosition="0"/>
    </format>
    <format dxfId="95">
      <pivotArea outline="0" collapsedLevelsAreSubtotals="1" fieldPosition="0"/>
    </format>
    <format dxfId="94">
      <pivotArea field="7" type="button" dataOnly="0" labelOnly="1" outline="0" axis="axisRow" fieldPosition="0"/>
    </format>
    <format dxfId="93">
      <pivotArea dataOnly="0" labelOnly="1" fieldPosition="0">
        <references count="1">
          <reference field="7" count="0"/>
        </references>
      </pivotArea>
    </format>
    <format dxfId="92">
      <pivotArea dataOnly="0" labelOnly="1" grandRow="1" outline="0" fieldPosition="0"/>
    </format>
    <format dxfId="91">
      <pivotArea dataOnly="0" labelOnly="1" outline="0" axis="axisValues"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D33D4EC-120E-B741-9D1A-9E685B3A4A45}" name="PivotTable3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3:O24"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axis="axisRow" dataField="1"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8"/>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Count of Destination Aiport (Domestic)" fld="8" subtotal="count" baseField="0" baseItem="0"/>
  </dataFields>
  <formats count="6">
    <format dxfId="102">
      <pivotArea type="all" dataOnly="0" outline="0" fieldPosition="0"/>
    </format>
    <format dxfId="101">
      <pivotArea outline="0" collapsedLevelsAreSubtotals="1" fieldPosition="0"/>
    </format>
    <format dxfId="100">
      <pivotArea field="8" type="button" dataOnly="0" labelOnly="1" outline="0" axis="axisRow" fieldPosition="0"/>
    </format>
    <format dxfId="99">
      <pivotArea dataOnly="0" labelOnly="1" fieldPosition="0">
        <references count="1">
          <reference field="8" count="0"/>
        </references>
      </pivotArea>
    </format>
    <format dxfId="98">
      <pivotArea dataOnly="0" labelOnly="1" grandRow="1" outline="0" fieldPosition="0"/>
    </format>
    <format dxfId="9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3A7B421-962B-3645-93F6-7E2FACD6CE5B}"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3:G6" firstHeaderRow="1" firstDataRow="1" firstDataCol="1"/>
  <pivotFields count="24">
    <pivotField showAll="0"/>
    <pivotField showAll="0"/>
    <pivotField showAll="0"/>
    <pivotField showAll="0"/>
    <pivotField showAll="0"/>
    <pivotField axis="axisRow" dataField="1" showAll="0">
      <items count="3">
        <item x="1"/>
        <item x="0"/>
        <item t="default"/>
      </items>
    </pivotField>
    <pivotField showAll="0"/>
    <pivotField showAll="0">
      <items count="3">
        <item x="1"/>
        <item x="0"/>
        <item t="default"/>
      </items>
    </pivotField>
    <pivotField showAll="0"/>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numFmtId="165" showAll="0"/>
    <pivotField showAll="0"/>
    <pivotField numFmtId="165" showAll="0"/>
  </pivotFields>
  <rowFields count="1">
    <field x="5"/>
  </rowFields>
  <rowItems count="3">
    <i>
      <x/>
    </i>
    <i>
      <x v="1"/>
    </i>
    <i t="grand">
      <x/>
    </i>
  </rowItems>
  <colItems count="1">
    <i/>
  </colItems>
  <dataFields count="1">
    <dataField name="Count of Remarks" fld="5" subtotal="count" baseField="0" baseItem="0"/>
  </dataFields>
  <formats count="6">
    <format dxfId="108">
      <pivotArea type="all" dataOnly="0" outline="0" fieldPosition="0"/>
    </format>
    <format dxfId="107">
      <pivotArea outline="0" collapsedLevelsAreSubtotals="1" fieldPosition="0"/>
    </format>
    <format dxfId="106">
      <pivotArea field="5" type="button" dataOnly="0" labelOnly="1" outline="0" axis="axisRow" fieldPosition="0"/>
    </format>
    <format dxfId="105">
      <pivotArea dataOnly="0" labelOnly="1" fieldPosition="0">
        <references count="1">
          <reference field="5" count="0"/>
        </references>
      </pivotArea>
    </format>
    <format dxfId="104">
      <pivotArea dataOnly="0" labelOnly="1" grandRow="1" outline="0" fieldPosition="0"/>
    </format>
    <format dxfId="103">
      <pivotArea dataOnly="0" labelOnly="1" outline="0" axis="axisValues" fieldPosition="0"/>
    </format>
  </formats>
  <chartFormats count="3">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1"/>
          </reference>
        </references>
      </pivotArea>
    </chartFormat>
    <chartFormat chart="2" format="4">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6AAF54-CFF2-C846-92D7-E71FED89C62B}" name="PivotTable3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6:K49"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showAll="0"/>
    <pivotField axis="axisRow" showAll="0">
      <items count="23">
        <item x="14"/>
        <item x="6"/>
        <item x="8"/>
        <item x="12"/>
        <item x="11"/>
        <item x="9"/>
        <item x="13"/>
        <item x="16"/>
        <item x="10"/>
        <item x="19"/>
        <item x="2"/>
        <item x="18"/>
        <item x="17"/>
        <item x="1"/>
        <item x="4"/>
        <item x="3"/>
        <item x="21"/>
        <item x="5"/>
        <item x="15"/>
        <item x="20"/>
        <item x="7"/>
        <item x="0"/>
        <item t="default"/>
      </items>
    </pivotField>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dataField="1" numFmtId="165" showAll="0"/>
    <pivotField showAll="0"/>
    <pivotField numFmtId="165" showAll="0"/>
  </pivotFields>
  <rowFields count="1">
    <field x="9"/>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Price (IDR)" fld="21" baseField="0" baseItem="0" numFmtId="165"/>
  </dataFields>
  <formats count="6">
    <format dxfId="114">
      <pivotArea type="all" dataOnly="0" outline="0" fieldPosition="0"/>
    </format>
    <format dxfId="113">
      <pivotArea outline="0" collapsedLevelsAreSubtotals="1" fieldPosition="0"/>
    </format>
    <format dxfId="112">
      <pivotArea field="9" type="button" dataOnly="0" labelOnly="1" outline="0" axis="axisRow" fieldPosition="0"/>
    </format>
    <format dxfId="111">
      <pivotArea dataOnly="0" labelOnly="1" fieldPosition="0">
        <references count="1">
          <reference field="9" count="0"/>
        </references>
      </pivotArea>
    </format>
    <format dxfId="110">
      <pivotArea dataOnly="0" labelOnly="1" grandRow="1" outline="0" fieldPosition="0"/>
    </format>
    <format dxfId="10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3E24363-0958-B244-B14F-C20B9A40600C}"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9" firstHeaderRow="1" firstDataRow="1" firstDataCol="1"/>
  <pivotFields count="24">
    <pivotField showAll="0"/>
    <pivotField axis="axisRow" dataField="1" showAll="0">
      <items count="36">
        <item x="11"/>
        <item x="12"/>
        <item x="13"/>
        <item x="14"/>
        <item x="15"/>
        <item x="16"/>
        <item x="17"/>
        <item x="18"/>
        <item x="19"/>
        <item x="20"/>
        <item x="21"/>
        <item x="22"/>
        <item x="23"/>
        <item x="24"/>
        <item x="25"/>
        <item x="26"/>
        <item x="27"/>
        <item x="28"/>
        <item x="29"/>
        <item x="30"/>
        <item x="31"/>
        <item x="32"/>
        <item x="33"/>
        <item x="34"/>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73" showAll="0"/>
    <pivotField numFmtId="172" showAll="0"/>
    <pivotField numFmtId="165" showAll="0"/>
    <pivotField showAll="0"/>
    <pivotField numFmtId="165" showAll="0"/>
  </pivotFields>
  <rowFields count="1">
    <field x="1"/>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Items count="1">
    <i/>
  </colItems>
  <dataFields count="1">
    <dataField name="Count of Order Date" fld="1" subtotal="count" baseField="0" baseItem="0"/>
  </dataFields>
  <formats count="12">
    <format dxfId="126">
      <pivotArea type="all" dataOnly="0" outline="0" fieldPosition="0"/>
    </format>
    <format dxfId="125">
      <pivotArea outline="0" collapsedLevelsAreSubtotals="1" fieldPosition="0"/>
    </format>
    <format dxfId="124">
      <pivotArea field="1" type="button" dataOnly="0" labelOnly="1" outline="0" axis="axisRow" fieldPosition="0"/>
    </format>
    <format dxfId="123">
      <pivotArea dataOnly="0" labelOnly="1" fieldPosition="0">
        <references count="1">
          <reference field="1" count="0"/>
        </references>
      </pivotArea>
    </format>
    <format dxfId="122">
      <pivotArea dataOnly="0" labelOnly="1" grandRow="1" outline="0" fieldPosition="0"/>
    </format>
    <format dxfId="121">
      <pivotArea dataOnly="0" labelOnly="1" outline="0" axis="axisValues" fieldPosition="0"/>
    </format>
    <format dxfId="120">
      <pivotArea type="all" dataOnly="0" outline="0" fieldPosition="0"/>
    </format>
    <format dxfId="119">
      <pivotArea outline="0" collapsedLevelsAreSubtotals="1" fieldPosition="0"/>
    </format>
    <format dxfId="118">
      <pivotArea field="1" type="button" dataOnly="0" labelOnly="1" outline="0" axis="axisRow" fieldPosition="0"/>
    </format>
    <format dxfId="117">
      <pivotArea dataOnly="0" labelOnly="1" fieldPosition="0">
        <references count="1">
          <reference field="1" count="0"/>
        </references>
      </pivotArea>
    </format>
    <format dxfId="116">
      <pivotArea dataOnly="0" labelOnly="1" grandRow="1" outline="0" fieldPosition="0"/>
    </format>
    <format dxfId="1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385D3C4-6301-C14E-90C9-68478609088F}" name="PivotTable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K24" firstHeaderRow="1" firstDataRow="1" firstDataCol="1"/>
  <pivotFields count="24">
    <pivotField showAll="0"/>
    <pivotField showAll="0"/>
    <pivotField showAll="0"/>
    <pivotField showAll="0"/>
    <pivotField showAll="0"/>
    <pivotField showAll="0">
      <items count="3">
        <item x="1"/>
        <item x="0"/>
        <item t="default"/>
      </items>
    </pivotField>
    <pivotField showAll="0"/>
    <pivotField showAll="0">
      <items count="3">
        <item x="1"/>
        <item x="0"/>
        <item t="default"/>
      </items>
    </pivotField>
    <pivotField axis="axisRow" showAll="0">
      <items count="21">
        <item x="11"/>
        <item x="10"/>
        <item x="3"/>
        <item x="19"/>
        <item x="18"/>
        <item x="5"/>
        <item x="0"/>
        <item x="9"/>
        <item x="2"/>
        <item x="4"/>
        <item x="15"/>
        <item x="14"/>
        <item x="7"/>
        <item x="16"/>
        <item x="6"/>
        <item x="17"/>
        <item x="8"/>
        <item x="13"/>
        <item x="12"/>
        <item x="1"/>
        <item t="default"/>
      </items>
    </pivotField>
    <pivotField showAll="0"/>
    <pivotField showAll="0"/>
    <pivotField showAll="0"/>
    <pivotField showAll="0"/>
    <pivotField showAll="0">
      <items count="8">
        <item x="0"/>
        <item x="2"/>
        <item x="1"/>
        <item x="5"/>
        <item x="4"/>
        <item x="6"/>
        <item x="3"/>
        <item t="default"/>
      </items>
    </pivotField>
    <pivotField showAll="0"/>
    <pivotField showAll="0"/>
    <pivotField showAll="0"/>
    <pivotField showAll="0"/>
    <pivotField showAll="0">
      <items count="23">
        <item x="8"/>
        <item x="6"/>
        <item x="12"/>
        <item x="15"/>
        <item x="10"/>
        <item x="17"/>
        <item x="2"/>
        <item x="7"/>
        <item x="11"/>
        <item x="3"/>
        <item x="14"/>
        <item x="18"/>
        <item x="13"/>
        <item x="20"/>
        <item x="5"/>
        <item x="19"/>
        <item x="1"/>
        <item x="4"/>
        <item x="0"/>
        <item x="16"/>
        <item x="21"/>
        <item x="9"/>
        <item t="default"/>
      </items>
    </pivotField>
    <pivotField numFmtId="173" showAll="0"/>
    <pivotField numFmtId="172" showAll="0"/>
    <pivotField dataField="1" numFmtId="165" showAll="0"/>
    <pivotField showAll="0"/>
    <pivotField numFmtId="165" showAll="0"/>
  </pivotFields>
  <rowFields count="1">
    <field x="8"/>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Price (IDR)" fld="21" baseField="0" baseItem="0" numFmtId="165"/>
  </dataFields>
  <formats count="6">
    <format dxfId="132">
      <pivotArea type="all" dataOnly="0" outline="0" fieldPosition="0"/>
    </format>
    <format dxfId="131">
      <pivotArea outline="0" collapsedLevelsAreSubtotals="1" fieldPosition="0"/>
    </format>
    <format dxfId="130">
      <pivotArea field="8" type="button" dataOnly="0" labelOnly="1" outline="0" axis="axisRow" fieldPosition="0"/>
    </format>
    <format dxfId="129">
      <pivotArea dataOnly="0" labelOnly="1" fieldPosition="0">
        <references count="1">
          <reference field="8" count="0"/>
        </references>
      </pivotArea>
    </format>
    <format dxfId="128">
      <pivotArea dataOnly="0" labelOnly="1" grandRow="1" outline="0" fieldPosition="0"/>
    </format>
    <format dxfId="1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_Airport" xr10:uid="{93A1F978-5CBE-0A4D-8F12-F25D0EED060E}" sourceName="Origin Airport">
  <pivotTables>
    <pivotTable tabId="22" name="PivotTable1"/>
  </pivotTables>
  <data>
    <tabular pivotCacheId="1099941643">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 xr10:uid="{1EDB4225-8A9A-CA4E-B534-59552671114F}" sourceName="Airline">
  <pivotTables>
    <pivotTable tabId="22" name="PivotTable1"/>
  </pivotTables>
  <data>
    <tabular pivotCacheId="1099941643">
      <items count="22">
        <i x="8"/>
        <i x="6"/>
        <i x="12"/>
        <i x="15"/>
        <i x="10"/>
        <i x="17"/>
        <i x="2"/>
        <i x="7" s="1"/>
        <i x="11"/>
        <i x="3"/>
        <i x="14"/>
        <i x="18"/>
        <i x="13"/>
        <i x="20"/>
        <i x="5"/>
        <i x="19"/>
        <i x="1"/>
        <i x="4"/>
        <i x="0"/>
        <i x="16"/>
        <i x="9"/>
        <i x="2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_Airport1" xr10:uid="{FEDD63AB-9A86-EC47-BAD9-3EA8D5EDA4D8}" sourceName="Origin Airport">
  <pivotTables>
    <pivotTable tabId="24" name="PivotTable1"/>
  </pivotTables>
  <data>
    <tabular pivotCacheId="1099941643">
      <items count="2">
        <i x="0" s="1"/>
        <i x="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Payment" xr10:uid="{53131FBE-E3FC-7B48-BC73-BFB7ADAB25A7}" sourceName="Total Payment">
  <pivotTables>
    <pivotTable tabId="24" name="PivotTable1"/>
  </pivotTables>
  <data>
    <tabular pivotCacheId="1099941643">
      <items count="33">
        <i x="5"/>
        <i x="6"/>
        <i x="0" s="1"/>
        <i x="30" nd="1"/>
        <i x="18" nd="1"/>
        <i x="14" nd="1"/>
        <i x="15" nd="1"/>
        <i x="27" nd="1"/>
        <i x="22" nd="1"/>
        <i x="16" nd="1"/>
        <i x="26" nd="1"/>
        <i x="24" nd="1"/>
        <i x="31" nd="1"/>
        <i x="8" nd="1"/>
        <i x="1" nd="1"/>
        <i x="13" nd="1"/>
        <i x="32" nd="1"/>
        <i x="7" nd="1"/>
        <i x="23" nd="1"/>
        <i x="9" nd="1"/>
        <i x="11" nd="1"/>
        <i x="20" nd="1"/>
        <i x="10" nd="1"/>
        <i x="19" nd="1"/>
        <i x="12" nd="1"/>
        <i x="28" nd="1"/>
        <i x="17" nd="1"/>
        <i x="2" nd="1"/>
        <i x="21" nd="1"/>
        <i x="3" nd="1"/>
        <i x="29" nd="1"/>
        <i x="4" nd="1"/>
        <i x="25"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arks" xr10:uid="{65C9E1D0-D59D-004A-8340-135C0B52D762}" sourceName="Remarks">
  <pivotTables>
    <pivotTable tabId="47" name="PivotTable19"/>
    <pivotTable tabId="47" name="PivotTable16"/>
    <pivotTable tabId="47" name="PivotTable17"/>
    <pivotTable tabId="47" name="PivotTable18"/>
    <pivotTable tabId="47" name="PivotTable20"/>
    <pivotTable tabId="47" name="PivotTable21"/>
    <pivotTable tabId="47" name="PivotTable22"/>
    <pivotTable tabId="47" name="PivotTable23"/>
    <pivotTable tabId="47" name="PivotTable24"/>
    <pivotTable tabId="47" name="PivotTable25"/>
    <pivotTable tabId="47" name="PivotTable26"/>
  </pivotTables>
  <data>
    <tabular pivotCacheId="686469778">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_Airport2" xr10:uid="{D69CC8D1-EDC3-3641-BB0E-63600B0CA231}" sourceName="Origin Airport">
  <pivotTables>
    <pivotTable tabId="47" name="PivotTable19"/>
  </pivotTables>
  <data>
    <tabular pivotCacheId="686469778">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_Aiport__Domestic" xr10:uid="{C5C9979B-1E67-804C-ACC1-1542DB1A6D61}" sourceName="Destination Aiport (Domestic)">
  <pivotTables>
    <pivotTable tabId="47" name="PivotTable19"/>
    <pivotTable tabId="47" name="PivotTable17"/>
    <pivotTable tabId="47" name="PivotTable18"/>
    <pivotTable tabId="47" name="PivotTable20"/>
    <pivotTable tabId="47" name="PivotTable21"/>
    <pivotTable tabId="47" name="PivotTable22"/>
    <pivotTable tabId="47" name="PivotTable23"/>
    <pivotTable tabId="47" name="PivotTable24"/>
    <pivotTable tabId="47" name="PivotTable25"/>
    <pivotTable tabId="47" name="PivotTable26"/>
  </pivotTables>
  <data>
    <tabular pivotCacheId="686469778">
      <items count="20">
        <i x="11" s="1"/>
        <i x="10" s="1"/>
        <i x="3" s="1"/>
        <i x="19" s="1"/>
        <i x="18" s="1"/>
        <i x="5" s="1"/>
        <i x="0" s="1"/>
        <i x="9" s="1"/>
        <i x="2" s="1"/>
        <i x="4" s="1"/>
        <i x="15" s="1"/>
        <i x="14" s="1"/>
        <i x="7" s="1"/>
        <i x="16" s="1"/>
        <i x="6" s="1"/>
        <i x="17" s="1"/>
        <i x="8" s="1"/>
        <i x="13" s="1"/>
        <i x="12"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 xr10:uid="{F19E58EF-3D20-BD43-A36A-93BB8F973D79}" sourceName="Arrival Date">
  <pivotTables>
    <pivotTable tabId="47" name="PivotTable19"/>
    <pivotTable tabId="47" name="PivotTable16"/>
    <pivotTable tabId="47" name="PivotTable17"/>
    <pivotTable tabId="47" name="PivotTable18"/>
    <pivotTable tabId="47" name="PivotTable20"/>
    <pivotTable tabId="47" name="PivotTable21"/>
    <pivotTable tabId="47" name="PivotTable22"/>
    <pivotTable tabId="47" name="PivotTable23"/>
    <pivotTable tabId="47" name="PivotTable24"/>
    <pivotTable tabId="47" name="PivotTable25"/>
    <pivotTable tabId="47" name="PivotTable26"/>
  </pivotTables>
  <data>
    <tabular pivotCacheId="686469778">
      <items count="7">
        <i x="0" s="1"/>
        <i x="2" s="1"/>
        <i x="1" s="1"/>
        <i x="5" s="1"/>
        <i x="4" s="1"/>
        <i x="6" s="1"/>
        <i x="3"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1" xr10:uid="{EFD60DBA-7B75-9649-AA7E-FBDE6AAB4FEF}" sourceName="Airline">
  <pivotTables>
    <pivotTable tabId="47" name="PivotTable19"/>
  </pivotTables>
  <data>
    <tabular pivotCacheId="686469778">
      <items count="22">
        <i x="8" s="1"/>
        <i x="6" s="1"/>
        <i x="12" s="1"/>
        <i x="15" s="1"/>
        <i x="10" s="1"/>
        <i x="17" s="1"/>
        <i x="2" s="1"/>
        <i x="7" s="1"/>
        <i x="11" s="1"/>
        <i x="3" s="1"/>
        <i x="14" s="1"/>
        <i x="18" s="1"/>
        <i x="13" s="1"/>
        <i x="20" s="1"/>
        <i x="5" s="1"/>
        <i x="19" s="1"/>
        <i x="1" s="1"/>
        <i x="4" s="1"/>
        <i x="0" s="1"/>
        <i x="16" s="1"/>
        <i x="21" s="1"/>
        <i x="9"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arks1" xr10:uid="{B5C012BF-14DF-6A41-8E41-37180FE66DD0}" sourceName="Remarks">
  <pivotTables>
    <pivotTable tabId="48" name="PivotTable28"/>
    <pivotTable tabId="48" name="PivotTable29"/>
    <pivotTable tabId="48" name="PivotTable30"/>
    <pivotTable tabId="48" name="PivotTable31"/>
    <pivotTable tabId="48" name="PivotTable32"/>
    <pivotTable tabId="48" name="PivotTable33"/>
    <pivotTable tabId="48" name="PivotTable34"/>
    <pivotTable tabId="48" name="PivotTable35"/>
    <pivotTable tabId="48" name="PivotTable36"/>
    <pivotTable tabId="48" name="PivotTable37"/>
  </pivotTables>
  <data>
    <tabular pivotCacheId="686469778">
      <items count="2">
        <i x="1" s="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igin_Airport3" xr10:uid="{654D6C65-0EBC-7D4A-BAB7-ABADC60CE9D3}" sourceName="Origin Airport">
  <pivotTables>
    <pivotTable tabId="48" name="PivotTable29"/>
    <pivotTable tabId="48" name="PivotTable28"/>
    <pivotTable tabId="48" name="PivotTable30"/>
    <pivotTable tabId="48" name="PivotTable31"/>
    <pivotTable tabId="48" name="PivotTable32"/>
    <pivotTable tabId="48" name="PivotTable33"/>
    <pivotTable tabId="48" name="PivotTable34"/>
    <pivotTable tabId="48" name="PivotTable35"/>
    <pivotTable tabId="48" name="PivotTable36"/>
    <pivotTable tabId="48" name="PivotTable37"/>
  </pivotTables>
  <data>
    <tabular pivotCacheId="686469778">
      <items count="2">
        <i x="1" s="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rival_Date1" xr10:uid="{9E2F525B-CE57-B243-B8FA-A2EF9C5A3E65}" sourceName="Arrival Date">
  <pivotTables>
    <pivotTable tabId="48" name="PivotTable30"/>
    <pivotTable tabId="48" name="PivotTable28"/>
    <pivotTable tabId="48" name="PivotTable29"/>
    <pivotTable tabId="48" name="PivotTable31"/>
    <pivotTable tabId="48" name="PivotTable32"/>
    <pivotTable tabId="48" name="PivotTable33"/>
    <pivotTable tabId="48" name="PivotTable34"/>
    <pivotTable tabId="48" name="PivotTable35"/>
    <pivotTable tabId="48" name="PivotTable36"/>
    <pivotTable tabId="48" name="PivotTable37"/>
  </pivotTables>
  <data>
    <tabular pivotCacheId="686469778">
      <items count="7">
        <i x="0" s="1"/>
        <i x="2" s="1"/>
        <i x="1" s="1"/>
        <i x="5" s="1"/>
        <i x="4" s="1"/>
        <i x="6" s="1"/>
        <i x="3"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2" xr10:uid="{5773665A-9701-5340-9E4E-9E0811832F46}" sourceName="Airline">
  <pivotTables>
    <pivotTable tabId="48" name="PivotTable31"/>
    <pivotTable tabId="48" name="PivotTable28"/>
    <pivotTable tabId="48" name="PivotTable29"/>
    <pivotTable tabId="48" name="PivotTable30"/>
    <pivotTable tabId="48" name="PivotTable32"/>
    <pivotTable tabId="48" name="PivotTable33"/>
    <pivotTable tabId="48" name="PivotTable34"/>
    <pivotTable tabId="48" name="PivotTable35"/>
    <pivotTable tabId="48" name="PivotTable36"/>
    <pivotTable tabId="48" name="PivotTable37"/>
  </pivotTables>
  <data>
    <tabular pivotCacheId="686469778">
      <items count="22">
        <i x="8" s="1"/>
        <i x="6" s="1"/>
        <i x="12" s="1"/>
        <i x="15" s="1"/>
        <i x="10" s="1"/>
        <i x="17" s="1"/>
        <i x="2" s="1"/>
        <i x="7" s="1"/>
        <i x="11" s="1"/>
        <i x="3" s="1"/>
        <i x="14" s="1"/>
        <i x="18" s="1"/>
        <i x="13" s="1"/>
        <i x="20" s="1"/>
        <i x="5" s="1"/>
        <i x="19" s="1"/>
        <i x="1" s="1"/>
        <i x="4" s="1"/>
        <i x="0" s="1"/>
        <i x="16" s="1"/>
        <i x="21"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igin Airport 1" xr10:uid="{96642E8E-4CC9-AD4B-97CD-554FA6CBFCC9}" cache="Slicer_Origin_Airport1" caption="Origin Airport" style="SlicerStyleLight2" rowHeight="251883"/>
  <slicer name="Total Payment" xr10:uid="{FCFDB233-C0F5-D947-81DA-B3455ED7C53E}" cache="Slicer_Total_Payment" caption="Total Paymen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igin Airport" xr10:uid="{6D27175F-0D8E-4C46-8BEE-8BDC91DC48E8}" cache="Slicer_Origin_Airport" caption="Origin Airport" rowHeight="251883"/>
  <slicer name="Airline" xr10:uid="{A111D5BD-D78C-0744-9660-8F7B51E7192C}" cache="Slicer_Airline" caption="Airline"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marks" xr10:uid="{6B9DDBD8-B2C5-F24B-B4C9-C66784BD6248}" cache="Slicer_Remarks" caption="Remarks" rowHeight="251883"/>
  <slicer name="Origin Airport 3" xr10:uid="{582A152F-E679-BD41-84E8-CA8A8DB95C57}" cache="Slicer_Origin_Airport2" caption="Origin Airport" rowHeight="251883"/>
  <slicer name="Destination Aiport (Domestic)" xr10:uid="{FC6435BE-105B-014D-97CE-0B83CF7A88F7}" cache="Slicer_Destination_Aiport__Domestic" caption="Destination Aiport (Domestic)" columnCount="4" rowHeight="640080"/>
  <slicer name="Arrival Date" xr10:uid="{B2F333DC-4B15-764F-A766-9B9827539A68}" cache="Slicer_Arrival_Date" caption="Arrival Date" columnCount="3" rowHeight="251883"/>
  <slicer name="Airline 1" xr10:uid="{8AD1DA6C-86FC-CF43-89D1-8B75DDCDBAF1}" cache="Slicer_Airline1" caption="Airline" columnCount="4"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marks 1" xr10:uid="{EB7D0CAE-393A-7B47-994D-DBDF59D8FB9C}" cache="Slicer_Remarks1" caption="Remarks" rowHeight="251883"/>
  <slicer name="Origin Airport 4" xr10:uid="{37D21C11-9CCC-A749-97A3-1610B46F7C54}" cache="Slicer_Origin_Airport3" caption="Origin Airport" rowHeight="251883"/>
  <slicer name="Arrival Date 1" xr10:uid="{CF3568F3-B435-AF41-9AD3-F49886822010}" cache="Slicer_Arrival_Date1" caption="Arrival Date" columnCount="3" rowHeight="251883"/>
  <slicer name="Airline 2" xr10:uid="{A6013C37-8F4D-7B45-BD31-B40ADC12EBF3}" cache="Slicer_Airline2" caption="Airline" columnCount="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110E42-4913-2E4A-9635-6F47C446570C}" name="Table1" displayName="Table1" ref="AH3:AL53" totalsRowShown="0" headerRowDxfId="296" dataDxfId="295">
  <autoFilter ref="AH3:AL53" xr:uid="{F7110E42-4913-2E4A-9635-6F47C446570C}"/>
  <tableColumns count="5">
    <tableColumn id="1" xr3:uid="{686625F5-2F62-F74A-A627-1413FB647D33}" name="No" dataDxfId="294"/>
    <tableColumn id="2" xr3:uid="{4859D823-E79E-FC4E-A79C-3AD3011CDD82}" name="Airlines Code" dataDxfId="293"/>
    <tableColumn id="3" xr3:uid="{E8615697-3356-0249-92C2-7F9BE42DB892}" name="Name of Airlines"/>
    <tableColumn id="4" xr3:uid="{C3B69B09-1BA1-2B4A-AAF9-CA90CC5BBD0F}" name="Origin Airport"/>
    <tableColumn id="5" xr3:uid="{CCE44C9D-737F-F44E-A290-5C14C91C4BD2}" name="Ticket Sold" dataDxfId="292"/>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0E6E06-19BC-4E48-9C9B-DEF03E31AFDE}" name="Table2" displayName="Table2" ref="AO3:AU53" totalsRowShown="0" headerRowDxfId="291">
  <autoFilter ref="AO3:AU53" xr:uid="{2F0E6E06-19BC-4E48-9C9B-DEF03E31AFDE}"/>
  <tableColumns count="7">
    <tableColumn id="1" xr3:uid="{1A29448F-4D88-BB43-8C8B-DF94C8543B55}" name="No" dataDxfId="290"/>
    <tableColumn id="2" xr3:uid="{341F131A-1DC4-8748-821C-425BBDFB3C3F}" name="Airlines Code" dataDxfId="289"/>
    <tableColumn id="3" xr3:uid="{87C864FB-E8A6-5B47-B7BE-F7AC40B6E36F}" name="Name of Airlines"/>
    <tableColumn id="4" xr3:uid="{692C21FE-D5E9-2244-99E7-2861D5F8E160}" name="Origin Airport"/>
    <tableColumn id="5" xr3:uid="{17D37CDF-AB19-3A4D-B519-71400B698EE2}" name="Stock on Quartal 1 2023" dataDxfId="288"/>
    <tableColumn id="6" xr3:uid="{AA8DB291-4C7B-7C4E-B6E1-39D3CB9FB765}" name="Ticket Sold" dataDxfId="287">
      <calculatedColumnFormula>SUMIF(Table2[Name of Airlines],Table2[[#This Row],[Name of Airlines]],Table1[])</calculatedColumnFormula>
    </tableColumn>
    <tableColumn id="7" xr3:uid="{86A64219-58AC-5E44-B205-79CDDC843825}" name="Ticket Stock" dataDxfId="286">
      <calculatedColumnFormula>Table2[[#This Row],[Stock on Quartal 1 2023]]-Table2[[#This Row],[Ticket Sold]]</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1A8017A-3FD1-CC4B-877C-0499CD13E859}" name="Table9" displayName="Table9" ref="B3:G49" totalsRowShown="0" headerRowDxfId="285">
  <autoFilter ref="B3:G49" xr:uid="{D1A8017A-3FD1-CC4B-877C-0499CD13E859}"/>
  <tableColumns count="6">
    <tableColumn id="1" xr3:uid="{C5021FFB-6F14-5046-9005-C07BF09BB633}" name="No" dataDxfId="284"/>
    <tableColumn id="2" xr3:uid="{E5160AFD-DC8B-CB43-B732-6AB03D0CE8A6}" name="Date, Month, Year" dataDxfId="283"/>
    <tableColumn id="3" xr3:uid="{3E4829CD-08EC-6949-BC60-D0693EBAC4EB}" name="Airlines Code" dataDxfId="282"/>
    <tableColumn id="4" xr3:uid="{D2D9BBB3-56E8-D347-BE48-8845440BBF12}" name="Airlines"/>
    <tableColumn id="5" xr3:uid="{683765C5-EC8F-C946-8165-B2451521C846}" name="Origin Airport"/>
    <tableColumn id="6" xr3:uid="{C80D6C56-BB04-EC44-A8DB-67E2AD3CC311}" name="Quantity" dataDxfId="28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A739EE3-FAA7-D745-A529-E838953BE8AC}" name="Table10" displayName="Table10" ref="J3:Q49" totalsRowShown="0" headerRowDxfId="280">
  <autoFilter ref="J3:Q49" xr:uid="{AA739EE3-FAA7-D745-A529-E838953BE8AC}"/>
  <tableColumns count="8">
    <tableColumn id="1" xr3:uid="{E85752BE-F96E-E945-B58B-721ECA0FD9AC}" name="No" dataDxfId="279"/>
    <tableColumn id="2" xr3:uid="{73AC07FC-CBCB-B64C-99D3-22BDEB35543A}" name="Date, Month, Year" dataDxfId="278"/>
    <tableColumn id="3" xr3:uid="{F2E11CD5-3330-6246-8555-0B010F1F9489}" name="Airlines Code" dataDxfId="277"/>
    <tableColumn id="4" xr3:uid="{EBA4A5CA-244C-3D4C-92FD-E85CFDE596F5}" name="Airlines"/>
    <tableColumn id="5" xr3:uid="{414154D2-E690-9D4C-9338-EA1D455BA167}" name="Origin Airport"/>
    <tableColumn id="6" xr3:uid="{EC8B0CF9-B1E0-9B4B-9B4A-8C1EC407D05A}" name="Stock on Quartal 1 2023" dataDxfId="276"/>
    <tableColumn id="7" xr3:uid="{1BAD27AB-4C63-7B44-9FD6-9F14F29D8FA4}" name="Ticket Sold" dataDxfId="275">
      <calculatedColumnFormula>SUMIF(Table10[Airlines],Table10[[#This Row],[Airlines]],Table1[])</calculatedColumnFormula>
    </tableColumn>
    <tableColumn id="8" xr3:uid="{7A5193E3-2113-F644-AC41-5C79F8A255A5}" name="Ending Stock" dataDxfId="274">
      <calculatedColumnFormula>Table10[[#This Row],[Stock on Quartal 1 2023]]-Table10[[#This Row],[Ticket Sold]]</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CD811C6-A01A-8F4A-AA31-FDF1FB5F8770}" name="Table11" displayName="Table11" ref="B5:F9" totalsRowShown="0" headerRowDxfId="60" dataDxfId="59" tableBorderDxfId="58">
  <tableColumns count="5">
    <tableColumn id="1" xr3:uid="{D1669F09-F3C6-0640-9A32-139FF3694E64}" name="Order Date" dataDxfId="57"/>
    <tableColumn id="2" xr3:uid="{B421D6D5-4EA3-F34A-95D4-413B2A59DEB7}" name="Gender" dataDxfId="56"/>
    <tableColumn id="3" xr3:uid="{BFA9A07F-68AF-4E4D-9057-7E5C2D9535CC}" name="Remarks" dataDxfId="55"/>
    <tableColumn id="4" xr3:uid="{8988F87A-373F-5245-A45E-4347D4654739}" name="Type of Flight" dataDxfId="54"/>
    <tableColumn id="5" xr3:uid="{0D31E37E-CDB3-8740-AC21-D4F978A2B9DC}" name="Origin Airport" dataDxfId="53"/>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4EFCC0B-D40C-B745-B723-A12056F0E600}" name="Table13" displayName="Table13" ref="AY3:BE183" totalsRowShown="0" headerRowDxfId="52">
  <autoFilter ref="AY3:BE183" xr:uid="{84EFCC0B-D40C-B745-B723-A12056F0E600}"/>
  <tableColumns count="7">
    <tableColumn id="1" xr3:uid="{F1D367C4-08D8-5D49-B975-ADE42A20A293}" name="Product ID" dataDxfId="51"/>
    <tableColumn id="2" xr3:uid="{A850967E-A999-7D43-A4E5-04785B610563}" name="Category" dataDxfId="50"/>
    <tableColumn id="3" xr3:uid="{792E632B-224D-9340-BDAF-FFBF932027D3}" name="Name of Product" dataDxfId="49"/>
    <tableColumn id="4" xr3:uid="{50B9CCD5-CE3A-4E45-BA1D-4906CB467B76}" name="Quantity " dataDxfId="48"/>
    <tableColumn id="5" xr3:uid="{6566AA7E-88E4-1D4A-829F-854F80649E7A}" name="Price item" dataDxfId="47">
      <calculatedColumnFormula>INDEX($S$40:$S$69,MATCH(BA4,$R$40:$R$69,0))</calculatedColumnFormula>
    </tableColumn>
    <tableColumn id="6" xr3:uid="{FC3FB33D-5AFA-FF47-8F70-C875D9DCCC44}" name="Tax" dataDxfId="46">
      <calculatedColumnFormula>IF(BB4&gt;8,3%,2%)</calculatedColumnFormula>
    </tableColumn>
    <tableColumn id="7" xr3:uid="{2F4D20FC-AB3C-7C4C-B61D-BB995EB501D4}" name="Total Payment" dataDxfId="45">
      <calculatedColumnFormula>(BB4*BC4)-(BC4*BD4)</calculatedColumnFormula>
    </tableColumn>
  </tableColumns>
  <tableStyleInfo name="TableStyleLight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6D5A9A7-FE96-7446-B5BE-EDB69D71CA26}" name="Table14" displayName="Table14" ref="BG3:BJ183" totalsRowShown="0" headerRowDxfId="44" dataDxfId="43">
  <autoFilter ref="BG3:BJ183" xr:uid="{66D5A9A7-FE96-7446-B5BE-EDB69D71CA26}"/>
  <tableColumns count="4">
    <tableColumn id="1" xr3:uid="{DDD3E25E-AE79-6448-9F72-9832FB98066F}" name="Category" dataDxfId="42"/>
    <tableColumn id="2" xr3:uid="{A851B2F7-0332-1E4B-A948-1B3F6D9E00D4}" name="Inventory" dataDxfId="41">
      <calculatedColumnFormula>IF(AZ4="Food Product",700,IF(AZ4="Non Food Product",900,IF(AZ4="General Merchandise Product",855,755)))</calculatedColumnFormula>
    </tableColumn>
    <tableColumn id="3" xr3:uid="{5F00DCA9-5F21-6848-B439-01ECE190FED0}" name="Update " dataDxfId="40">
      <calculatedColumnFormula>SUMIF(Table13[Category],Table14[[#This Row],[Category]],Table13[[Quantity ]])</calculatedColumnFormula>
    </tableColumn>
    <tableColumn id="4" xr3:uid="{19CB39A9-0CE2-C149-91CC-937A1311D7C4}" name="Total Product" dataDxfId="39">
      <calculatedColumnFormula>Table14[[#This Row],[Inventory]]-Table14[[#This Row],[Update ]]</calculatedColumnFormula>
    </tableColumn>
  </tableColumns>
  <tableStyleInfo name="TableStyleLight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A5435F6-B756-7F4C-983A-E8F8355F96A5}" name="Table1316" displayName="Table1316" ref="AY3:BE183" totalsRowShown="0" headerRowDxfId="38" dataDxfId="37">
  <autoFilter ref="AY3:BE183" xr:uid="{AA5435F6-B756-7F4C-983A-E8F8355F96A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B203CE3B-CA64-284B-BDE9-1479E1F88C3F}" name="Product ID" dataDxfId="36"/>
    <tableColumn id="2" xr3:uid="{48A8D69E-68AA-4F4E-846B-02F961A027AB}" name="Category" dataDxfId="35"/>
    <tableColumn id="3" xr3:uid="{ED966E1D-F76F-7D46-BE50-967B680CBC5D}" name="Name of Product" dataDxfId="34"/>
    <tableColumn id="4" xr3:uid="{18C33EA3-9334-6F4D-8C11-B93A6C3075D1}" name="Quantity " dataDxfId="33"/>
    <tableColumn id="5" xr3:uid="{C77DD03A-3DEF-E241-942E-9E3E737483FE}" name="Price item" dataDxfId="32">
      <calculatedColumnFormula>INDEX($S$40:$S$69,MATCH(BA4,$R$40:$R$69,0))</calculatedColumnFormula>
    </tableColumn>
    <tableColumn id="6" xr3:uid="{FCE04DB6-EE0B-BA44-BD8A-411288EB9C34}" name="Tax" dataDxfId="31">
      <calculatedColumnFormula>IF(BB4&gt;8,3%,2%)</calculatedColumnFormula>
    </tableColumn>
    <tableColumn id="7" xr3:uid="{F2B314BE-0B0C-7146-93DA-52E1C6D87F74}" name="Total Payment" dataDxfId="30">
      <calculatedColumnFormula>(BB4*BC4)-(BC4*BD4)</calculatedColumnFormula>
    </tableColumn>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55323A8-9FB5-8242-8294-7790094F55BC}" name="Table1417" displayName="Table1417" ref="BG3:BJ183" totalsRowShown="0" headerRowDxfId="29" dataDxfId="28">
  <autoFilter ref="BG3:BJ183" xr:uid="{E55323A8-9FB5-8242-8294-7790094F55BC}">
    <filterColumn colId="0" hiddenButton="1"/>
    <filterColumn colId="1" hiddenButton="1"/>
    <filterColumn colId="2" hiddenButton="1"/>
    <filterColumn colId="3" hiddenButton="1"/>
  </autoFilter>
  <tableColumns count="4">
    <tableColumn id="1" xr3:uid="{3473DC9D-D893-544F-B250-6F182CFF0ECD}" name="Category" dataDxfId="27"/>
    <tableColumn id="2" xr3:uid="{ACBA928E-334D-7848-A1D2-8CB25E40980B}" name="Inventory" dataDxfId="26">
      <calculatedColumnFormula>IF(AZ4="Food Product",700,IF(AZ4="Non Food Product",900,IF(AZ4="General Merchandise Product",855,755)))</calculatedColumnFormula>
    </tableColumn>
    <tableColumn id="3" xr3:uid="{C8790A31-AA0E-924B-B91A-1E14A28FAC2E}" name="Update " dataDxfId="25"/>
    <tableColumn id="4" xr3:uid="{619C88E0-054E-004E-BF18-AC4E6694AF6C}" name="Total Product" dataDxfId="2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18.xml.rels><?xml version="1.0" encoding="UTF-8" standalone="yes"?>
<Relationships xmlns="http://schemas.openxmlformats.org/package/2006/relationships"><Relationship Id="rId8" Type="http://schemas.openxmlformats.org/officeDocument/2006/relationships/pivotTable" Target="../pivotTables/pivotTable10.xml"/><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11" Type="http://schemas.openxmlformats.org/officeDocument/2006/relationships/pivotTable" Target="../pivotTables/pivotTable13.xml"/><Relationship Id="rId5" Type="http://schemas.openxmlformats.org/officeDocument/2006/relationships/pivotTable" Target="../pivotTables/pivotTable7.xml"/><Relationship Id="rId10" Type="http://schemas.openxmlformats.org/officeDocument/2006/relationships/pivotTable" Target="../pivotTables/pivotTable12.xml"/><Relationship Id="rId4" Type="http://schemas.openxmlformats.org/officeDocument/2006/relationships/pivotTable" Target="../pivotTables/pivotTable6.xml"/><Relationship Id="rId9" Type="http://schemas.openxmlformats.org/officeDocument/2006/relationships/pivotTable" Target="../pivotTables/pivotTable11.xml"/></Relationships>
</file>

<file path=xl/worksheets/_rels/sheet1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8" Type="http://schemas.openxmlformats.org/officeDocument/2006/relationships/pivotTable" Target="../pivotTables/pivotTable21.xml"/><Relationship Id="rId3" Type="http://schemas.openxmlformats.org/officeDocument/2006/relationships/pivotTable" Target="../pivotTables/pivotTable16.xml"/><Relationship Id="rId7" Type="http://schemas.openxmlformats.org/officeDocument/2006/relationships/pivotTable" Target="../pivotTables/pivotTable20.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11" Type="http://schemas.openxmlformats.org/officeDocument/2006/relationships/pivotTable" Target="../pivotTables/pivotTable24.xml"/><Relationship Id="rId5" Type="http://schemas.openxmlformats.org/officeDocument/2006/relationships/pivotTable" Target="../pivotTables/pivotTable18.xml"/><Relationship Id="rId10" Type="http://schemas.openxmlformats.org/officeDocument/2006/relationships/pivotTable" Target="../pivotTables/pivotTable23.xml"/><Relationship Id="rId4" Type="http://schemas.openxmlformats.org/officeDocument/2006/relationships/pivotTable" Target="../pivotTables/pivotTable17.xml"/><Relationship Id="rId9" Type="http://schemas.openxmlformats.org/officeDocument/2006/relationships/pivotTable" Target="../pivotTables/pivotTable22.xml"/></Relationships>
</file>

<file path=xl/worksheets/_rels/sheet21.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10.xml"/><Relationship Id="rId4" Type="http://schemas.openxmlformats.org/officeDocument/2006/relationships/table" Target="../tables/table5.xml"/></Relationships>
</file>

<file path=xl/worksheets/_rels/sheet2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3.vml"/><Relationship Id="rId1" Type="http://schemas.openxmlformats.org/officeDocument/2006/relationships/drawing" Target="../drawings/drawing11.xml"/></Relationships>
</file>

<file path=xl/worksheets/_rels/sheet26.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4.vml"/><Relationship Id="rId1" Type="http://schemas.openxmlformats.org/officeDocument/2006/relationships/drawing" Target="../drawings/drawing12.xml"/><Relationship Id="rId5" Type="http://schemas.openxmlformats.org/officeDocument/2006/relationships/table" Target="../tables/table7.xml"/><Relationship Id="rId4" Type="http://schemas.openxmlformats.org/officeDocument/2006/relationships/table" Target="../tables/table6.xml"/></Relationships>
</file>

<file path=xl/worksheets/_rels/sheet27.xml.rels><?xml version="1.0" encoding="UTF-8" standalone="yes"?>
<Relationships xmlns="http://schemas.openxmlformats.org/package/2006/relationships"><Relationship Id="rId3" Type="http://schemas.openxmlformats.org/officeDocument/2006/relationships/ctrlProp" Target="../ctrlProps/ctrlProp4.xml"/><Relationship Id="rId2" Type="http://schemas.openxmlformats.org/officeDocument/2006/relationships/vmlDrawing" Target="../drawings/vmlDrawing5.vml"/><Relationship Id="rId1" Type="http://schemas.openxmlformats.org/officeDocument/2006/relationships/drawing" Target="../drawings/drawing13.xml"/><Relationship Id="rId6" Type="http://schemas.openxmlformats.org/officeDocument/2006/relationships/comments" Target="../comments2.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D0BC-B50F-1543-AA57-7820A1FAD747}">
  <sheetPr codeName="Sheet1">
    <tabColor theme="8" tint="0.39997558519241921"/>
  </sheetPr>
  <dimension ref="A3:AD253"/>
  <sheetViews>
    <sheetView topLeftCell="A29" zoomScale="63" workbookViewId="0">
      <selection activeCell="L137" sqref="L137"/>
    </sheetView>
  </sheetViews>
  <sheetFormatPr defaultColWidth="10.6640625" defaultRowHeight="25" customHeight="1" x14ac:dyDescent="0.35"/>
  <cols>
    <col min="2" max="3" width="10.83203125" style="1"/>
    <col min="4" max="4" width="31.1640625" style="4" customWidth="1"/>
    <col min="5" max="5" width="11.6640625" style="1" bestFit="1" customWidth="1"/>
    <col min="6" max="7" width="10.83203125" style="1"/>
    <col min="8" max="8" width="15" style="1" customWidth="1"/>
    <col min="9" max="9" width="23.83203125" style="1" bestFit="1" customWidth="1"/>
    <col min="10" max="10" width="38.6640625" style="4" bestFit="1" customWidth="1"/>
    <col min="11" max="11" width="35.6640625" style="4" customWidth="1"/>
    <col min="12" max="12" width="8" style="60" customWidth="1"/>
    <col min="13" max="13" width="11.6640625" style="1" bestFit="1" customWidth="1"/>
    <col min="14" max="14" width="10.83203125" style="1"/>
    <col min="15" max="15" width="11.6640625" style="1" bestFit="1" customWidth="1"/>
    <col min="16" max="16" width="10.83203125" style="1"/>
    <col min="17" max="18" width="15" style="1" customWidth="1"/>
    <col min="19" max="19" width="9" style="1" customWidth="1"/>
    <col min="20" max="20" width="31" style="1" bestFit="1" customWidth="1"/>
    <col min="21" max="21" width="12.83203125" style="1" customWidth="1"/>
    <col min="22" max="22" width="13.1640625" style="1" customWidth="1"/>
    <col min="23" max="23" width="18.5" customWidth="1"/>
    <col min="24" max="24" width="16.6640625" bestFit="1" customWidth="1"/>
    <col min="25" max="25" width="18" customWidth="1"/>
    <col min="26" max="27" width="11.5" customWidth="1"/>
    <col min="28" max="28" width="16.33203125" bestFit="1" customWidth="1"/>
    <col min="29" max="29" width="25" bestFit="1" customWidth="1"/>
    <col min="30" max="30" width="28.33203125" bestFit="1" customWidth="1"/>
  </cols>
  <sheetData>
    <row r="3" spans="1:30" s="14" customFormat="1" ht="25" customHeight="1" x14ac:dyDescent="0.35">
      <c r="B3" s="252" t="s">
        <v>2</v>
      </c>
      <c r="C3" s="252"/>
      <c r="D3" s="252"/>
      <c r="E3" s="252"/>
      <c r="F3" s="252"/>
      <c r="G3" s="252"/>
      <c r="H3" s="252"/>
      <c r="I3" s="252"/>
      <c r="J3" s="252"/>
      <c r="K3" s="252"/>
      <c r="L3" s="252"/>
      <c r="M3" s="252"/>
      <c r="N3" s="252"/>
      <c r="O3" s="252"/>
      <c r="P3" s="252"/>
      <c r="Q3" s="252"/>
      <c r="R3" s="252"/>
      <c r="S3" s="252"/>
      <c r="T3" s="252"/>
      <c r="U3" s="252"/>
      <c r="V3" s="252"/>
      <c r="W3" s="252"/>
      <c r="X3" s="252"/>
      <c r="Y3" s="252"/>
    </row>
    <row r="4" spans="1:30" s="14" customFormat="1" ht="31" x14ac:dyDescent="0.35">
      <c r="A4" s="14">
        <v>1</v>
      </c>
      <c r="B4" s="13" t="s">
        <v>1</v>
      </c>
      <c r="C4" s="13" t="s">
        <v>0</v>
      </c>
      <c r="D4" s="13" t="s">
        <v>3</v>
      </c>
      <c r="E4" s="13" t="s">
        <v>4</v>
      </c>
      <c r="F4" s="13" t="s">
        <v>5</v>
      </c>
      <c r="G4" s="13" t="s">
        <v>419</v>
      </c>
      <c r="H4" s="13" t="s">
        <v>17</v>
      </c>
      <c r="I4" s="13" t="s">
        <v>7</v>
      </c>
      <c r="J4" s="85" t="s">
        <v>202</v>
      </c>
      <c r="K4" s="85" t="s">
        <v>343</v>
      </c>
      <c r="L4" s="59" t="s">
        <v>513</v>
      </c>
      <c r="M4" s="13" t="s">
        <v>9</v>
      </c>
      <c r="N4" s="13" t="s">
        <v>10</v>
      </c>
      <c r="O4" s="13" t="s">
        <v>11</v>
      </c>
      <c r="P4" s="13" t="s">
        <v>12</v>
      </c>
      <c r="Q4" s="13" t="s">
        <v>13</v>
      </c>
      <c r="R4" s="13" t="s">
        <v>342</v>
      </c>
      <c r="S4" s="13" t="s">
        <v>573</v>
      </c>
      <c r="T4" s="85" t="s">
        <v>14</v>
      </c>
      <c r="U4" s="13" t="s">
        <v>15</v>
      </c>
      <c r="V4" s="13" t="s">
        <v>577</v>
      </c>
      <c r="W4" s="15" t="s">
        <v>578</v>
      </c>
      <c r="X4" s="13" t="s">
        <v>579</v>
      </c>
      <c r="Y4" s="13" t="s">
        <v>580</v>
      </c>
      <c r="Z4" s="13"/>
      <c r="AA4" s="13"/>
    </row>
    <row r="5" spans="1:30" ht="25" customHeight="1" x14ac:dyDescent="0.35">
      <c r="A5">
        <v>2</v>
      </c>
      <c r="B5" s="1">
        <v>1201</v>
      </c>
      <c r="C5" s="2">
        <v>44958</v>
      </c>
      <c r="D5" s="4" t="s">
        <v>42</v>
      </c>
      <c r="E5" s="2">
        <v>23754</v>
      </c>
      <c r="F5" s="1" t="s">
        <v>162</v>
      </c>
      <c r="G5" s="1" t="s">
        <v>196</v>
      </c>
      <c r="H5" s="1" t="s">
        <v>198</v>
      </c>
      <c r="I5" s="1" t="str">
        <f>IF(H5="Domestic","Soekarno-Hatta Airport","Singapore Changi Airport")</f>
        <v>Soekarno-Hatta Airport</v>
      </c>
      <c r="J5" s="12" t="str">
        <f>INDEX('ADD1'!$B$5:$B$27,MATCH(Master!R5,'ADD1'!$C$5:$C$27,0))</f>
        <v>Kualanamu, Medan</v>
      </c>
      <c r="L5" s="1">
        <v>101</v>
      </c>
      <c r="M5" s="1" t="str">
        <f t="shared" ref="M5:M36" si="0">VLOOKUP(L5,Departure,2,0)</f>
        <v>Sunday</v>
      </c>
      <c r="N5" s="1">
        <f t="shared" ref="N5:N36" si="1">VLOOKUP(L5,Departure,3,0)</f>
        <v>9</v>
      </c>
      <c r="O5" s="1" t="str">
        <f t="shared" ref="O5:O36" si="2">HLOOKUP(L5,Arrival,2,0)</f>
        <v>Sunday</v>
      </c>
      <c r="P5" s="1">
        <f t="shared" ref="P5:P36" si="3">HLOOKUP(L5,Arrival,3,0)</f>
        <v>11</v>
      </c>
      <c r="Q5" s="1" t="s">
        <v>339</v>
      </c>
      <c r="R5" s="1" t="str">
        <f>LEFT(Q5,3)</f>
        <v>KNO</v>
      </c>
      <c r="S5" s="1" t="s">
        <v>324</v>
      </c>
      <c r="T5" s="11" t="str">
        <f>INDEX('ADD1'!$B$32:$B$53,MATCH(Master!S5,'ADD1'!$C$32:$C$53,0))</f>
        <v>Super Air Jet</v>
      </c>
      <c r="U5" s="74">
        <f>IF(I5="Soekarno-Hatta Airport",100,50)</f>
        <v>100</v>
      </c>
      <c r="V5" s="77">
        <f>VLOOKUP(R5,Price,3,0)</f>
        <v>147.17786444918684</v>
      </c>
      <c r="W5" s="78">
        <f t="shared" ref="W5:W36" si="4">VLOOKUP(R5,Price,2,0)</f>
        <v>2200000</v>
      </c>
      <c r="Y5" s="78">
        <f>W5+(W5*10%)</f>
        <v>2420000</v>
      </c>
      <c r="AB5" t="s">
        <v>164</v>
      </c>
      <c r="AC5" s="55" t="s">
        <v>413</v>
      </c>
    </row>
    <row r="6" spans="1:30" ht="25" customHeight="1" x14ac:dyDescent="0.35">
      <c r="A6" s="14">
        <v>3</v>
      </c>
      <c r="B6" s="1">
        <v>1202</v>
      </c>
      <c r="C6" s="2">
        <v>44958</v>
      </c>
      <c r="D6" s="4" t="s">
        <v>43</v>
      </c>
      <c r="E6" s="2">
        <v>36229</v>
      </c>
      <c r="F6" s="1" t="s">
        <v>163</v>
      </c>
      <c r="G6" s="1" t="s">
        <v>197</v>
      </c>
      <c r="H6" s="1" t="s">
        <v>199</v>
      </c>
      <c r="I6" s="1" t="str">
        <f t="shared" ref="I6:I69" si="5">IF(H6="Domestic","Soekarno-Hatta Airport","Singapore Changi Airport")</f>
        <v>Singapore Changi Airport</v>
      </c>
      <c r="K6" s="12" t="str">
        <f>INDEX('ADD1'!$D$5:$D$27,MATCH(Master!R6,'ADD1'!$E$5:$E$27,0))</f>
        <v>Narita Tokyo International Airport</v>
      </c>
      <c r="L6" s="1">
        <v>101</v>
      </c>
      <c r="M6" s="1" t="str">
        <f t="shared" si="0"/>
        <v>Sunday</v>
      </c>
      <c r="N6" s="1">
        <f t="shared" si="1"/>
        <v>9</v>
      </c>
      <c r="O6" s="1" t="str">
        <f t="shared" si="2"/>
        <v>Sunday</v>
      </c>
      <c r="P6" s="1">
        <f t="shared" si="3"/>
        <v>11</v>
      </c>
      <c r="Q6" s="1" t="s">
        <v>340</v>
      </c>
      <c r="R6" s="1" t="str">
        <f t="shared" ref="R6:R69" si="6">LEFT(Q6,3)</f>
        <v>NRT</v>
      </c>
      <c r="S6" s="1" t="s">
        <v>328</v>
      </c>
      <c r="T6" s="11" t="str">
        <f>INDEX('ADD1'!$B$32:$B$53,MATCH(Master!S6,'ADD1'!$C$32:$C$53,0))</f>
        <v>Singapore Airlines</v>
      </c>
      <c r="U6" s="74">
        <f>IF(I6="Soekarno-Hatta Airport",100,50)</f>
        <v>50</v>
      </c>
      <c r="V6" s="77">
        <f t="shared" ref="V6:V36" si="7">VLOOKUP(R6,Price,3,0)</f>
        <v>551.91699168445064</v>
      </c>
      <c r="W6" s="78">
        <f t="shared" si="4"/>
        <v>8250000</v>
      </c>
      <c r="X6" s="78">
        <f>W6*50%</f>
        <v>4125000</v>
      </c>
      <c r="Y6" s="78">
        <f t="shared" ref="Y6:Y69" si="8">W6+(W6*10%)</f>
        <v>9075000</v>
      </c>
      <c r="Z6" s="79"/>
      <c r="AA6" s="79"/>
      <c r="AB6" t="s">
        <v>13</v>
      </c>
      <c r="AC6" s="55" t="s">
        <v>204</v>
      </c>
      <c r="AD6" t="s">
        <v>203</v>
      </c>
    </row>
    <row r="7" spans="1:30" ht="25" customHeight="1" x14ac:dyDescent="0.35">
      <c r="A7">
        <v>4</v>
      </c>
      <c r="B7" s="1">
        <v>1203</v>
      </c>
      <c r="C7" s="2">
        <v>44958</v>
      </c>
      <c r="D7" s="4" t="s">
        <v>44</v>
      </c>
      <c r="E7" s="2">
        <v>29221</v>
      </c>
      <c r="F7" s="1" t="s">
        <v>163</v>
      </c>
      <c r="G7" s="1" t="s">
        <v>196</v>
      </c>
      <c r="H7" s="1" t="s">
        <v>199</v>
      </c>
      <c r="I7" s="1" t="str">
        <f t="shared" si="5"/>
        <v>Singapore Changi Airport</v>
      </c>
      <c r="K7" s="4" t="str">
        <f>INDEX('ADD1'!$D$5:$D$27,MATCH(Master!R7,'ADD1'!$E$5:$E$27,0))</f>
        <v>Istanbul Turkey International Airport</v>
      </c>
      <c r="L7" s="1">
        <v>103</v>
      </c>
      <c r="M7" s="1" t="str">
        <f t="shared" si="0"/>
        <v>Tuesday</v>
      </c>
      <c r="N7" s="1">
        <f t="shared" si="1"/>
        <v>3</v>
      </c>
      <c r="O7" s="1" t="str">
        <f t="shared" si="2"/>
        <v>Tuesday</v>
      </c>
      <c r="P7" s="1">
        <f t="shared" si="3"/>
        <v>5</v>
      </c>
      <c r="Q7" s="1" t="s">
        <v>341</v>
      </c>
      <c r="R7" s="1" t="str">
        <f t="shared" si="6"/>
        <v>IST</v>
      </c>
      <c r="S7" s="1" t="s">
        <v>329</v>
      </c>
      <c r="T7" s="11" t="str">
        <f>INDEX('ADD1'!$B$32:$B$53,MATCH(Master!S7,'ADD1'!$C$32:$C$53,0))</f>
        <v xml:space="preserve">Emirates </v>
      </c>
      <c r="U7" s="74">
        <f t="shared" ref="U7:U70" si="9">IF(I7="Soekarno-Hatta Airport",100,50)</f>
        <v>50</v>
      </c>
      <c r="V7" s="77">
        <f t="shared" si="7"/>
        <v>772.68378835823091</v>
      </c>
      <c r="W7" s="78">
        <f t="shared" si="4"/>
        <v>11550000</v>
      </c>
      <c r="X7" s="78">
        <f t="shared" ref="X7:X9" si="10">W7*50%</f>
        <v>5775000</v>
      </c>
      <c r="Y7" s="78">
        <f t="shared" si="8"/>
        <v>12705000</v>
      </c>
      <c r="AB7" t="s">
        <v>15</v>
      </c>
      <c r="AC7" t="s">
        <v>414</v>
      </c>
    </row>
    <row r="8" spans="1:30" ht="25" customHeight="1" x14ac:dyDescent="0.35">
      <c r="A8" s="14">
        <v>5</v>
      </c>
      <c r="B8" s="1">
        <v>1204</v>
      </c>
      <c r="C8" s="2">
        <v>44958</v>
      </c>
      <c r="D8" s="4" t="s">
        <v>45</v>
      </c>
      <c r="E8" s="2">
        <v>31089</v>
      </c>
      <c r="F8" s="1" t="s">
        <v>163</v>
      </c>
      <c r="G8" s="1" t="s">
        <v>196</v>
      </c>
      <c r="H8" s="1" t="s">
        <v>199</v>
      </c>
      <c r="I8" s="1" t="str">
        <f t="shared" si="5"/>
        <v>Singapore Changi Airport</v>
      </c>
      <c r="K8" s="4" t="str">
        <f>INDEX('ADD1'!$D$5:$D$27,MATCH(Master!R8,'ADD1'!$E$5:$E$27,0))</f>
        <v>Schiphol International Airport</v>
      </c>
      <c r="L8" s="1">
        <v>102</v>
      </c>
      <c r="M8" s="1" t="str">
        <f t="shared" si="0"/>
        <v>Monday</v>
      </c>
      <c r="N8" s="1">
        <f t="shared" si="1"/>
        <v>1</v>
      </c>
      <c r="O8" s="1" t="str">
        <f t="shared" si="2"/>
        <v>Monday</v>
      </c>
      <c r="P8" s="1">
        <f t="shared" si="3"/>
        <v>3</v>
      </c>
      <c r="Q8" s="6" t="s">
        <v>351</v>
      </c>
      <c r="R8" s="1" t="str">
        <f t="shared" si="6"/>
        <v>AMS</v>
      </c>
      <c r="S8" s="1" t="s">
        <v>328</v>
      </c>
      <c r="T8" s="11" t="str">
        <f>INDEX('ADD1'!$B$32:$B$53,MATCH(Master!S8,'ADD1'!$C$32:$C$53,0))</f>
        <v>Singapore Airlines</v>
      </c>
      <c r="U8" s="74">
        <f t="shared" si="9"/>
        <v>50</v>
      </c>
      <c r="V8" s="77">
        <f t="shared" si="7"/>
        <v>839.91731279979126</v>
      </c>
      <c r="W8" s="78">
        <f t="shared" si="4"/>
        <v>12555000</v>
      </c>
      <c r="X8" s="78">
        <f t="shared" si="10"/>
        <v>6277500</v>
      </c>
      <c r="Y8" s="78">
        <f t="shared" si="8"/>
        <v>13810500</v>
      </c>
      <c r="AB8" t="s">
        <v>412</v>
      </c>
      <c r="AC8" t="s">
        <v>415</v>
      </c>
      <c r="AD8" t="s">
        <v>416</v>
      </c>
    </row>
    <row r="9" spans="1:30" ht="25" customHeight="1" x14ac:dyDescent="0.35">
      <c r="A9">
        <v>6</v>
      </c>
      <c r="B9" s="1">
        <v>1205</v>
      </c>
      <c r="C9" s="2">
        <v>44986</v>
      </c>
      <c r="D9" s="4" t="s">
        <v>47</v>
      </c>
      <c r="E9" s="2">
        <v>31113</v>
      </c>
      <c r="F9" s="1" t="s">
        <v>162</v>
      </c>
      <c r="G9" s="1" t="s">
        <v>197</v>
      </c>
      <c r="H9" s="1" t="s">
        <v>199</v>
      </c>
      <c r="I9" s="1" t="str">
        <f t="shared" si="5"/>
        <v>Singapore Changi Airport</v>
      </c>
      <c r="K9" s="4" t="str">
        <f>INDEX('ADD1'!$D$5:$D$27,MATCH(Master!R9,'ADD1'!$E$5:$E$27,0))</f>
        <v>Osaka Japan International Airport</v>
      </c>
      <c r="L9" s="1">
        <v>102</v>
      </c>
      <c r="M9" s="1" t="str">
        <f t="shared" si="0"/>
        <v>Monday</v>
      </c>
      <c r="N9" s="1">
        <f t="shared" si="1"/>
        <v>1</v>
      </c>
      <c r="O9" s="1" t="str">
        <f t="shared" si="2"/>
        <v>Monday</v>
      </c>
      <c r="P9" s="1">
        <f t="shared" si="3"/>
        <v>3</v>
      </c>
      <c r="Q9" s="6" t="s">
        <v>352</v>
      </c>
      <c r="R9" s="1" t="str">
        <f t="shared" si="6"/>
        <v>KIX</v>
      </c>
      <c r="S9" s="1" t="s">
        <v>333</v>
      </c>
      <c r="T9" s="11" t="str">
        <f>INDEX('ADD1'!$B$32:$B$53,MATCH(Master!S9,'ADD1'!$C$32:$C$53,0))</f>
        <v xml:space="preserve">Japan Airlines </v>
      </c>
      <c r="U9" s="74">
        <f t="shared" si="9"/>
        <v>50</v>
      </c>
      <c r="V9" s="77">
        <f t="shared" si="7"/>
        <v>919.86165280741784</v>
      </c>
      <c r="W9" s="78">
        <f t="shared" si="4"/>
        <v>13750000</v>
      </c>
      <c r="X9" s="78">
        <f t="shared" si="10"/>
        <v>6875000</v>
      </c>
      <c r="Y9" s="78">
        <f t="shared" si="8"/>
        <v>15125000</v>
      </c>
      <c r="AB9" t="s">
        <v>417</v>
      </c>
      <c r="AC9" t="s">
        <v>418</v>
      </c>
    </row>
    <row r="10" spans="1:30" ht="25" customHeight="1" x14ac:dyDescent="0.35">
      <c r="A10" s="14">
        <v>7</v>
      </c>
      <c r="B10" s="1">
        <v>1206</v>
      </c>
      <c r="C10" s="2">
        <v>44986</v>
      </c>
      <c r="D10" s="4" t="s">
        <v>46</v>
      </c>
      <c r="E10" s="2">
        <v>23748</v>
      </c>
      <c r="F10" s="1" t="s">
        <v>163</v>
      </c>
      <c r="G10" s="1" t="s">
        <v>196</v>
      </c>
      <c r="H10" s="1" t="s">
        <v>198</v>
      </c>
      <c r="I10" s="1" t="str">
        <f t="shared" si="5"/>
        <v>Soekarno-Hatta Airport</v>
      </c>
      <c r="J10" s="4" t="str">
        <f>INDEX('ADD1'!$B$5:$B$27,MATCH(Master!R10,'ADD1'!$C$5:$C$27,0))</f>
        <v>Ngurah Rai, Denpasar Bali</v>
      </c>
      <c r="L10" s="1">
        <v>107</v>
      </c>
      <c r="M10" s="1" t="str">
        <f t="shared" si="0"/>
        <v>Saturday</v>
      </c>
      <c r="N10" s="1">
        <f t="shared" si="1"/>
        <v>3</v>
      </c>
      <c r="O10" s="1" t="str">
        <f t="shared" si="2"/>
        <v>Saturday</v>
      </c>
      <c r="P10" s="1">
        <f t="shared" si="3"/>
        <v>5</v>
      </c>
      <c r="Q10" s="1" t="s">
        <v>344</v>
      </c>
      <c r="R10" s="1" t="str">
        <f t="shared" si="6"/>
        <v>DPS</v>
      </c>
      <c r="S10" s="1" t="s">
        <v>320</v>
      </c>
      <c r="T10" s="11" t="str">
        <f>INDEX('ADD1'!$B$32:$B$53,MATCH(Master!S10,'ADD1'!$C$32:$C$53,0))</f>
        <v>Sriwijaya Air</v>
      </c>
      <c r="U10" s="74">
        <f t="shared" si="9"/>
        <v>100</v>
      </c>
      <c r="V10" s="77">
        <f t="shared" si="7"/>
        <v>130.45310712541561</v>
      </c>
      <c r="W10" s="78">
        <f t="shared" si="4"/>
        <v>1950000</v>
      </c>
      <c r="Y10" s="78">
        <f t="shared" si="8"/>
        <v>2145000</v>
      </c>
    </row>
    <row r="11" spans="1:30" ht="25" customHeight="1" x14ac:dyDescent="0.35">
      <c r="A11">
        <v>8</v>
      </c>
      <c r="B11" s="1">
        <v>1207</v>
      </c>
      <c r="C11" s="2">
        <v>44986</v>
      </c>
      <c r="D11" s="4" t="s">
        <v>48</v>
      </c>
      <c r="E11" s="2">
        <v>24511</v>
      </c>
      <c r="F11" s="1" t="s">
        <v>162</v>
      </c>
      <c r="G11" s="1" t="s">
        <v>196</v>
      </c>
      <c r="H11" s="1" t="s">
        <v>198</v>
      </c>
      <c r="I11" s="1" t="str">
        <f t="shared" si="5"/>
        <v>Soekarno-Hatta Airport</v>
      </c>
      <c r="J11" s="4" t="str">
        <f>INDEX('ADD1'!$B$5:$B$27,MATCH(Master!R11,'ADD1'!$C$5:$C$27,0))</f>
        <v xml:space="preserve">Adisutjipto, DIY </v>
      </c>
      <c r="L11" s="1">
        <v>103</v>
      </c>
      <c r="M11" s="1" t="str">
        <f t="shared" si="0"/>
        <v>Tuesday</v>
      </c>
      <c r="N11" s="1">
        <f t="shared" si="1"/>
        <v>3</v>
      </c>
      <c r="O11" s="1" t="str">
        <f t="shared" si="2"/>
        <v>Tuesday</v>
      </c>
      <c r="P11" s="1">
        <f t="shared" si="3"/>
        <v>5</v>
      </c>
      <c r="Q11" s="1" t="s">
        <v>345</v>
      </c>
      <c r="R11" s="1" t="str">
        <f t="shared" si="6"/>
        <v>JOG</v>
      </c>
      <c r="S11" s="1" t="s">
        <v>324</v>
      </c>
      <c r="T11" s="11" t="str">
        <f>INDEX('ADD1'!$B$32:$B$53,MATCH(Master!S11,'ADD1'!$C$32:$C$53,0))</f>
        <v>Super Air Jet</v>
      </c>
      <c r="U11" s="74">
        <f t="shared" si="9"/>
        <v>100</v>
      </c>
      <c r="V11" s="77">
        <f t="shared" si="7"/>
        <v>133.79805859016986</v>
      </c>
      <c r="W11" s="78">
        <f t="shared" si="4"/>
        <v>2000000</v>
      </c>
      <c r="Y11" s="78">
        <f t="shared" si="8"/>
        <v>2200000</v>
      </c>
    </row>
    <row r="12" spans="1:30" ht="25" customHeight="1" x14ac:dyDescent="0.35">
      <c r="A12" s="14">
        <v>9</v>
      </c>
      <c r="B12" s="1">
        <v>1208</v>
      </c>
      <c r="C12" s="2">
        <v>45017</v>
      </c>
      <c r="D12" s="4" t="s">
        <v>49</v>
      </c>
      <c r="E12" s="1" t="s">
        <v>165</v>
      </c>
      <c r="F12" s="1" t="s">
        <v>162</v>
      </c>
      <c r="G12" s="1" t="s">
        <v>197</v>
      </c>
      <c r="H12" s="1" t="s">
        <v>199</v>
      </c>
      <c r="I12" s="1" t="str">
        <f t="shared" si="5"/>
        <v>Singapore Changi Airport</v>
      </c>
      <c r="K12" s="4" t="str">
        <f>INDEX('ADD1'!$D$5:$D$27,MATCH(Master!R12,'ADD1'!$E$5:$E$27,0))</f>
        <v>Seri BegawanInternational Airport</v>
      </c>
      <c r="L12" s="1">
        <v>102</v>
      </c>
      <c r="M12" s="1" t="str">
        <f t="shared" si="0"/>
        <v>Monday</v>
      </c>
      <c r="N12" s="1">
        <f t="shared" si="1"/>
        <v>1</v>
      </c>
      <c r="O12" s="1" t="str">
        <f t="shared" si="2"/>
        <v>Monday</v>
      </c>
      <c r="P12" s="1">
        <f t="shared" si="3"/>
        <v>3</v>
      </c>
      <c r="Q12" s="6" t="s">
        <v>409</v>
      </c>
      <c r="R12" s="1" t="str">
        <f t="shared" si="6"/>
        <v>BWN</v>
      </c>
      <c r="S12" s="1" t="s">
        <v>330</v>
      </c>
      <c r="T12" s="11" t="str">
        <f>INDEX('ADD1'!$B$32:$B$53,MATCH(Master!S12,'ADD1'!$C$32:$C$53,0))</f>
        <v>Qatar Airways</v>
      </c>
      <c r="U12" s="74">
        <f t="shared" si="9"/>
        <v>50</v>
      </c>
      <c r="V12" s="77">
        <f t="shared" si="7"/>
        <v>582.02155486723893</v>
      </c>
      <c r="W12" s="78">
        <f t="shared" si="4"/>
        <v>8700000</v>
      </c>
      <c r="X12" s="78">
        <f>W12*50%</f>
        <v>4350000</v>
      </c>
      <c r="Y12" s="78">
        <f t="shared" si="8"/>
        <v>9570000</v>
      </c>
    </row>
    <row r="13" spans="1:30" ht="25" customHeight="1" x14ac:dyDescent="0.35">
      <c r="A13">
        <v>10</v>
      </c>
      <c r="B13" s="1">
        <v>1209</v>
      </c>
      <c r="C13" s="2">
        <v>45017</v>
      </c>
      <c r="D13" s="4" t="s">
        <v>50</v>
      </c>
      <c r="E13" s="1" t="s">
        <v>166</v>
      </c>
      <c r="F13" s="1" t="s">
        <v>163</v>
      </c>
      <c r="G13" s="1" t="s">
        <v>197</v>
      </c>
      <c r="H13" s="1" t="s">
        <v>198</v>
      </c>
      <c r="I13" s="1" t="str">
        <f t="shared" si="5"/>
        <v>Soekarno-Hatta Airport</v>
      </c>
      <c r="J13" s="4" t="str">
        <f>INDEX('ADD1'!$B$5:$B$27,MATCH(Master!R13,'ADD1'!$C$5:$C$27,0))</f>
        <v>Pattimura, Ambon</v>
      </c>
      <c r="L13" s="1">
        <v>103</v>
      </c>
      <c r="M13" s="1" t="str">
        <f t="shared" si="0"/>
        <v>Tuesday</v>
      </c>
      <c r="N13" s="1">
        <f t="shared" si="1"/>
        <v>3</v>
      </c>
      <c r="O13" s="1" t="str">
        <f t="shared" si="2"/>
        <v>Tuesday</v>
      </c>
      <c r="P13" s="1">
        <f t="shared" si="3"/>
        <v>5</v>
      </c>
      <c r="Q13" s="6" t="s">
        <v>411</v>
      </c>
      <c r="R13" s="1" t="str">
        <f t="shared" si="6"/>
        <v>AMQ</v>
      </c>
      <c r="S13" s="1" t="s">
        <v>317</v>
      </c>
      <c r="T13" s="11" t="str">
        <f>INDEX('ADD1'!$B$32:$B$53,MATCH(Master!S13,'ADD1'!$C$32:$C$53,0))</f>
        <v xml:space="preserve">Airfast </v>
      </c>
      <c r="U13" s="74">
        <f t="shared" si="9"/>
        <v>100</v>
      </c>
      <c r="V13" s="77">
        <f t="shared" si="7"/>
        <v>250.87135985656849</v>
      </c>
      <c r="W13" s="78">
        <f t="shared" si="4"/>
        <v>3750000</v>
      </c>
      <c r="Y13" s="78">
        <f t="shared" si="8"/>
        <v>4125000</v>
      </c>
    </row>
    <row r="14" spans="1:30" ht="25" customHeight="1" x14ac:dyDescent="0.35">
      <c r="A14" s="14">
        <v>11</v>
      </c>
      <c r="B14" s="1">
        <v>1210</v>
      </c>
      <c r="C14" s="2">
        <v>45017</v>
      </c>
      <c r="D14" s="4" t="s">
        <v>51</v>
      </c>
      <c r="E14" s="2">
        <v>35769</v>
      </c>
      <c r="F14" s="1" t="s">
        <v>163</v>
      </c>
      <c r="G14" s="1" t="s">
        <v>197</v>
      </c>
      <c r="H14" s="1" t="s">
        <v>198</v>
      </c>
      <c r="I14" s="1" t="str">
        <f t="shared" si="5"/>
        <v>Soekarno-Hatta Airport</v>
      </c>
      <c r="J14" s="4" t="str">
        <f>INDEX('ADD1'!$B$5:$B$27,MATCH(Master!R14,'ADD1'!$C$5:$C$27,0))</f>
        <v>Juanda, Surabaya</v>
      </c>
      <c r="L14" s="1">
        <v>107</v>
      </c>
      <c r="M14" s="1" t="str">
        <f t="shared" si="0"/>
        <v>Saturday</v>
      </c>
      <c r="N14" s="1">
        <f t="shared" si="1"/>
        <v>3</v>
      </c>
      <c r="O14" s="1" t="str">
        <f t="shared" si="2"/>
        <v>Saturday</v>
      </c>
      <c r="P14" s="1">
        <f t="shared" si="3"/>
        <v>5</v>
      </c>
      <c r="Q14" s="6" t="s">
        <v>347</v>
      </c>
      <c r="R14" s="1" t="str">
        <f t="shared" si="6"/>
        <v>SUB</v>
      </c>
      <c r="S14" s="1" t="s">
        <v>317</v>
      </c>
      <c r="T14" s="11" t="str">
        <f>INDEX('ADD1'!$B$32:$B$53,MATCH(Master!S14,'ADD1'!$C$32:$C$53,0))</f>
        <v xml:space="preserve">Airfast </v>
      </c>
      <c r="U14" s="74">
        <f t="shared" si="9"/>
        <v>100</v>
      </c>
      <c r="V14" s="77">
        <f t="shared" si="7"/>
        <v>130.45310712541561</v>
      </c>
      <c r="W14" s="78">
        <f t="shared" si="4"/>
        <v>1950000</v>
      </c>
      <c r="Y14" s="78">
        <f t="shared" si="8"/>
        <v>2145000</v>
      </c>
    </row>
    <row r="15" spans="1:30" ht="25" customHeight="1" x14ac:dyDescent="0.35">
      <c r="A15">
        <v>12</v>
      </c>
      <c r="B15" s="1">
        <v>1211</v>
      </c>
      <c r="C15" s="2">
        <v>45017</v>
      </c>
      <c r="D15" s="4" t="s">
        <v>52</v>
      </c>
      <c r="E15" s="1" t="s">
        <v>167</v>
      </c>
      <c r="F15" s="1" t="s">
        <v>162</v>
      </c>
      <c r="G15" s="1" t="s">
        <v>196</v>
      </c>
      <c r="H15" s="1" t="s">
        <v>198</v>
      </c>
      <c r="I15" s="1" t="str">
        <f t="shared" si="5"/>
        <v>Soekarno-Hatta Airport</v>
      </c>
      <c r="J15" s="4" t="str">
        <f>INDEX('ADD1'!$B$5:$B$27,MATCH(Master!R15,'ADD1'!$C$5:$C$27,0))</f>
        <v>Sultan Mahmud Badaruddin II, Palembang</v>
      </c>
      <c r="L15" s="1">
        <v>102</v>
      </c>
      <c r="M15" s="1" t="str">
        <f t="shared" si="0"/>
        <v>Monday</v>
      </c>
      <c r="N15" s="1">
        <f t="shared" si="1"/>
        <v>1</v>
      </c>
      <c r="O15" s="1" t="str">
        <f t="shared" si="2"/>
        <v>Monday</v>
      </c>
      <c r="P15" s="1">
        <f t="shared" si="3"/>
        <v>3</v>
      </c>
      <c r="Q15" s="6" t="s">
        <v>348</v>
      </c>
      <c r="R15" s="1" t="str">
        <f t="shared" si="6"/>
        <v>PLM</v>
      </c>
      <c r="S15" s="1" t="s">
        <v>321</v>
      </c>
      <c r="T15" s="11" t="str">
        <f>INDEX('ADD1'!$B$32:$B$53,MATCH(Master!S15,'ADD1'!$C$32:$C$53,0))</f>
        <v>Garuda Indonesia</v>
      </c>
      <c r="U15" s="74">
        <f t="shared" si="9"/>
        <v>100</v>
      </c>
      <c r="V15" s="77">
        <f t="shared" si="7"/>
        <v>147.17786444918684</v>
      </c>
      <c r="W15" s="78">
        <f t="shared" si="4"/>
        <v>2200000</v>
      </c>
      <c r="Y15" s="78">
        <f t="shared" si="8"/>
        <v>2420000</v>
      </c>
    </row>
    <row r="16" spans="1:30" ht="25" customHeight="1" x14ac:dyDescent="0.35">
      <c r="A16" s="14">
        <v>13</v>
      </c>
      <c r="B16" s="1">
        <v>1212</v>
      </c>
      <c r="C16" s="2">
        <v>45017</v>
      </c>
      <c r="D16" s="4" t="s">
        <v>53</v>
      </c>
      <c r="E16" s="2">
        <v>32237</v>
      </c>
      <c r="F16" s="1" t="s">
        <v>162</v>
      </c>
      <c r="G16" s="1" t="s">
        <v>196</v>
      </c>
      <c r="H16" s="1" t="s">
        <v>199</v>
      </c>
      <c r="I16" s="1" t="str">
        <f t="shared" si="5"/>
        <v>Singapore Changi Airport</v>
      </c>
      <c r="K16" s="4" t="str">
        <f>INDEX('ADD1'!$D$5:$D$27,MATCH(Master!R16,'ADD1'!$E$5:$E$27,0))</f>
        <v>Baiyun International Airport</v>
      </c>
      <c r="L16" s="1">
        <v>105</v>
      </c>
      <c r="M16" s="1" t="str">
        <f t="shared" si="0"/>
        <v>Thursday</v>
      </c>
      <c r="N16" s="1">
        <f t="shared" si="1"/>
        <v>9</v>
      </c>
      <c r="O16" s="1" t="str">
        <f t="shared" si="2"/>
        <v>Thursday</v>
      </c>
      <c r="P16" s="1">
        <f t="shared" si="3"/>
        <v>11</v>
      </c>
      <c r="Q16" s="6" t="s">
        <v>401</v>
      </c>
      <c r="R16" s="1" t="str">
        <f t="shared" si="6"/>
        <v>CAN</v>
      </c>
      <c r="S16" s="1" t="s">
        <v>335</v>
      </c>
      <c r="T16" s="11" t="str">
        <f>INDEX('ADD1'!$B$32:$B$53,MATCH(Master!S16,'ADD1'!$C$32:$C$53,0))</f>
        <v>Air France Airlines</v>
      </c>
      <c r="U16" s="74">
        <f t="shared" si="9"/>
        <v>50</v>
      </c>
      <c r="V16" s="77">
        <f t="shared" si="7"/>
        <v>658.95543855658661</v>
      </c>
      <c r="W16" s="78">
        <f t="shared" si="4"/>
        <v>9850000</v>
      </c>
      <c r="X16" s="78">
        <f>W16*50%</f>
        <v>4925000</v>
      </c>
      <c r="Y16" s="78">
        <f t="shared" si="8"/>
        <v>10835000</v>
      </c>
    </row>
    <row r="17" spans="1:25" ht="25" customHeight="1" x14ac:dyDescent="0.35">
      <c r="A17">
        <v>14</v>
      </c>
      <c r="B17" s="1">
        <v>1213</v>
      </c>
      <c r="C17" s="2">
        <v>45017</v>
      </c>
      <c r="D17" s="4" t="s">
        <v>54</v>
      </c>
      <c r="E17" s="1" t="s">
        <v>168</v>
      </c>
      <c r="F17" s="1" t="s">
        <v>163</v>
      </c>
      <c r="G17" s="1" t="s">
        <v>196</v>
      </c>
      <c r="H17" s="1" t="s">
        <v>199</v>
      </c>
      <c r="I17" s="1" t="str">
        <f t="shared" si="5"/>
        <v>Singapore Changi Airport</v>
      </c>
      <c r="K17" s="4" t="str">
        <f>INDEX('ADD1'!$D$5:$D$27,MATCH(Master!R17,'ADD1'!$E$5:$E$27,0))</f>
        <v>Zurich International Airport</v>
      </c>
      <c r="L17" s="1">
        <v>102</v>
      </c>
      <c r="M17" s="1" t="str">
        <f t="shared" si="0"/>
        <v>Monday</v>
      </c>
      <c r="N17" s="1">
        <f t="shared" si="1"/>
        <v>1</v>
      </c>
      <c r="O17" s="1" t="str">
        <f t="shared" si="2"/>
        <v>Monday</v>
      </c>
      <c r="P17" s="1">
        <f t="shared" si="3"/>
        <v>3</v>
      </c>
      <c r="Q17" s="6" t="s">
        <v>402</v>
      </c>
      <c r="R17" s="1" t="str">
        <f t="shared" si="6"/>
        <v>ZRH</v>
      </c>
      <c r="S17" s="1" t="s">
        <v>332</v>
      </c>
      <c r="T17" s="11" t="str">
        <f>INDEX('ADD1'!$B$32:$B$53,MATCH(Master!S17,'ADD1'!$C$32:$C$53,0))</f>
        <v>Turkish Airlines</v>
      </c>
      <c r="U17" s="74">
        <f t="shared" si="9"/>
        <v>50</v>
      </c>
      <c r="V17" s="77">
        <f t="shared" si="7"/>
        <v>699.429351280113</v>
      </c>
      <c r="W17" s="78">
        <f t="shared" si="4"/>
        <v>10455000</v>
      </c>
      <c r="X17" s="78">
        <f t="shared" ref="X17:X20" si="11">W17*50%</f>
        <v>5227500</v>
      </c>
      <c r="Y17" s="78">
        <f t="shared" si="8"/>
        <v>11500500</v>
      </c>
    </row>
    <row r="18" spans="1:25" ht="25" customHeight="1" x14ac:dyDescent="0.35">
      <c r="A18" s="14">
        <v>15</v>
      </c>
      <c r="B18" s="1">
        <v>1214</v>
      </c>
      <c r="C18" s="2">
        <v>45017</v>
      </c>
      <c r="D18" s="4" t="s">
        <v>55</v>
      </c>
      <c r="E18" s="1" t="s">
        <v>169</v>
      </c>
      <c r="F18" s="1" t="s">
        <v>162</v>
      </c>
      <c r="G18" s="1" t="s">
        <v>196</v>
      </c>
      <c r="H18" s="1" t="s">
        <v>199</v>
      </c>
      <c r="I18" s="1" t="str">
        <f t="shared" si="5"/>
        <v>Singapore Changi Airport</v>
      </c>
      <c r="K18" s="4" t="str">
        <f>INDEX('ADD1'!$D$5:$D$27,MATCH(Master!R18,'ADD1'!$E$5:$E$27,0))</f>
        <v>Brisbane International Airport</v>
      </c>
      <c r="L18" s="1">
        <v>105</v>
      </c>
      <c r="M18" s="1" t="str">
        <f t="shared" si="0"/>
        <v>Thursday</v>
      </c>
      <c r="N18" s="1">
        <f t="shared" si="1"/>
        <v>9</v>
      </c>
      <c r="O18" s="1" t="str">
        <f t="shared" si="2"/>
        <v>Thursday</v>
      </c>
      <c r="P18" s="1">
        <f t="shared" si="3"/>
        <v>11</v>
      </c>
      <c r="Q18" s="6" t="s">
        <v>403</v>
      </c>
      <c r="R18" s="1" t="str">
        <f t="shared" si="6"/>
        <v>BNE</v>
      </c>
      <c r="S18" s="1" t="s">
        <v>330</v>
      </c>
      <c r="T18" s="11" t="str">
        <f>INDEX('ADD1'!$B$32:$B$53,MATCH(Master!S18,'ADD1'!$C$32:$C$53,0))</f>
        <v>Qatar Airways</v>
      </c>
      <c r="U18" s="74">
        <f t="shared" si="9"/>
        <v>50</v>
      </c>
      <c r="V18" s="77">
        <f t="shared" si="7"/>
        <v>692.40495320412901</v>
      </c>
      <c r="W18" s="78">
        <f t="shared" si="4"/>
        <v>10350000</v>
      </c>
      <c r="X18" s="78">
        <f t="shared" si="11"/>
        <v>5175000</v>
      </c>
      <c r="Y18" s="78">
        <f t="shared" si="8"/>
        <v>11385000</v>
      </c>
    </row>
    <row r="19" spans="1:25" ht="25" customHeight="1" x14ac:dyDescent="0.35">
      <c r="A19">
        <v>16</v>
      </c>
      <c r="B19" s="1">
        <v>1215</v>
      </c>
      <c r="C19" s="2">
        <v>45017</v>
      </c>
      <c r="D19" s="4" t="s">
        <v>56</v>
      </c>
      <c r="E19" s="1" t="s">
        <v>170</v>
      </c>
      <c r="F19" s="1" t="s">
        <v>162</v>
      </c>
      <c r="G19" s="1" t="s">
        <v>196</v>
      </c>
      <c r="H19" s="1" t="s">
        <v>199</v>
      </c>
      <c r="I19" s="1" t="str">
        <f t="shared" si="5"/>
        <v>Singapore Changi Airport</v>
      </c>
      <c r="K19" s="4" t="str">
        <f>INDEX('ADD1'!$D$5:$D$27,MATCH(Master!R19,'ADD1'!$E$5:$E$27,0))</f>
        <v>Darwin International Airport</v>
      </c>
      <c r="L19" s="1">
        <v>102</v>
      </c>
      <c r="M19" s="1" t="str">
        <f t="shared" si="0"/>
        <v>Monday</v>
      </c>
      <c r="N19" s="1">
        <f t="shared" si="1"/>
        <v>1</v>
      </c>
      <c r="O19" s="1" t="str">
        <f t="shared" si="2"/>
        <v>Monday</v>
      </c>
      <c r="P19" s="1">
        <f t="shared" si="3"/>
        <v>3</v>
      </c>
      <c r="Q19" s="6" t="s">
        <v>404</v>
      </c>
      <c r="R19" s="1" t="str">
        <f t="shared" si="6"/>
        <v>DRW</v>
      </c>
      <c r="S19" s="1" t="s">
        <v>329</v>
      </c>
      <c r="T19" s="11" t="str">
        <f>INDEX('ADD1'!$B$32:$B$53,MATCH(Master!S19,'ADD1'!$C$32:$C$53,0))</f>
        <v xml:space="preserve">Emirates </v>
      </c>
      <c r="U19" s="74">
        <f t="shared" si="9"/>
        <v>50</v>
      </c>
      <c r="V19" s="77">
        <f t="shared" si="7"/>
        <v>705.784759063146</v>
      </c>
      <c r="W19" s="78">
        <f t="shared" si="4"/>
        <v>10550000</v>
      </c>
      <c r="X19" s="78">
        <f t="shared" si="11"/>
        <v>5275000</v>
      </c>
      <c r="Y19" s="78">
        <f t="shared" si="8"/>
        <v>11605000</v>
      </c>
    </row>
    <row r="20" spans="1:25" ht="25" customHeight="1" x14ac:dyDescent="0.35">
      <c r="A20" s="14">
        <v>17</v>
      </c>
      <c r="B20" s="1">
        <v>1216</v>
      </c>
      <c r="C20" s="2">
        <v>45017</v>
      </c>
      <c r="D20" s="4" t="s">
        <v>57</v>
      </c>
      <c r="E20" s="1" t="s">
        <v>171</v>
      </c>
      <c r="F20" s="1" t="s">
        <v>162</v>
      </c>
      <c r="G20" s="1" t="s">
        <v>196</v>
      </c>
      <c r="H20" s="1" t="s">
        <v>199</v>
      </c>
      <c r="I20" s="1" t="str">
        <f t="shared" si="5"/>
        <v>Singapore Changi Airport</v>
      </c>
      <c r="K20" s="4" t="str">
        <f>INDEX('ADD1'!$D$5:$D$27,MATCH(Master!R20,'ADD1'!$E$5:$E$27,0))</f>
        <v>Schiphol International Airport</v>
      </c>
      <c r="L20" s="1">
        <v>105</v>
      </c>
      <c r="M20" s="1" t="str">
        <f t="shared" si="0"/>
        <v>Thursday</v>
      </c>
      <c r="N20" s="1">
        <f t="shared" si="1"/>
        <v>9</v>
      </c>
      <c r="O20" s="1" t="str">
        <f t="shared" si="2"/>
        <v>Thursday</v>
      </c>
      <c r="P20" s="1">
        <f t="shared" si="3"/>
        <v>11</v>
      </c>
      <c r="Q20" s="6" t="s">
        <v>405</v>
      </c>
      <c r="R20" s="1" t="str">
        <f t="shared" si="6"/>
        <v>AMS</v>
      </c>
      <c r="S20" s="1" t="s">
        <v>336</v>
      </c>
      <c r="T20" s="11" t="str">
        <f>INDEX('ADD1'!$B$32:$B$53,MATCH(Master!S20,'ADD1'!$C$32:$C$53,0))</f>
        <v>Cathay Pacific Airlines</v>
      </c>
      <c r="U20" s="74">
        <f t="shared" si="9"/>
        <v>50</v>
      </c>
      <c r="V20" s="77">
        <f t="shared" si="7"/>
        <v>839.91731279979126</v>
      </c>
      <c r="W20" s="78">
        <f t="shared" si="4"/>
        <v>12555000</v>
      </c>
      <c r="X20" s="78">
        <f t="shared" si="11"/>
        <v>6277500</v>
      </c>
      <c r="Y20" s="78">
        <f t="shared" si="8"/>
        <v>13810500</v>
      </c>
    </row>
    <row r="21" spans="1:25" ht="25" customHeight="1" x14ac:dyDescent="0.35">
      <c r="A21">
        <v>18</v>
      </c>
      <c r="B21" s="1">
        <v>1217</v>
      </c>
      <c r="C21" s="2">
        <v>45047</v>
      </c>
      <c r="D21" s="4" t="s">
        <v>58</v>
      </c>
      <c r="E21" s="1" t="s">
        <v>172</v>
      </c>
      <c r="F21" s="1" t="s">
        <v>163</v>
      </c>
      <c r="G21" s="1" t="s">
        <v>196</v>
      </c>
      <c r="H21" s="1" t="s">
        <v>198</v>
      </c>
      <c r="I21" s="1" t="str">
        <f t="shared" si="5"/>
        <v>Soekarno-Hatta Airport</v>
      </c>
      <c r="J21" s="12" t="str">
        <f>INDEX('ADD1'!$B$5:$B$27,MATCH(Master!R21,'ADD1'!$C$5:$C$27,0))</f>
        <v>Ngurah Rai, Denpasar Bali</v>
      </c>
      <c r="L21" s="1">
        <v>104</v>
      </c>
      <c r="M21" s="1" t="str">
        <f t="shared" si="0"/>
        <v>Wednesday</v>
      </c>
      <c r="N21" s="1">
        <f t="shared" si="1"/>
        <v>7</v>
      </c>
      <c r="O21" s="1" t="str">
        <f t="shared" si="2"/>
        <v>Wednesday</v>
      </c>
      <c r="P21" s="1">
        <f t="shared" si="3"/>
        <v>9</v>
      </c>
      <c r="Q21" s="6" t="s">
        <v>356</v>
      </c>
      <c r="R21" s="1" t="str">
        <f t="shared" si="6"/>
        <v>DPS</v>
      </c>
      <c r="S21" s="1" t="s">
        <v>322</v>
      </c>
      <c r="T21" s="11" t="str">
        <f>INDEX('ADD1'!$B$32:$B$53,MATCH(Master!S21,'ADD1'!$C$32:$C$53,0))</f>
        <v>Indonesia AirAsia</v>
      </c>
      <c r="U21" s="74">
        <f t="shared" si="9"/>
        <v>100</v>
      </c>
      <c r="V21" s="77">
        <f t="shared" si="7"/>
        <v>130.45310712541561</v>
      </c>
      <c r="W21" s="78">
        <f t="shared" si="4"/>
        <v>1950000</v>
      </c>
      <c r="Y21" s="78">
        <f t="shared" si="8"/>
        <v>2145000</v>
      </c>
    </row>
    <row r="22" spans="1:25" ht="25" customHeight="1" x14ac:dyDescent="0.35">
      <c r="A22" s="14">
        <v>19</v>
      </c>
      <c r="B22" s="1">
        <v>1218</v>
      </c>
      <c r="C22" s="2">
        <v>45047</v>
      </c>
      <c r="D22" s="4" t="s">
        <v>59</v>
      </c>
      <c r="E22" s="2">
        <v>36348</v>
      </c>
      <c r="F22" s="1" t="s">
        <v>162</v>
      </c>
      <c r="G22" s="1" t="s">
        <v>196</v>
      </c>
      <c r="H22" s="1" t="s">
        <v>199</v>
      </c>
      <c r="I22" s="1" t="str">
        <f t="shared" si="5"/>
        <v>Singapore Changi Airport</v>
      </c>
      <c r="K22" s="4" t="str">
        <f>INDEX('ADD1'!$D$5:$D$27,MATCH(Master!R22,'ADD1'!$E$5:$E$27,0))</f>
        <v>Incheon International Aiport</v>
      </c>
      <c r="L22" s="1">
        <v>104</v>
      </c>
      <c r="M22" s="1" t="str">
        <f t="shared" si="0"/>
        <v>Wednesday</v>
      </c>
      <c r="N22" s="1">
        <f t="shared" si="1"/>
        <v>7</v>
      </c>
      <c r="O22" s="1" t="str">
        <f t="shared" si="2"/>
        <v>Wednesday</v>
      </c>
      <c r="P22" s="1">
        <f t="shared" si="3"/>
        <v>9</v>
      </c>
      <c r="Q22" s="6" t="s">
        <v>379</v>
      </c>
      <c r="R22" s="1" t="str">
        <f t="shared" si="6"/>
        <v>ICN</v>
      </c>
      <c r="S22" s="1" t="s">
        <v>328</v>
      </c>
      <c r="T22" s="11" t="str">
        <f>INDEX('ADD1'!$B$32:$B$53,MATCH(Master!S22,'ADD1'!$C$32:$C$53,0))</f>
        <v>Singapore Airlines</v>
      </c>
      <c r="U22" s="74">
        <f t="shared" si="9"/>
        <v>50</v>
      </c>
      <c r="V22" s="77">
        <f t="shared" si="7"/>
        <v>558.94138976043462</v>
      </c>
      <c r="W22" s="78">
        <f t="shared" si="4"/>
        <v>8355000</v>
      </c>
      <c r="X22" s="78">
        <f>W22*50%</f>
        <v>4177500</v>
      </c>
      <c r="Y22" s="78">
        <f t="shared" si="8"/>
        <v>9190500</v>
      </c>
    </row>
    <row r="23" spans="1:25" ht="25" customHeight="1" x14ac:dyDescent="0.35">
      <c r="A23">
        <v>20</v>
      </c>
      <c r="B23" s="1">
        <v>1219</v>
      </c>
      <c r="C23" s="2">
        <v>45047</v>
      </c>
      <c r="D23" s="4" t="s">
        <v>60</v>
      </c>
      <c r="E23" s="1" t="s">
        <v>173</v>
      </c>
      <c r="F23" s="1" t="s">
        <v>163</v>
      </c>
      <c r="G23" s="1" t="s">
        <v>197</v>
      </c>
      <c r="H23" s="1" t="s">
        <v>199</v>
      </c>
      <c r="I23" s="1" t="str">
        <f t="shared" si="5"/>
        <v>Singapore Changi Airport</v>
      </c>
      <c r="K23" s="4" t="str">
        <f>INDEX('ADD1'!$D$5:$D$27,MATCH(Master!R23,'ADD1'!$E$5:$E$27,0))</f>
        <v>Narita Tokyo International Airport</v>
      </c>
      <c r="L23" s="1">
        <v>103</v>
      </c>
      <c r="M23" s="1" t="str">
        <f t="shared" si="0"/>
        <v>Tuesday</v>
      </c>
      <c r="N23" s="1">
        <f t="shared" si="1"/>
        <v>3</v>
      </c>
      <c r="O23" s="1" t="str">
        <f t="shared" si="2"/>
        <v>Tuesday</v>
      </c>
      <c r="P23" s="1">
        <f t="shared" si="3"/>
        <v>5</v>
      </c>
      <c r="Q23" s="6" t="s">
        <v>380</v>
      </c>
      <c r="R23" s="1" t="str">
        <f t="shared" si="6"/>
        <v>NRT</v>
      </c>
      <c r="S23" s="1" t="s">
        <v>331</v>
      </c>
      <c r="T23" s="11" t="str">
        <f>INDEX('ADD1'!$B$32:$B$53,MATCH(Master!S23,'ADD1'!$C$32:$C$53,0))</f>
        <v>All Nippon Airways</v>
      </c>
      <c r="U23" s="74">
        <f t="shared" si="9"/>
        <v>50</v>
      </c>
      <c r="V23" s="77">
        <f t="shared" si="7"/>
        <v>551.91699168445064</v>
      </c>
      <c r="W23" s="78">
        <f t="shared" si="4"/>
        <v>8250000</v>
      </c>
      <c r="X23" s="78">
        <f t="shared" ref="X23:X24" si="12">W23*50%</f>
        <v>4125000</v>
      </c>
      <c r="Y23" s="78">
        <f t="shared" si="8"/>
        <v>9075000</v>
      </c>
    </row>
    <row r="24" spans="1:25" ht="25" customHeight="1" x14ac:dyDescent="0.35">
      <c r="A24" s="14">
        <v>21</v>
      </c>
      <c r="B24" s="1">
        <v>1220</v>
      </c>
      <c r="C24" s="2">
        <v>45078</v>
      </c>
      <c r="D24" s="4" t="s">
        <v>61</v>
      </c>
      <c r="E24" s="1" t="s">
        <v>174</v>
      </c>
      <c r="F24" s="1" t="s">
        <v>162</v>
      </c>
      <c r="G24" s="1" t="s">
        <v>197</v>
      </c>
      <c r="H24" s="1" t="s">
        <v>199</v>
      </c>
      <c r="I24" s="1" t="str">
        <f t="shared" si="5"/>
        <v>Singapore Changi Airport</v>
      </c>
      <c r="K24" s="4" t="str">
        <f>INDEX('ADD1'!$D$5:$D$27,MATCH(Master!R24,'ADD1'!$E$5:$E$27,0))</f>
        <v>Incheon International Aiport</v>
      </c>
      <c r="L24" s="1">
        <v>103</v>
      </c>
      <c r="M24" s="1" t="str">
        <f t="shared" si="0"/>
        <v>Tuesday</v>
      </c>
      <c r="N24" s="1">
        <f t="shared" si="1"/>
        <v>3</v>
      </c>
      <c r="O24" s="1" t="str">
        <f t="shared" si="2"/>
        <v>Tuesday</v>
      </c>
      <c r="P24" s="1">
        <f t="shared" si="3"/>
        <v>5</v>
      </c>
      <c r="Q24" s="6" t="s">
        <v>381</v>
      </c>
      <c r="R24" s="1" t="str">
        <f t="shared" si="6"/>
        <v>ICN</v>
      </c>
      <c r="S24" s="1" t="s">
        <v>333</v>
      </c>
      <c r="T24" s="11" t="str">
        <f>INDEX('ADD1'!$B$32:$B$53,MATCH(Master!S24,'ADD1'!$C$32:$C$53,0))</f>
        <v xml:space="preserve">Japan Airlines </v>
      </c>
      <c r="U24" s="74">
        <f t="shared" si="9"/>
        <v>50</v>
      </c>
      <c r="V24" s="77">
        <f t="shared" si="7"/>
        <v>558.94138976043462</v>
      </c>
      <c r="W24" s="78">
        <f t="shared" si="4"/>
        <v>8355000</v>
      </c>
      <c r="X24" s="78">
        <f t="shared" si="12"/>
        <v>4177500</v>
      </c>
      <c r="Y24" s="78">
        <f t="shared" si="8"/>
        <v>9190500</v>
      </c>
    </row>
    <row r="25" spans="1:25" ht="25" customHeight="1" x14ac:dyDescent="0.35">
      <c r="A25">
        <v>22</v>
      </c>
      <c r="B25" s="1">
        <v>1221</v>
      </c>
      <c r="C25" s="2">
        <v>45078</v>
      </c>
      <c r="D25" s="4" t="s">
        <v>62</v>
      </c>
      <c r="E25" s="2">
        <v>25118</v>
      </c>
      <c r="F25" s="1" t="s">
        <v>163</v>
      </c>
      <c r="G25" s="1" t="s">
        <v>196</v>
      </c>
      <c r="H25" s="1" t="s">
        <v>198</v>
      </c>
      <c r="I25" s="1" t="str">
        <f t="shared" si="5"/>
        <v>Soekarno-Hatta Airport</v>
      </c>
      <c r="J25" s="12" t="str">
        <f>INDEX('ADD1'!$B$5:$B$27,MATCH(Master!R25,'ADD1'!$C$5:$C$27,0))</f>
        <v>Sultan Hasanuddin, Sulawesi Selatan</v>
      </c>
      <c r="L25" s="1">
        <v>106</v>
      </c>
      <c r="M25" s="1" t="str">
        <f t="shared" si="0"/>
        <v>Friday</v>
      </c>
      <c r="N25" s="1">
        <f t="shared" si="1"/>
        <v>12</v>
      </c>
      <c r="O25" s="1" t="str">
        <f t="shared" si="2"/>
        <v>Friday</v>
      </c>
      <c r="P25" s="1">
        <f t="shared" si="3"/>
        <v>14</v>
      </c>
      <c r="Q25" s="6" t="s">
        <v>360</v>
      </c>
      <c r="R25" s="1" t="str">
        <f t="shared" si="6"/>
        <v>UPG</v>
      </c>
      <c r="S25" s="1" t="s">
        <v>325</v>
      </c>
      <c r="T25" s="11" t="str">
        <f>INDEX('ADD1'!$B$32:$B$53,MATCH(Master!S25,'ADD1'!$C$32:$C$53,0))</f>
        <v>NAM Air</v>
      </c>
      <c r="U25" s="74">
        <f t="shared" si="9"/>
        <v>100</v>
      </c>
      <c r="V25" s="77">
        <f t="shared" si="7"/>
        <v>157.21271884344958</v>
      </c>
      <c r="W25" s="78">
        <f t="shared" si="4"/>
        <v>2350000</v>
      </c>
      <c r="Y25" s="78">
        <f t="shared" si="8"/>
        <v>2585000</v>
      </c>
    </row>
    <row r="26" spans="1:25" ht="25" customHeight="1" x14ac:dyDescent="0.35">
      <c r="A26" s="14">
        <v>23</v>
      </c>
      <c r="B26" s="1">
        <v>1222</v>
      </c>
      <c r="C26" s="2">
        <v>45078</v>
      </c>
      <c r="D26" s="4" t="s">
        <v>63</v>
      </c>
      <c r="E26" s="2">
        <v>24755</v>
      </c>
      <c r="F26" s="1" t="s">
        <v>162</v>
      </c>
      <c r="G26" s="1" t="s">
        <v>196</v>
      </c>
      <c r="H26" s="1" t="s">
        <v>198</v>
      </c>
      <c r="I26" s="1" t="str">
        <f t="shared" si="5"/>
        <v>Soekarno-Hatta Airport</v>
      </c>
      <c r="J26" s="12" t="str">
        <f>INDEX('ADD1'!$B$5:$B$27,MATCH(Master!R26,'ADD1'!$C$5:$C$27,0))</f>
        <v>Sultan Thaha, Jambi</v>
      </c>
      <c r="L26" s="1">
        <v>104</v>
      </c>
      <c r="M26" s="1" t="str">
        <f t="shared" si="0"/>
        <v>Wednesday</v>
      </c>
      <c r="N26" s="1">
        <f t="shared" si="1"/>
        <v>7</v>
      </c>
      <c r="O26" s="1" t="str">
        <f t="shared" si="2"/>
        <v>Wednesday</v>
      </c>
      <c r="P26" s="1">
        <f t="shared" si="3"/>
        <v>9</v>
      </c>
      <c r="Q26" s="6" t="s">
        <v>361</v>
      </c>
      <c r="R26" s="1" t="str">
        <f t="shared" si="6"/>
        <v>DJB</v>
      </c>
      <c r="S26" s="1" t="s">
        <v>326</v>
      </c>
      <c r="T26" s="11" t="str">
        <f>INDEX('ADD1'!$B$32:$B$53,MATCH(Master!S26,'ADD1'!$C$32:$C$53,0))</f>
        <v>Lion Air</v>
      </c>
      <c r="U26" s="74">
        <f t="shared" si="9"/>
        <v>100</v>
      </c>
      <c r="V26" s="77">
        <f t="shared" si="7"/>
        <v>157.54721398992501</v>
      </c>
      <c r="W26" s="78">
        <f t="shared" si="4"/>
        <v>2355000</v>
      </c>
      <c r="Y26" s="78">
        <f t="shared" si="8"/>
        <v>2590500</v>
      </c>
    </row>
    <row r="27" spans="1:25" ht="25" customHeight="1" x14ac:dyDescent="0.35">
      <c r="A27">
        <v>24</v>
      </c>
      <c r="B27" s="1">
        <v>1223</v>
      </c>
      <c r="C27" s="2">
        <v>45078</v>
      </c>
      <c r="D27" s="4" t="s">
        <v>64</v>
      </c>
      <c r="E27" s="1" t="s">
        <v>175</v>
      </c>
      <c r="F27" s="1" t="s">
        <v>162</v>
      </c>
      <c r="G27" s="1" t="s">
        <v>197</v>
      </c>
      <c r="H27" s="1" t="s">
        <v>198</v>
      </c>
      <c r="I27" s="1" t="str">
        <f t="shared" si="5"/>
        <v>Soekarno-Hatta Airport</v>
      </c>
      <c r="J27" s="12" t="str">
        <f>INDEX('ADD1'!$B$5:$B$27,MATCH(Master!R27,'ADD1'!$C$5:$C$27,0))</f>
        <v>Minangkabau, Padang</v>
      </c>
      <c r="L27" s="1">
        <v>104</v>
      </c>
      <c r="M27" s="1" t="str">
        <f t="shared" si="0"/>
        <v>Wednesday</v>
      </c>
      <c r="N27" s="1">
        <f t="shared" si="1"/>
        <v>7</v>
      </c>
      <c r="O27" s="1" t="str">
        <f t="shared" si="2"/>
        <v>Wednesday</v>
      </c>
      <c r="P27" s="1">
        <f t="shared" si="3"/>
        <v>9</v>
      </c>
      <c r="Q27" s="6" t="s">
        <v>362</v>
      </c>
      <c r="R27" s="1" t="str">
        <f t="shared" si="6"/>
        <v>PDG</v>
      </c>
      <c r="S27" s="1" t="s">
        <v>321</v>
      </c>
      <c r="T27" s="11" t="str">
        <f>INDEX('ADD1'!$B$32:$B$53,MATCH(Master!S27,'ADD1'!$C$32:$C$53,0))</f>
        <v>Garuda Indonesia</v>
      </c>
      <c r="U27" s="74">
        <f t="shared" si="9"/>
        <v>100</v>
      </c>
      <c r="V27" s="77">
        <f t="shared" si="7"/>
        <v>147.17786444918684</v>
      </c>
      <c r="W27" s="78">
        <f t="shared" si="4"/>
        <v>2200000</v>
      </c>
      <c r="Y27" s="78">
        <f t="shared" si="8"/>
        <v>2420000</v>
      </c>
    </row>
    <row r="28" spans="1:25" ht="25" customHeight="1" x14ac:dyDescent="0.35">
      <c r="A28" s="14">
        <v>25</v>
      </c>
      <c r="B28" s="1">
        <v>1224</v>
      </c>
      <c r="C28" s="2">
        <v>45078</v>
      </c>
      <c r="D28" s="4" t="s">
        <v>65</v>
      </c>
      <c r="E28" s="2">
        <v>34950</v>
      </c>
      <c r="F28" s="1" t="s">
        <v>163</v>
      </c>
      <c r="G28" s="1" t="s">
        <v>197</v>
      </c>
      <c r="H28" s="1" t="s">
        <v>198</v>
      </c>
      <c r="I28" s="1" t="str">
        <f t="shared" si="5"/>
        <v>Soekarno-Hatta Airport</v>
      </c>
      <c r="J28" s="12" t="str">
        <f>INDEX('ADD1'!$B$5:$B$27,MATCH(Master!R28,'ADD1'!$C$5:$C$27,0))</f>
        <v>Minangkabau, Padang</v>
      </c>
      <c r="L28" s="1">
        <v>103</v>
      </c>
      <c r="M28" s="1" t="str">
        <f t="shared" si="0"/>
        <v>Tuesday</v>
      </c>
      <c r="N28" s="1">
        <f t="shared" si="1"/>
        <v>3</v>
      </c>
      <c r="O28" s="1" t="str">
        <f t="shared" si="2"/>
        <v>Tuesday</v>
      </c>
      <c r="P28" s="1">
        <f t="shared" si="3"/>
        <v>5</v>
      </c>
      <c r="Q28" s="6" t="s">
        <v>363</v>
      </c>
      <c r="R28" s="1" t="str">
        <f t="shared" si="6"/>
        <v>PDG</v>
      </c>
      <c r="S28" s="1" t="s">
        <v>324</v>
      </c>
      <c r="T28" s="11" t="str">
        <f>INDEX('ADD1'!$B$32:$B$53,MATCH(Master!S28,'ADD1'!$C$32:$C$53,0))</f>
        <v>Super Air Jet</v>
      </c>
      <c r="U28" s="74">
        <f t="shared" si="9"/>
        <v>100</v>
      </c>
      <c r="V28" s="77">
        <f t="shared" si="7"/>
        <v>147.17786444918684</v>
      </c>
      <c r="W28" s="78">
        <f t="shared" si="4"/>
        <v>2200000</v>
      </c>
      <c r="Y28" s="78">
        <f t="shared" si="8"/>
        <v>2420000</v>
      </c>
    </row>
    <row r="29" spans="1:25" ht="25" customHeight="1" x14ac:dyDescent="0.35">
      <c r="A29">
        <v>26</v>
      </c>
      <c r="B29" s="1">
        <v>1225</v>
      </c>
      <c r="C29" s="2">
        <v>45078</v>
      </c>
      <c r="D29" s="4" t="s">
        <v>66</v>
      </c>
      <c r="E29" s="1" t="s">
        <v>176</v>
      </c>
      <c r="F29" s="1" t="s">
        <v>162</v>
      </c>
      <c r="G29" s="1" t="s">
        <v>197</v>
      </c>
      <c r="H29" s="1" t="s">
        <v>198</v>
      </c>
      <c r="I29" s="1" t="str">
        <f t="shared" si="5"/>
        <v>Soekarno-Hatta Airport</v>
      </c>
      <c r="J29" s="12" t="str">
        <f>INDEX('ADD1'!$B$5:$B$27,MATCH(Master!R29,'ADD1'!$C$5:$C$27,0))</f>
        <v>Ngurah Rai, Denpasar Bali</v>
      </c>
      <c r="L29" s="1">
        <v>106</v>
      </c>
      <c r="M29" s="1" t="str">
        <f t="shared" si="0"/>
        <v>Friday</v>
      </c>
      <c r="N29" s="1">
        <f t="shared" si="1"/>
        <v>12</v>
      </c>
      <c r="O29" s="1" t="str">
        <f t="shared" si="2"/>
        <v>Friday</v>
      </c>
      <c r="P29" s="1">
        <f t="shared" si="3"/>
        <v>14</v>
      </c>
      <c r="Q29" s="6" t="s">
        <v>364</v>
      </c>
      <c r="R29" s="1" t="str">
        <f t="shared" si="6"/>
        <v>DPS</v>
      </c>
      <c r="S29" s="1" t="s">
        <v>322</v>
      </c>
      <c r="T29" s="11" t="str">
        <f>INDEX('ADD1'!$B$32:$B$53,MATCH(Master!S29,'ADD1'!$C$32:$C$53,0))</f>
        <v>Indonesia AirAsia</v>
      </c>
      <c r="U29" s="74">
        <f t="shared" si="9"/>
        <v>100</v>
      </c>
      <c r="V29" s="77">
        <f t="shared" si="7"/>
        <v>130.45310712541561</v>
      </c>
      <c r="W29" s="78">
        <f t="shared" si="4"/>
        <v>1950000</v>
      </c>
      <c r="Y29" s="78">
        <f t="shared" si="8"/>
        <v>2145000</v>
      </c>
    </row>
    <row r="30" spans="1:25" ht="25" customHeight="1" x14ac:dyDescent="0.35">
      <c r="A30" s="14">
        <v>27</v>
      </c>
      <c r="B30" s="1">
        <v>1226</v>
      </c>
      <c r="C30" s="2">
        <v>45078</v>
      </c>
      <c r="D30" s="4" t="s">
        <v>67</v>
      </c>
      <c r="E30" s="2">
        <v>35737</v>
      </c>
      <c r="F30" s="1" t="s">
        <v>162</v>
      </c>
      <c r="G30" s="1" t="s">
        <v>196</v>
      </c>
      <c r="H30" s="1" t="s">
        <v>198</v>
      </c>
      <c r="I30" s="1" t="str">
        <f t="shared" si="5"/>
        <v>Soekarno-Hatta Airport</v>
      </c>
      <c r="J30" s="12" t="str">
        <f>INDEX('ADD1'!$B$5:$B$27,MATCH(Master!R30,'ADD1'!$C$5:$C$27,0))</f>
        <v>Ngurah Rai, Denpasar Bali</v>
      </c>
      <c r="L30" s="1">
        <v>103</v>
      </c>
      <c r="M30" s="1" t="str">
        <f t="shared" si="0"/>
        <v>Tuesday</v>
      </c>
      <c r="N30" s="1">
        <f t="shared" si="1"/>
        <v>3</v>
      </c>
      <c r="O30" s="1" t="str">
        <f t="shared" si="2"/>
        <v>Tuesday</v>
      </c>
      <c r="P30" s="1">
        <f t="shared" si="3"/>
        <v>5</v>
      </c>
      <c r="Q30" s="6" t="s">
        <v>365</v>
      </c>
      <c r="R30" s="1" t="str">
        <f t="shared" si="6"/>
        <v>DPS</v>
      </c>
      <c r="S30" s="1" t="s">
        <v>322</v>
      </c>
      <c r="T30" s="11" t="str">
        <f>INDEX('ADD1'!$B$32:$B$53,MATCH(Master!S30,'ADD1'!$C$32:$C$53,0))</f>
        <v>Indonesia AirAsia</v>
      </c>
      <c r="U30" s="74">
        <f t="shared" si="9"/>
        <v>100</v>
      </c>
      <c r="V30" s="77">
        <f t="shared" si="7"/>
        <v>130.45310712541561</v>
      </c>
      <c r="W30" s="78">
        <f t="shared" si="4"/>
        <v>1950000</v>
      </c>
      <c r="Y30" s="78">
        <f t="shared" si="8"/>
        <v>2145000</v>
      </c>
    </row>
    <row r="31" spans="1:25" ht="25" customHeight="1" x14ac:dyDescent="0.35">
      <c r="A31">
        <v>28</v>
      </c>
      <c r="B31" s="1">
        <v>1227</v>
      </c>
      <c r="C31" s="2">
        <v>45078</v>
      </c>
      <c r="D31" s="4" t="s">
        <v>68</v>
      </c>
      <c r="E31" s="2">
        <v>35771</v>
      </c>
      <c r="F31" s="1" t="s">
        <v>162</v>
      </c>
      <c r="G31" s="1" t="s">
        <v>196</v>
      </c>
      <c r="H31" s="1" t="s">
        <v>198</v>
      </c>
      <c r="I31" s="1" t="str">
        <f t="shared" si="5"/>
        <v>Soekarno-Hatta Airport</v>
      </c>
      <c r="J31" s="12" t="str">
        <f>INDEX('ADD1'!$B$5:$B$27,MATCH(Master!R31,'ADD1'!$C$5:$C$27,0))</f>
        <v>Pattimura, Ambon</v>
      </c>
      <c r="L31" s="1">
        <v>104</v>
      </c>
      <c r="M31" s="1" t="str">
        <f t="shared" si="0"/>
        <v>Wednesday</v>
      </c>
      <c r="N31" s="1">
        <f t="shared" si="1"/>
        <v>7</v>
      </c>
      <c r="O31" s="1" t="str">
        <f t="shared" si="2"/>
        <v>Wednesday</v>
      </c>
      <c r="P31" s="1">
        <f t="shared" si="3"/>
        <v>9</v>
      </c>
      <c r="Q31" s="6" t="s">
        <v>366</v>
      </c>
      <c r="R31" s="1" t="str">
        <f t="shared" si="6"/>
        <v>AMQ</v>
      </c>
      <c r="S31" s="1" t="s">
        <v>326</v>
      </c>
      <c r="T31" s="11" t="str">
        <f>INDEX('ADD1'!$B$32:$B$53,MATCH(Master!S31,'ADD1'!$C$32:$C$53,0))</f>
        <v>Lion Air</v>
      </c>
      <c r="U31" s="74">
        <f t="shared" si="9"/>
        <v>100</v>
      </c>
      <c r="V31" s="77">
        <f t="shared" si="7"/>
        <v>250.87135985656849</v>
      </c>
      <c r="W31" s="78">
        <f t="shared" si="4"/>
        <v>3750000</v>
      </c>
      <c r="Y31" s="78">
        <f t="shared" si="8"/>
        <v>4125000</v>
      </c>
    </row>
    <row r="32" spans="1:25" ht="25" customHeight="1" x14ac:dyDescent="0.35">
      <c r="A32" s="14">
        <v>29</v>
      </c>
      <c r="B32" s="1">
        <v>1228</v>
      </c>
      <c r="C32" s="2">
        <v>45078</v>
      </c>
      <c r="D32" s="4" t="s">
        <v>69</v>
      </c>
      <c r="E32" s="2">
        <v>31599</v>
      </c>
      <c r="F32" s="1" t="s">
        <v>162</v>
      </c>
      <c r="G32" s="1" t="s">
        <v>196</v>
      </c>
      <c r="H32" s="1" t="s">
        <v>198</v>
      </c>
      <c r="I32" s="1" t="str">
        <f t="shared" si="5"/>
        <v>Soekarno-Hatta Airport</v>
      </c>
      <c r="J32" s="12" t="str">
        <f>INDEX('ADD1'!$B$5:$B$27,MATCH(Master!R32,'ADD1'!$C$5:$C$27,0))</f>
        <v>Adisumarno, Solo</v>
      </c>
      <c r="L32" s="1">
        <v>105</v>
      </c>
      <c r="M32" s="1" t="str">
        <f t="shared" si="0"/>
        <v>Thursday</v>
      </c>
      <c r="N32" s="1">
        <f t="shared" si="1"/>
        <v>9</v>
      </c>
      <c r="O32" s="1" t="str">
        <f t="shared" si="2"/>
        <v>Thursday</v>
      </c>
      <c r="P32" s="1">
        <f t="shared" si="3"/>
        <v>11</v>
      </c>
      <c r="Q32" s="6" t="s">
        <v>367</v>
      </c>
      <c r="R32" s="1" t="str">
        <f t="shared" si="6"/>
        <v>SOC</v>
      </c>
      <c r="S32" s="1" t="s">
        <v>318</v>
      </c>
      <c r="T32" s="11" t="str">
        <f>INDEX('ADD1'!$B$32:$B$53,MATCH(Master!S32,'ADD1'!$C$32:$C$53,0))</f>
        <v>Batik Air</v>
      </c>
      <c r="U32" s="74">
        <f t="shared" si="9"/>
        <v>100</v>
      </c>
      <c r="V32" s="77">
        <f t="shared" si="7"/>
        <v>173.93747616722081</v>
      </c>
      <c r="W32" s="78">
        <f t="shared" si="4"/>
        <v>2600000</v>
      </c>
      <c r="Y32" s="78">
        <f t="shared" si="8"/>
        <v>2860000</v>
      </c>
    </row>
    <row r="33" spans="1:25" ht="25" customHeight="1" x14ac:dyDescent="0.35">
      <c r="A33">
        <v>30</v>
      </c>
      <c r="B33" s="1">
        <v>1229</v>
      </c>
      <c r="C33" s="2">
        <v>45078</v>
      </c>
      <c r="D33" s="4" t="s">
        <v>70</v>
      </c>
      <c r="E33" s="2">
        <v>29285</v>
      </c>
      <c r="F33" s="1" t="s">
        <v>163</v>
      </c>
      <c r="G33" s="1" t="s">
        <v>196</v>
      </c>
      <c r="H33" s="1" t="s">
        <v>198</v>
      </c>
      <c r="I33" s="1" t="str">
        <f t="shared" si="5"/>
        <v>Soekarno-Hatta Airport</v>
      </c>
      <c r="J33" s="12" t="str">
        <f>INDEX('ADD1'!$B$5:$B$27,MATCH(Master!R33,'ADD1'!$C$5:$C$27,0))</f>
        <v>Abdul Rachman Saleh, Malang</v>
      </c>
      <c r="L33" s="1">
        <v>101</v>
      </c>
      <c r="M33" s="1" t="str">
        <f t="shared" si="0"/>
        <v>Sunday</v>
      </c>
      <c r="N33" s="1">
        <f t="shared" si="1"/>
        <v>9</v>
      </c>
      <c r="O33" s="1" t="str">
        <f t="shared" si="2"/>
        <v>Sunday</v>
      </c>
      <c r="P33" s="1">
        <f t="shared" si="3"/>
        <v>11</v>
      </c>
      <c r="Q33" s="6" t="s">
        <v>368</v>
      </c>
      <c r="R33" s="1" t="str">
        <f t="shared" si="6"/>
        <v>MLG</v>
      </c>
      <c r="S33" s="1" t="s">
        <v>320</v>
      </c>
      <c r="T33" s="11" t="str">
        <f>INDEX('ADD1'!$B$32:$B$53,MATCH(Master!S33,'ADD1'!$C$32:$C$53,0))</f>
        <v>Sriwijaya Air</v>
      </c>
      <c r="U33" s="74">
        <f t="shared" si="9"/>
        <v>100</v>
      </c>
      <c r="V33" s="77">
        <f t="shared" si="7"/>
        <v>147.17786444918684</v>
      </c>
      <c r="W33" s="78">
        <f t="shared" si="4"/>
        <v>2200000</v>
      </c>
      <c r="Y33" s="78">
        <f t="shared" si="8"/>
        <v>2420000</v>
      </c>
    </row>
    <row r="34" spans="1:25" ht="25" customHeight="1" x14ac:dyDescent="0.35">
      <c r="A34" s="14">
        <v>31</v>
      </c>
      <c r="B34" s="1">
        <v>1230</v>
      </c>
      <c r="C34" s="2">
        <v>45108</v>
      </c>
      <c r="D34" s="4" t="s">
        <v>71</v>
      </c>
      <c r="E34" s="2">
        <v>29567</v>
      </c>
      <c r="F34" s="1" t="s">
        <v>162</v>
      </c>
      <c r="G34" s="1" t="s">
        <v>196</v>
      </c>
      <c r="H34" s="1" t="s">
        <v>198</v>
      </c>
      <c r="I34" s="1" t="str">
        <f t="shared" si="5"/>
        <v>Soekarno-Hatta Airport</v>
      </c>
      <c r="J34" s="12" t="str">
        <f>INDEX('ADD1'!$B$5:$B$27,MATCH(Master!R34,'ADD1'!$C$5:$C$27,0))</f>
        <v>Zainuddin Abdul Madjid, Praya</v>
      </c>
      <c r="L34" s="1">
        <v>105</v>
      </c>
      <c r="M34" s="1" t="str">
        <f t="shared" si="0"/>
        <v>Thursday</v>
      </c>
      <c r="N34" s="1">
        <f t="shared" si="1"/>
        <v>9</v>
      </c>
      <c r="O34" s="1" t="str">
        <f t="shared" si="2"/>
        <v>Thursday</v>
      </c>
      <c r="P34" s="1">
        <f t="shared" si="3"/>
        <v>11</v>
      </c>
      <c r="Q34" s="6" t="s">
        <v>369</v>
      </c>
      <c r="R34" s="1" t="str">
        <f t="shared" si="6"/>
        <v>LOP</v>
      </c>
      <c r="S34" s="1" t="s">
        <v>325</v>
      </c>
      <c r="T34" s="11" t="str">
        <f>INDEX('ADD1'!$B$32:$B$53,MATCH(Master!S34,'ADD1'!$C$32:$C$53,0))</f>
        <v>NAM Air</v>
      </c>
      <c r="U34" s="74">
        <f t="shared" si="9"/>
        <v>100</v>
      </c>
      <c r="V34" s="77">
        <f t="shared" si="7"/>
        <v>157.21271884344958</v>
      </c>
      <c r="W34" s="78">
        <f t="shared" si="4"/>
        <v>2350000</v>
      </c>
      <c r="Y34" s="78">
        <f t="shared" si="8"/>
        <v>2585000</v>
      </c>
    </row>
    <row r="35" spans="1:25" ht="25" customHeight="1" x14ac:dyDescent="0.35">
      <c r="A35">
        <v>32</v>
      </c>
      <c r="B35" s="1">
        <v>1231</v>
      </c>
      <c r="C35" s="2">
        <v>45108</v>
      </c>
      <c r="D35" s="4" t="s">
        <v>72</v>
      </c>
      <c r="E35" s="2">
        <v>29688</v>
      </c>
      <c r="F35" s="1" t="s">
        <v>162</v>
      </c>
      <c r="G35" s="1" t="s">
        <v>196</v>
      </c>
      <c r="H35" s="1" t="s">
        <v>199</v>
      </c>
      <c r="I35" s="1" t="str">
        <f t="shared" si="5"/>
        <v>Singapore Changi Airport</v>
      </c>
      <c r="K35" s="4" t="str">
        <f>INDEX('ADD1'!$D$5:$D$27,MATCH(Master!R35,'ADD1'!$E$5:$E$27,0))</f>
        <v>Da Nang International Airport</v>
      </c>
      <c r="L35" s="1">
        <v>104</v>
      </c>
      <c r="M35" s="1" t="str">
        <f t="shared" si="0"/>
        <v>Wednesday</v>
      </c>
      <c r="N35" s="1">
        <f t="shared" si="1"/>
        <v>7</v>
      </c>
      <c r="O35" s="1" t="str">
        <f t="shared" si="2"/>
        <v>Wednesday</v>
      </c>
      <c r="P35" s="1">
        <f t="shared" si="3"/>
        <v>9</v>
      </c>
      <c r="Q35" s="6" t="s">
        <v>388</v>
      </c>
      <c r="R35" s="1" t="str">
        <f t="shared" si="6"/>
        <v>DAD</v>
      </c>
      <c r="S35" s="1" t="s">
        <v>337</v>
      </c>
      <c r="T35" s="11" t="str">
        <f>INDEX('ADD1'!$B$32:$B$53,MATCH(Master!S35,'ADD1'!$C$32:$C$53,0))</f>
        <v>Thai Airways International Airlines</v>
      </c>
      <c r="U35" s="74">
        <f t="shared" si="9"/>
        <v>50</v>
      </c>
      <c r="V35" s="77">
        <f t="shared" si="7"/>
        <v>759.30398249921393</v>
      </c>
      <c r="W35" s="78">
        <f t="shared" si="4"/>
        <v>11350000</v>
      </c>
      <c r="X35" s="78">
        <f>W35*50%</f>
        <v>5675000</v>
      </c>
      <c r="Y35" s="78">
        <f t="shared" si="8"/>
        <v>12485000</v>
      </c>
    </row>
    <row r="36" spans="1:25" ht="25" customHeight="1" x14ac:dyDescent="0.35">
      <c r="A36" s="14">
        <v>33</v>
      </c>
      <c r="B36" s="1">
        <v>1232</v>
      </c>
      <c r="C36" s="2">
        <v>45108</v>
      </c>
      <c r="D36" s="4" t="s">
        <v>73</v>
      </c>
      <c r="E36" s="1" t="s">
        <v>177</v>
      </c>
      <c r="F36" s="1" t="s">
        <v>162</v>
      </c>
      <c r="G36" s="1" t="s">
        <v>196</v>
      </c>
      <c r="H36" s="1" t="s">
        <v>198</v>
      </c>
      <c r="I36" s="1" t="str">
        <f t="shared" si="5"/>
        <v>Soekarno-Hatta Airport</v>
      </c>
      <c r="J36" s="4" t="str">
        <f>INDEX('ADD1'!$B$5:$B$27,MATCH(Master!R36,'ADD1'!$C$5:$C$27,0))</f>
        <v>Supadio, Pontianak</v>
      </c>
      <c r="L36" s="1">
        <v>103</v>
      </c>
      <c r="M36" s="1" t="str">
        <f t="shared" si="0"/>
        <v>Tuesday</v>
      </c>
      <c r="N36" s="1">
        <f t="shared" si="1"/>
        <v>3</v>
      </c>
      <c r="O36" s="1" t="str">
        <f t="shared" si="2"/>
        <v>Tuesday</v>
      </c>
      <c r="P36" s="1">
        <f t="shared" si="3"/>
        <v>5</v>
      </c>
      <c r="Q36" s="6" t="s">
        <v>371</v>
      </c>
      <c r="R36" s="1" t="str">
        <f t="shared" si="6"/>
        <v>PNK</v>
      </c>
      <c r="S36" s="1" t="s">
        <v>319</v>
      </c>
      <c r="T36" s="11" t="str">
        <f>INDEX('ADD1'!$B$32:$B$53,MATCH(Master!S36,'ADD1'!$C$32:$C$53,0))</f>
        <v>Citilink</v>
      </c>
      <c r="U36" s="74">
        <f t="shared" si="9"/>
        <v>100</v>
      </c>
      <c r="V36" s="77">
        <f t="shared" si="7"/>
        <v>143.8329129844326</v>
      </c>
      <c r="W36" s="78">
        <f t="shared" si="4"/>
        <v>2150000</v>
      </c>
      <c r="Y36" s="78">
        <f t="shared" si="8"/>
        <v>2365000</v>
      </c>
    </row>
    <row r="37" spans="1:25" ht="25" customHeight="1" x14ac:dyDescent="0.35">
      <c r="A37">
        <v>34</v>
      </c>
      <c r="B37" s="1">
        <v>1233</v>
      </c>
      <c r="C37" s="2">
        <v>45108</v>
      </c>
      <c r="D37" s="4" t="s">
        <v>74</v>
      </c>
      <c r="E37" s="2">
        <v>30108</v>
      </c>
      <c r="F37" s="1" t="s">
        <v>162</v>
      </c>
      <c r="G37" s="1" t="s">
        <v>196</v>
      </c>
      <c r="H37" s="1" t="s">
        <v>199</v>
      </c>
      <c r="I37" s="1" t="str">
        <f t="shared" si="5"/>
        <v>Singapore Changi Airport</v>
      </c>
      <c r="K37" s="4" t="str">
        <f>INDEX('ADD1'!$D$5:$D$27,MATCH(Master!R37,'ADD1'!$E$5:$E$27,0))</f>
        <v>Capital International Airport</v>
      </c>
      <c r="L37" s="1">
        <v>103</v>
      </c>
      <c r="M37" s="1" t="str">
        <f t="shared" ref="M37:M68" si="13">VLOOKUP(L37,Departure,2,0)</f>
        <v>Tuesday</v>
      </c>
      <c r="N37" s="1">
        <f t="shared" ref="N37:N68" si="14">VLOOKUP(L37,Departure,3,0)</f>
        <v>3</v>
      </c>
      <c r="O37" s="1" t="str">
        <f t="shared" ref="O37:O68" si="15">HLOOKUP(L37,Arrival,2,0)</f>
        <v>Tuesday</v>
      </c>
      <c r="P37" s="1">
        <f t="shared" ref="P37:P68" si="16">HLOOKUP(L37,Arrival,3,0)</f>
        <v>5</v>
      </c>
      <c r="Q37" s="6" t="s">
        <v>406</v>
      </c>
      <c r="R37" s="1" t="str">
        <f t="shared" si="6"/>
        <v>PEK</v>
      </c>
      <c r="S37" s="1" t="s">
        <v>338</v>
      </c>
      <c r="T37" s="11" t="str">
        <f>INDEX('ADD1'!$B$32:$B$53,MATCH(Master!S37,'ADD1'!$C$32:$C$53,0))</f>
        <v>Malaysia Airlines</v>
      </c>
      <c r="U37" s="74">
        <f t="shared" si="9"/>
        <v>50</v>
      </c>
      <c r="V37" s="77">
        <f t="shared" ref="V37:V68" si="17">VLOOKUP(R37,Price,3,0)</f>
        <v>702.43980759839178</v>
      </c>
      <c r="W37" s="78">
        <f t="shared" ref="W37:W68" si="18">VLOOKUP(R37,Price,2,0)</f>
        <v>10500000</v>
      </c>
      <c r="X37" s="78">
        <f>W37*50%</f>
        <v>5250000</v>
      </c>
      <c r="Y37" s="78">
        <f t="shared" si="8"/>
        <v>11550000</v>
      </c>
    </row>
    <row r="38" spans="1:25" ht="25" customHeight="1" x14ac:dyDescent="0.35">
      <c r="A38" s="14">
        <v>35</v>
      </c>
      <c r="B38" s="1">
        <v>1234</v>
      </c>
      <c r="C38" s="2">
        <v>45139</v>
      </c>
      <c r="D38" s="4" t="s">
        <v>75</v>
      </c>
      <c r="E38" s="1" t="s">
        <v>178</v>
      </c>
      <c r="F38" s="1" t="s">
        <v>162</v>
      </c>
      <c r="G38" s="1" t="s">
        <v>196</v>
      </c>
      <c r="H38" s="1" t="s">
        <v>199</v>
      </c>
      <c r="I38" s="1" t="str">
        <f t="shared" si="5"/>
        <v>Singapore Changi Airport</v>
      </c>
      <c r="K38" s="4" t="str">
        <f>INDEX('ADD1'!$D$5:$D$27,MATCH(Master!R38,'ADD1'!$E$5:$E$27,0))</f>
        <v>Frankfut German International Airport</v>
      </c>
      <c r="L38" s="1">
        <v>106</v>
      </c>
      <c r="M38" s="1" t="str">
        <f t="shared" si="13"/>
        <v>Friday</v>
      </c>
      <c r="N38" s="1">
        <f t="shared" si="14"/>
        <v>12</v>
      </c>
      <c r="O38" s="1" t="str">
        <f t="shared" si="15"/>
        <v>Friday</v>
      </c>
      <c r="P38" s="1">
        <f t="shared" si="16"/>
        <v>14</v>
      </c>
      <c r="Q38" s="6" t="s">
        <v>407</v>
      </c>
      <c r="R38" s="1" t="str">
        <f t="shared" si="6"/>
        <v>FRA</v>
      </c>
      <c r="S38" s="1" t="s">
        <v>331</v>
      </c>
      <c r="T38" s="11" t="str">
        <f>INDEX('ADD1'!$B$32:$B$53,MATCH(Master!S38,'ADD1'!$C$32:$C$53,0))</f>
        <v>All Nippon Airways</v>
      </c>
      <c r="U38" s="74">
        <f t="shared" si="9"/>
        <v>50</v>
      </c>
      <c r="V38" s="77">
        <f t="shared" si="17"/>
        <v>692.73944835060445</v>
      </c>
      <c r="W38" s="78">
        <f t="shared" si="18"/>
        <v>10355000</v>
      </c>
      <c r="X38" s="78">
        <f t="shared" ref="X38:X40" si="19">W38*50%</f>
        <v>5177500</v>
      </c>
      <c r="Y38" s="78">
        <f t="shared" si="8"/>
        <v>11390500</v>
      </c>
    </row>
    <row r="39" spans="1:25" ht="25" customHeight="1" x14ac:dyDescent="0.35">
      <c r="A39">
        <v>36</v>
      </c>
      <c r="B39" s="1">
        <v>1235</v>
      </c>
      <c r="C39" s="2">
        <v>45139</v>
      </c>
      <c r="D39" s="4" t="s">
        <v>76</v>
      </c>
      <c r="E39" s="2">
        <v>33920</v>
      </c>
      <c r="F39" s="1" t="s">
        <v>162</v>
      </c>
      <c r="G39" s="1" t="s">
        <v>197</v>
      </c>
      <c r="H39" s="1" t="s">
        <v>199</v>
      </c>
      <c r="I39" s="1" t="str">
        <f t="shared" si="5"/>
        <v>Singapore Changi Airport</v>
      </c>
      <c r="K39" s="4" t="str">
        <f>INDEX('ADD1'!$D$5:$D$27,MATCH(Master!R39,'ADD1'!$E$5:$E$27,0))</f>
        <v>Frankfut German International Airport</v>
      </c>
      <c r="L39" s="1">
        <v>103</v>
      </c>
      <c r="M39" s="1" t="str">
        <f t="shared" si="13"/>
        <v>Tuesday</v>
      </c>
      <c r="N39" s="1">
        <f t="shared" si="14"/>
        <v>3</v>
      </c>
      <c r="O39" s="1" t="str">
        <f t="shared" si="15"/>
        <v>Tuesday</v>
      </c>
      <c r="P39" s="1">
        <f t="shared" si="16"/>
        <v>5</v>
      </c>
      <c r="Q39" s="6" t="s">
        <v>408</v>
      </c>
      <c r="R39" s="1" t="str">
        <f t="shared" si="6"/>
        <v>FRA</v>
      </c>
      <c r="S39" s="1" t="s">
        <v>337</v>
      </c>
      <c r="T39" s="11" t="str">
        <f>INDEX('ADD1'!$B$32:$B$53,MATCH(Master!S39,'ADD1'!$C$32:$C$53,0))</f>
        <v>Thai Airways International Airlines</v>
      </c>
      <c r="U39" s="74">
        <f t="shared" si="9"/>
        <v>50</v>
      </c>
      <c r="V39" s="77">
        <f t="shared" si="17"/>
        <v>692.73944835060445</v>
      </c>
      <c r="W39" s="78">
        <f t="shared" si="18"/>
        <v>10355000</v>
      </c>
      <c r="X39" s="78">
        <f t="shared" si="19"/>
        <v>5177500</v>
      </c>
      <c r="Y39" s="78">
        <f t="shared" si="8"/>
        <v>11390500</v>
      </c>
    </row>
    <row r="40" spans="1:25" ht="25" customHeight="1" x14ac:dyDescent="0.35">
      <c r="A40" s="14">
        <v>37</v>
      </c>
      <c r="B40" s="1">
        <v>1236</v>
      </c>
      <c r="C40" s="2">
        <v>45170</v>
      </c>
      <c r="D40" s="4" t="s">
        <v>77</v>
      </c>
      <c r="E40" s="2">
        <v>32143</v>
      </c>
      <c r="F40" s="1" t="s">
        <v>163</v>
      </c>
      <c r="G40" s="1" t="s">
        <v>197</v>
      </c>
      <c r="H40" s="1" t="s">
        <v>199</v>
      </c>
      <c r="I40" s="1" t="str">
        <f t="shared" si="5"/>
        <v>Singapore Changi Airport</v>
      </c>
      <c r="K40" s="4" t="str">
        <f>INDEX('ADD1'!$D$5:$D$27,MATCH(Master!R40,'ADD1'!$E$5:$E$27,0))</f>
        <v>Seri BegawanInternational Airport</v>
      </c>
      <c r="L40" s="1">
        <v>102</v>
      </c>
      <c r="M40" s="1" t="str">
        <f t="shared" si="13"/>
        <v>Monday</v>
      </c>
      <c r="N40" s="1">
        <f t="shared" si="14"/>
        <v>1</v>
      </c>
      <c r="O40" s="1" t="str">
        <f t="shared" si="15"/>
        <v>Monday</v>
      </c>
      <c r="P40" s="1">
        <f t="shared" si="16"/>
        <v>3</v>
      </c>
      <c r="Q40" s="6" t="s">
        <v>409</v>
      </c>
      <c r="R40" s="1" t="str">
        <f t="shared" si="6"/>
        <v>BWN</v>
      </c>
      <c r="S40" s="1" t="s">
        <v>330</v>
      </c>
      <c r="T40" s="11" t="str">
        <f>INDEX('ADD1'!$B$32:$B$53,MATCH(Master!S40,'ADD1'!$C$32:$C$53,0))</f>
        <v>Qatar Airways</v>
      </c>
      <c r="U40" s="74">
        <f t="shared" si="9"/>
        <v>50</v>
      </c>
      <c r="V40" s="77">
        <f t="shared" si="17"/>
        <v>582.02155486723893</v>
      </c>
      <c r="W40" s="78">
        <f t="shared" si="18"/>
        <v>8700000</v>
      </c>
      <c r="X40" s="78">
        <f t="shared" si="19"/>
        <v>4350000</v>
      </c>
      <c r="Y40" s="78">
        <f t="shared" si="8"/>
        <v>9570000</v>
      </c>
    </row>
    <row r="41" spans="1:25" ht="25" customHeight="1" x14ac:dyDescent="0.35">
      <c r="A41">
        <v>38</v>
      </c>
      <c r="B41" s="1">
        <v>1237</v>
      </c>
      <c r="C41" s="2">
        <v>45170</v>
      </c>
      <c r="D41" s="4" t="s">
        <v>78</v>
      </c>
      <c r="E41" s="2">
        <v>36504</v>
      </c>
      <c r="F41" s="1" t="s">
        <v>163</v>
      </c>
      <c r="G41" s="1" t="s">
        <v>197</v>
      </c>
      <c r="H41" s="1" t="s">
        <v>198</v>
      </c>
      <c r="I41" s="1" t="str">
        <f t="shared" si="5"/>
        <v>Soekarno-Hatta Airport</v>
      </c>
      <c r="J41" s="4" t="str">
        <f>INDEX('ADD1'!$B$5:$B$27,MATCH(Master!R41,'ADD1'!$C$5:$C$27,0))</f>
        <v>Sultan Thaha, Jambi</v>
      </c>
      <c r="L41" s="1">
        <v>101</v>
      </c>
      <c r="M41" s="1" t="str">
        <f t="shared" si="13"/>
        <v>Sunday</v>
      </c>
      <c r="N41" s="1">
        <f t="shared" si="14"/>
        <v>9</v>
      </c>
      <c r="O41" s="1" t="str">
        <f t="shared" si="15"/>
        <v>Sunday</v>
      </c>
      <c r="P41" s="1">
        <f t="shared" si="16"/>
        <v>11</v>
      </c>
      <c r="Q41" s="6" t="s">
        <v>346</v>
      </c>
      <c r="R41" s="1" t="str">
        <f t="shared" si="6"/>
        <v>DJB</v>
      </c>
      <c r="S41" s="1" t="s">
        <v>319</v>
      </c>
      <c r="T41" s="11" t="str">
        <f>INDEX('ADD1'!$B$32:$B$53,MATCH(Master!S41,'ADD1'!$C$32:$C$53,0))</f>
        <v>Citilink</v>
      </c>
      <c r="U41" s="74">
        <f t="shared" si="9"/>
        <v>100</v>
      </c>
      <c r="V41" s="77">
        <f t="shared" si="17"/>
        <v>157.54721398992501</v>
      </c>
      <c r="W41" s="78">
        <f t="shared" si="18"/>
        <v>2355000</v>
      </c>
      <c r="Y41" s="78">
        <f t="shared" si="8"/>
        <v>2590500</v>
      </c>
    </row>
    <row r="42" spans="1:25" ht="25" customHeight="1" x14ac:dyDescent="0.35">
      <c r="A42" s="14">
        <v>39</v>
      </c>
      <c r="B42" s="1">
        <v>1238</v>
      </c>
      <c r="C42" s="2">
        <v>45170</v>
      </c>
      <c r="D42" s="4" t="s">
        <v>79</v>
      </c>
      <c r="E42" s="1" t="s">
        <v>179</v>
      </c>
      <c r="F42" s="1" t="s">
        <v>162</v>
      </c>
      <c r="G42" s="1" t="s">
        <v>197</v>
      </c>
      <c r="H42" s="1" t="s">
        <v>198</v>
      </c>
      <c r="I42" s="1" t="str">
        <f t="shared" si="5"/>
        <v>Soekarno-Hatta Airport</v>
      </c>
      <c r="J42" s="4" t="str">
        <f>INDEX('ADD1'!$B$5:$B$27,MATCH(Master!R42,'ADD1'!$C$5:$C$27,0))</f>
        <v>Ngurah Rai, Denpasar Bali</v>
      </c>
      <c r="L42" s="1">
        <v>103</v>
      </c>
      <c r="M42" s="1" t="str">
        <f t="shared" si="13"/>
        <v>Tuesday</v>
      </c>
      <c r="N42" s="1">
        <f t="shared" si="14"/>
        <v>3</v>
      </c>
      <c r="O42" s="1" t="str">
        <f t="shared" si="15"/>
        <v>Tuesday</v>
      </c>
      <c r="P42" s="1">
        <f t="shared" si="16"/>
        <v>5</v>
      </c>
      <c r="Q42" s="6" t="s">
        <v>410</v>
      </c>
      <c r="R42" s="1" t="str">
        <f t="shared" si="6"/>
        <v>DPS</v>
      </c>
      <c r="S42" s="1" t="s">
        <v>317</v>
      </c>
      <c r="T42" s="11" t="str">
        <f>INDEX('ADD1'!$B$32:$B$53,MATCH(Master!S42,'ADD1'!$C$32:$C$53,0))</f>
        <v xml:space="preserve">Airfast </v>
      </c>
      <c r="U42" s="74">
        <f t="shared" si="9"/>
        <v>100</v>
      </c>
      <c r="V42" s="77">
        <f t="shared" si="17"/>
        <v>130.45310712541561</v>
      </c>
      <c r="W42" s="78">
        <f t="shared" si="18"/>
        <v>1950000</v>
      </c>
      <c r="Y42" s="78">
        <f t="shared" si="8"/>
        <v>2145000</v>
      </c>
    </row>
    <row r="43" spans="1:25" ht="25" customHeight="1" x14ac:dyDescent="0.35">
      <c r="A43">
        <v>40</v>
      </c>
      <c r="B43" s="1">
        <v>1239</v>
      </c>
      <c r="C43" s="2">
        <v>45170</v>
      </c>
      <c r="D43" s="4" t="s">
        <v>80</v>
      </c>
      <c r="E43" s="1" t="s">
        <v>180</v>
      </c>
      <c r="F43" s="1" t="s">
        <v>162</v>
      </c>
      <c r="G43" s="1" t="s">
        <v>196</v>
      </c>
      <c r="H43" s="1" t="s">
        <v>198</v>
      </c>
      <c r="I43" s="1" t="str">
        <f t="shared" si="5"/>
        <v>Soekarno-Hatta Airport</v>
      </c>
      <c r="J43" s="4" t="str">
        <f>INDEX('ADD1'!$B$5:$B$27,MATCH(Master!R43,'ADD1'!$C$5:$C$27,0))</f>
        <v>Juanda, Surabaya</v>
      </c>
      <c r="L43" s="1">
        <v>107</v>
      </c>
      <c r="M43" s="1" t="str">
        <f t="shared" si="13"/>
        <v>Saturday</v>
      </c>
      <c r="N43" s="1">
        <f t="shared" si="14"/>
        <v>3</v>
      </c>
      <c r="O43" s="1" t="str">
        <f t="shared" si="15"/>
        <v>Saturday</v>
      </c>
      <c r="P43" s="1">
        <f t="shared" si="16"/>
        <v>5</v>
      </c>
      <c r="Q43" s="6" t="s">
        <v>347</v>
      </c>
      <c r="R43" s="1" t="str">
        <f t="shared" si="6"/>
        <v>SUB</v>
      </c>
      <c r="S43" s="1" t="s">
        <v>317</v>
      </c>
      <c r="T43" s="11" t="str">
        <f>INDEX('ADD1'!$B$32:$B$53,MATCH(Master!S43,'ADD1'!$C$32:$C$53,0))</f>
        <v xml:space="preserve">Airfast </v>
      </c>
      <c r="U43" s="74">
        <f t="shared" si="9"/>
        <v>100</v>
      </c>
      <c r="V43" s="77">
        <f t="shared" si="17"/>
        <v>130.45310712541561</v>
      </c>
      <c r="W43" s="78">
        <f t="shared" si="18"/>
        <v>1950000</v>
      </c>
      <c r="Y43" s="78">
        <f t="shared" si="8"/>
        <v>2145000</v>
      </c>
    </row>
    <row r="44" spans="1:25" ht="25" customHeight="1" x14ac:dyDescent="0.35">
      <c r="A44" s="14">
        <v>41</v>
      </c>
      <c r="B44" s="1">
        <v>1240</v>
      </c>
      <c r="C44" s="2">
        <v>45170</v>
      </c>
      <c r="D44" s="4" t="s">
        <v>81</v>
      </c>
      <c r="E44" s="2">
        <v>36468</v>
      </c>
      <c r="F44" s="1" t="s">
        <v>162</v>
      </c>
      <c r="G44" s="1" t="s">
        <v>196</v>
      </c>
      <c r="H44" s="1" t="s">
        <v>198</v>
      </c>
      <c r="I44" s="1" t="str">
        <f t="shared" si="5"/>
        <v>Soekarno-Hatta Airport</v>
      </c>
      <c r="J44" s="4" t="str">
        <f>INDEX('ADD1'!$B$5:$B$27,MATCH(Master!R44,'ADD1'!$C$5:$C$27,0))</f>
        <v>Sultan Mahmud Badaruddin II, Palembang</v>
      </c>
      <c r="L44" s="1">
        <v>102</v>
      </c>
      <c r="M44" s="1" t="str">
        <f t="shared" si="13"/>
        <v>Monday</v>
      </c>
      <c r="N44" s="1">
        <f t="shared" si="14"/>
        <v>1</v>
      </c>
      <c r="O44" s="1" t="str">
        <f t="shared" si="15"/>
        <v>Monday</v>
      </c>
      <c r="P44" s="1">
        <f t="shared" si="16"/>
        <v>3</v>
      </c>
      <c r="Q44" s="6" t="s">
        <v>348</v>
      </c>
      <c r="R44" s="1" t="str">
        <f t="shared" si="6"/>
        <v>PLM</v>
      </c>
      <c r="S44" s="1" t="s">
        <v>321</v>
      </c>
      <c r="T44" s="11" t="str">
        <f>INDEX('ADD1'!$B$32:$B$53,MATCH(Master!S44,'ADD1'!$C$32:$C$53,0))</f>
        <v>Garuda Indonesia</v>
      </c>
      <c r="U44" s="74">
        <f t="shared" si="9"/>
        <v>100</v>
      </c>
      <c r="V44" s="77">
        <f t="shared" si="17"/>
        <v>147.17786444918684</v>
      </c>
      <c r="W44" s="78">
        <f t="shared" si="18"/>
        <v>2200000</v>
      </c>
      <c r="Y44" s="78">
        <f t="shared" si="8"/>
        <v>2420000</v>
      </c>
    </row>
    <row r="45" spans="1:25" ht="25" customHeight="1" x14ac:dyDescent="0.35">
      <c r="A45">
        <v>42</v>
      </c>
      <c r="B45" s="1">
        <v>1241</v>
      </c>
      <c r="C45" s="2">
        <v>45200</v>
      </c>
      <c r="D45" s="4" t="s">
        <v>82</v>
      </c>
      <c r="E45" s="1" t="s">
        <v>181</v>
      </c>
      <c r="F45" s="1" t="s">
        <v>163</v>
      </c>
      <c r="G45" s="1" t="s">
        <v>196</v>
      </c>
      <c r="H45" s="1" t="s">
        <v>198</v>
      </c>
      <c r="I45" s="1" t="str">
        <f t="shared" si="5"/>
        <v>Soekarno-Hatta Airport</v>
      </c>
      <c r="J45" s="4" t="str">
        <f>INDEX('ADD1'!$B$5:$B$27,MATCH(Master!R45,'ADD1'!$C$5:$C$27,0))</f>
        <v>Juanda, Surabaya</v>
      </c>
      <c r="L45" s="1">
        <v>101</v>
      </c>
      <c r="M45" s="1" t="str">
        <f t="shared" si="13"/>
        <v>Sunday</v>
      </c>
      <c r="N45" s="1">
        <f t="shared" si="14"/>
        <v>9</v>
      </c>
      <c r="O45" s="1" t="str">
        <f t="shared" si="15"/>
        <v>Sunday</v>
      </c>
      <c r="P45" s="1">
        <f t="shared" si="16"/>
        <v>11</v>
      </c>
      <c r="Q45" s="6" t="s">
        <v>349</v>
      </c>
      <c r="R45" s="1" t="str">
        <f t="shared" si="6"/>
        <v>SUB</v>
      </c>
      <c r="S45" s="1" t="s">
        <v>326</v>
      </c>
      <c r="T45" s="11" t="str">
        <f>INDEX('ADD1'!$B$32:$B$53,MATCH(Master!S45,'ADD1'!$C$32:$C$53,0))</f>
        <v>Lion Air</v>
      </c>
      <c r="U45" s="74">
        <f t="shared" si="9"/>
        <v>100</v>
      </c>
      <c r="V45" s="77">
        <f t="shared" si="17"/>
        <v>130.45310712541561</v>
      </c>
      <c r="W45" s="78">
        <f t="shared" si="18"/>
        <v>1950000</v>
      </c>
      <c r="Y45" s="78">
        <f t="shared" si="8"/>
        <v>2145000</v>
      </c>
    </row>
    <row r="46" spans="1:25" ht="25" customHeight="1" x14ac:dyDescent="0.35">
      <c r="A46" s="14">
        <v>43</v>
      </c>
      <c r="B46" s="1">
        <v>1242</v>
      </c>
      <c r="C46" s="2">
        <v>45200</v>
      </c>
      <c r="D46" s="4" t="s">
        <v>83</v>
      </c>
      <c r="E46" s="1" t="s">
        <v>182</v>
      </c>
      <c r="F46" s="1" t="s">
        <v>163</v>
      </c>
      <c r="G46" s="1" t="s">
        <v>196</v>
      </c>
      <c r="H46" s="1" t="s">
        <v>199</v>
      </c>
      <c r="I46" s="1" t="str">
        <f t="shared" si="5"/>
        <v>Singapore Changi Airport</v>
      </c>
      <c r="K46" s="4" t="str">
        <f>INDEX('ADD1'!$D$5:$D$27,MATCH(Master!R46,'ADD1'!$E$5:$E$27,0))</f>
        <v>Darwin International Airport</v>
      </c>
      <c r="L46" s="1">
        <v>104</v>
      </c>
      <c r="M46" s="1" t="str">
        <f t="shared" si="13"/>
        <v>Wednesday</v>
      </c>
      <c r="N46" s="1">
        <f t="shared" si="14"/>
        <v>7</v>
      </c>
      <c r="O46" s="1" t="str">
        <f t="shared" si="15"/>
        <v>Wednesday</v>
      </c>
      <c r="P46" s="1">
        <f t="shared" si="16"/>
        <v>9</v>
      </c>
      <c r="Q46" s="6" t="s">
        <v>390</v>
      </c>
      <c r="R46" s="1" t="str">
        <f t="shared" si="6"/>
        <v>DRW</v>
      </c>
      <c r="S46" s="1" t="s">
        <v>329</v>
      </c>
      <c r="T46" s="11" t="str">
        <f>INDEX('ADD1'!$B$32:$B$53,MATCH(Master!S46,'ADD1'!$C$32:$C$53,0))</f>
        <v xml:space="preserve">Emirates </v>
      </c>
      <c r="U46" s="74">
        <f t="shared" si="9"/>
        <v>50</v>
      </c>
      <c r="V46" s="77">
        <f t="shared" si="17"/>
        <v>705.784759063146</v>
      </c>
      <c r="W46" s="78">
        <f t="shared" si="18"/>
        <v>10550000</v>
      </c>
      <c r="X46" s="78">
        <f>W46*50%</f>
        <v>5275000</v>
      </c>
      <c r="Y46" s="78">
        <f t="shared" si="8"/>
        <v>11605000</v>
      </c>
    </row>
    <row r="47" spans="1:25" ht="25" customHeight="1" x14ac:dyDescent="0.35">
      <c r="A47">
        <v>44</v>
      </c>
      <c r="B47" s="1">
        <v>1243</v>
      </c>
      <c r="C47" s="2">
        <v>45231</v>
      </c>
      <c r="D47" s="4" t="s">
        <v>84</v>
      </c>
      <c r="E47" s="1" t="s">
        <v>183</v>
      </c>
      <c r="F47" s="1" t="s">
        <v>163</v>
      </c>
      <c r="G47" s="1" t="s">
        <v>196</v>
      </c>
      <c r="H47" s="1" t="s">
        <v>199</v>
      </c>
      <c r="I47" s="1" t="str">
        <f t="shared" si="5"/>
        <v>Singapore Changi Airport</v>
      </c>
      <c r="K47" s="4" t="str">
        <f>INDEX('ADD1'!$D$5:$D$27,MATCH(Master!R47,'ADD1'!$E$5:$E$27,0))</f>
        <v>Adelaide International Airport</v>
      </c>
      <c r="L47" s="1">
        <v>106</v>
      </c>
      <c r="M47" s="1" t="str">
        <f t="shared" si="13"/>
        <v>Friday</v>
      </c>
      <c r="N47" s="1">
        <f t="shared" si="14"/>
        <v>12</v>
      </c>
      <c r="O47" s="1" t="str">
        <f t="shared" si="15"/>
        <v>Friday</v>
      </c>
      <c r="P47" s="1">
        <f t="shared" si="16"/>
        <v>14</v>
      </c>
      <c r="Q47" s="6" t="s">
        <v>391</v>
      </c>
      <c r="R47" s="1" t="str">
        <f t="shared" si="6"/>
        <v>ADL</v>
      </c>
      <c r="S47" s="1" t="s">
        <v>329</v>
      </c>
      <c r="T47" s="11" t="str">
        <f>INDEX('ADD1'!$B$32:$B$53,MATCH(Master!S47,'ADD1'!$C$32:$C$53,0))</f>
        <v xml:space="preserve">Emirates </v>
      </c>
      <c r="U47" s="74">
        <f t="shared" si="9"/>
        <v>50</v>
      </c>
      <c r="V47" s="77">
        <f t="shared" si="17"/>
        <v>786.0635942172479</v>
      </c>
      <c r="W47" s="78">
        <f t="shared" si="18"/>
        <v>11750000</v>
      </c>
      <c r="X47" s="78">
        <f t="shared" ref="X47:X59" si="20">W47*50%</f>
        <v>5875000</v>
      </c>
      <c r="Y47" s="78">
        <f t="shared" si="8"/>
        <v>12925000</v>
      </c>
    </row>
    <row r="48" spans="1:25" ht="25" customHeight="1" x14ac:dyDescent="0.35">
      <c r="A48" s="14">
        <v>45</v>
      </c>
      <c r="B48" s="1">
        <v>1244</v>
      </c>
      <c r="C48" s="2">
        <v>45231</v>
      </c>
      <c r="D48" s="4" t="s">
        <v>85</v>
      </c>
      <c r="E48" s="1" t="s">
        <v>184</v>
      </c>
      <c r="F48" s="1" t="s">
        <v>162</v>
      </c>
      <c r="G48" s="1" t="s">
        <v>196</v>
      </c>
      <c r="H48" s="1" t="s">
        <v>199</v>
      </c>
      <c r="I48" s="1" t="str">
        <f t="shared" si="5"/>
        <v>Singapore Changi Airport</v>
      </c>
      <c r="K48" s="4" t="str">
        <f>INDEX('ADD1'!$D$5:$D$27,MATCH(Master!R48,'ADD1'!$E$5:$E$27,0))</f>
        <v>Istanbul Turkey International Airport</v>
      </c>
      <c r="L48" s="1">
        <v>103</v>
      </c>
      <c r="M48" s="1" t="str">
        <f t="shared" si="13"/>
        <v>Tuesday</v>
      </c>
      <c r="N48" s="1">
        <f t="shared" si="14"/>
        <v>3</v>
      </c>
      <c r="O48" s="1" t="str">
        <f t="shared" si="15"/>
        <v>Tuesday</v>
      </c>
      <c r="P48" s="1">
        <f t="shared" si="16"/>
        <v>5</v>
      </c>
      <c r="Q48" s="6" t="s">
        <v>392</v>
      </c>
      <c r="R48" s="1" t="str">
        <f t="shared" si="6"/>
        <v>IST</v>
      </c>
      <c r="S48" s="1" t="s">
        <v>332</v>
      </c>
      <c r="T48" s="11" t="str">
        <f>INDEX('ADD1'!$B$32:$B$53,MATCH(Master!S48,'ADD1'!$C$32:$C$53,0))</f>
        <v>Turkish Airlines</v>
      </c>
      <c r="U48" s="74">
        <f t="shared" si="9"/>
        <v>50</v>
      </c>
      <c r="V48" s="77">
        <f t="shared" si="17"/>
        <v>772.68378835823091</v>
      </c>
      <c r="W48" s="78">
        <f t="shared" si="18"/>
        <v>11550000</v>
      </c>
      <c r="X48" s="78">
        <f t="shared" si="20"/>
        <v>5775000</v>
      </c>
      <c r="Y48" s="78">
        <f t="shared" si="8"/>
        <v>12705000</v>
      </c>
    </row>
    <row r="49" spans="1:25" ht="25" customHeight="1" x14ac:dyDescent="0.35">
      <c r="A49">
        <v>46</v>
      </c>
      <c r="B49" s="1">
        <v>1245</v>
      </c>
      <c r="C49" s="2">
        <v>45231</v>
      </c>
      <c r="D49" s="4" t="s">
        <v>86</v>
      </c>
      <c r="E49" s="1" t="s">
        <v>185</v>
      </c>
      <c r="F49" s="1" t="s">
        <v>162</v>
      </c>
      <c r="G49" s="1" t="s">
        <v>196</v>
      </c>
      <c r="H49" s="1" t="s">
        <v>199</v>
      </c>
      <c r="I49" s="1" t="str">
        <f t="shared" si="5"/>
        <v>Singapore Changi Airport</v>
      </c>
      <c r="K49" s="4" t="str">
        <f>INDEX('ADD1'!$D$5:$D$27,MATCH(Master!R49,'ADD1'!$E$5:$E$27,0))</f>
        <v>Suvarnabhumi International Airport</v>
      </c>
      <c r="L49" s="1">
        <v>105</v>
      </c>
      <c r="M49" s="1" t="str">
        <f t="shared" si="13"/>
        <v>Thursday</v>
      </c>
      <c r="N49" s="1">
        <f t="shared" si="14"/>
        <v>9</v>
      </c>
      <c r="O49" s="1" t="str">
        <f t="shared" si="15"/>
        <v>Thursday</v>
      </c>
      <c r="P49" s="1">
        <f t="shared" si="16"/>
        <v>11</v>
      </c>
      <c r="Q49" s="6" t="s">
        <v>393</v>
      </c>
      <c r="R49" s="1" t="str">
        <f t="shared" si="6"/>
        <v>BKK</v>
      </c>
      <c r="S49" s="1" t="s">
        <v>337</v>
      </c>
      <c r="T49" s="11" t="str">
        <f>INDEX('ADD1'!$B$32:$B$53,MATCH(Master!S49,'ADD1'!$C$32:$C$53,0))</f>
        <v>Thai Airways International Airlines</v>
      </c>
      <c r="U49" s="74">
        <f t="shared" si="9"/>
        <v>50</v>
      </c>
      <c r="V49" s="77">
        <f t="shared" si="17"/>
        <v>170.59252470246656</v>
      </c>
      <c r="W49" s="78">
        <f t="shared" si="18"/>
        <v>2550000</v>
      </c>
      <c r="X49" s="78">
        <f t="shared" si="20"/>
        <v>1275000</v>
      </c>
      <c r="Y49" s="78">
        <f t="shared" si="8"/>
        <v>2805000</v>
      </c>
    </row>
    <row r="50" spans="1:25" ht="25" customHeight="1" x14ac:dyDescent="0.35">
      <c r="A50" s="14">
        <v>47</v>
      </c>
      <c r="B50" s="1">
        <v>1246</v>
      </c>
      <c r="C50" s="2">
        <v>45231</v>
      </c>
      <c r="D50" s="4" t="s">
        <v>87</v>
      </c>
      <c r="E50" s="1" t="s">
        <v>172</v>
      </c>
      <c r="F50" s="1" t="s">
        <v>163</v>
      </c>
      <c r="G50" s="1" t="s">
        <v>196</v>
      </c>
      <c r="H50" s="1" t="s">
        <v>199</v>
      </c>
      <c r="I50" s="1" t="str">
        <f t="shared" si="5"/>
        <v>Singapore Changi Airport</v>
      </c>
      <c r="K50" s="4" t="str">
        <f>INDEX('ADD1'!$D$5:$D$27,MATCH(Master!R50,'ADD1'!$E$5:$E$27,0))</f>
        <v>Suvarnabhumi International Airport</v>
      </c>
      <c r="L50" s="1">
        <v>106</v>
      </c>
      <c r="M50" s="1" t="str">
        <f t="shared" si="13"/>
        <v>Friday</v>
      </c>
      <c r="N50" s="1">
        <f t="shared" si="14"/>
        <v>12</v>
      </c>
      <c r="O50" s="1" t="str">
        <f t="shared" si="15"/>
        <v>Friday</v>
      </c>
      <c r="P50" s="1">
        <f t="shared" si="16"/>
        <v>14</v>
      </c>
      <c r="Q50" s="6" t="s">
        <v>394</v>
      </c>
      <c r="R50" s="1" t="str">
        <f t="shared" si="6"/>
        <v>BKK</v>
      </c>
      <c r="S50" s="1" t="s">
        <v>328</v>
      </c>
      <c r="T50" s="11" t="str">
        <f>INDEX('ADD1'!$B$32:$B$53,MATCH(Master!S50,'ADD1'!$C$32:$C$53,0))</f>
        <v>Singapore Airlines</v>
      </c>
      <c r="U50" s="74">
        <f t="shared" si="9"/>
        <v>50</v>
      </c>
      <c r="V50" s="77">
        <f t="shared" si="17"/>
        <v>170.59252470246656</v>
      </c>
      <c r="W50" s="78">
        <f t="shared" si="18"/>
        <v>2550000</v>
      </c>
      <c r="X50" s="78">
        <f t="shared" si="20"/>
        <v>1275000</v>
      </c>
      <c r="Y50" s="78">
        <f t="shared" si="8"/>
        <v>2805000</v>
      </c>
    </row>
    <row r="51" spans="1:25" ht="25" customHeight="1" x14ac:dyDescent="0.35">
      <c r="A51">
        <v>48</v>
      </c>
      <c r="B51" s="1">
        <v>1247</v>
      </c>
      <c r="C51" s="2">
        <v>45231</v>
      </c>
      <c r="D51" s="4" t="s">
        <v>88</v>
      </c>
      <c r="E51" s="2">
        <v>36348</v>
      </c>
      <c r="F51" s="1" t="s">
        <v>163</v>
      </c>
      <c r="G51" s="1" t="s">
        <v>196</v>
      </c>
      <c r="H51" s="1" t="s">
        <v>199</v>
      </c>
      <c r="I51" s="1" t="str">
        <f t="shared" si="5"/>
        <v>Singapore Changi Airport</v>
      </c>
      <c r="K51" s="4" t="str">
        <f>INDEX('ADD1'!$D$5:$D$27,MATCH(Master!R51,'ADD1'!$E$5:$E$27,0))</f>
        <v>Hanoi International Airport</v>
      </c>
      <c r="L51" s="1">
        <v>104</v>
      </c>
      <c r="M51" s="1" t="str">
        <f t="shared" si="13"/>
        <v>Wednesday</v>
      </c>
      <c r="N51" s="1">
        <f t="shared" si="14"/>
        <v>7</v>
      </c>
      <c r="O51" s="1" t="str">
        <f t="shared" si="15"/>
        <v>Wednesday</v>
      </c>
      <c r="P51" s="1">
        <f t="shared" si="16"/>
        <v>9</v>
      </c>
      <c r="Q51" s="6" t="s">
        <v>395</v>
      </c>
      <c r="R51" s="1" t="str">
        <f t="shared" si="6"/>
        <v>HAN</v>
      </c>
      <c r="S51" s="1" t="s">
        <v>331</v>
      </c>
      <c r="T51" s="11" t="str">
        <f>INDEX('ADD1'!$B$32:$B$53,MATCH(Master!S51,'ADD1'!$C$32:$C$53,0))</f>
        <v>All Nippon Airways</v>
      </c>
      <c r="U51" s="74">
        <f t="shared" si="9"/>
        <v>50</v>
      </c>
      <c r="V51" s="77">
        <f t="shared" si="17"/>
        <v>638.88572976806108</v>
      </c>
      <c r="W51" s="78">
        <f t="shared" si="18"/>
        <v>9550000</v>
      </c>
      <c r="X51" s="78">
        <f t="shared" si="20"/>
        <v>4775000</v>
      </c>
      <c r="Y51" s="78">
        <f t="shared" si="8"/>
        <v>10505000</v>
      </c>
    </row>
    <row r="52" spans="1:25" ht="25" customHeight="1" x14ac:dyDescent="0.35">
      <c r="A52" s="14">
        <v>49</v>
      </c>
      <c r="B52" s="1">
        <v>1248</v>
      </c>
      <c r="C52" s="2">
        <v>45231</v>
      </c>
      <c r="D52" s="4" t="s">
        <v>89</v>
      </c>
      <c r="E52" s="1" t="s">
        <v>173</v>
      </c>
      <c r="F52" s="1" t="s">
        <v>163</v>
      </c>
      <c r="G52" s="1" t="s">
        <v>196</v>
      </c>
      <c r="H52" s="1" t="s">
        <v>199</v>
      </c>
      <c r="I52" s="1" t="str">
        <f t="shared" si="5"/>
        <v>Singapore Changi Airport</v>
      </c>
      <c r="K52" s="4" t="str">
        <f>INDEX('ADD1'!$D$5:$D$27,MATCH(Master!R52,'ADD1'!$E$5:$E$27,0))</f>
        <v>Kuala Lumpur International Airport</v>
      </c>
      <c r="L52" s="1">
        <v>103</v>
      </c>
      <c r="M52" s="1" t="str">
        <f t="shared" si="13"/>
        <v>Tuesday</v>
      </c>
      <c r="N52" s="1">
        <f t="shared" si="14"/>
        <v>3</v>
      </c>
      <c r="O52" s="1" t="str">
        <f t="shared" si="15"/>
        <v>Tuesday</v>
      </c>
      <c r="P52" s="1">
        <f t="shared" si="16"/>
        <v>5</v>
      </c>
      <c r="Q52" s="5" t="s">
        <v>398</v>
      </c>
      <c r="R52" s="1" t="str">
        <f t="shared" si="6"/>
        <v>KUL</v>
      </c>
      <c r="S52" s="1" t="s">
        <v>328</v>
      </c>
      <c r="T52" s="11" t="str">
        <f>INDEX('ADD1'!$B$32:$B$53,MATCH(Master!S52,'ADD1'!$C$32:$C$53,0))</f>
        <v>Singapore Airlines</v>
      </c>
      <c r="U52" s="74">
        <f t="shared" si="9"/>
        <v>50</v>
      </c>
      <c r="V52" s="77">
        <f t="shared" si="17"/>
        <v>187.31728202623779</v>
      </c>
      <c r="W52" s="78">
        <f t="shared" si="18"/>
        <v>2800000</v>
      </c>
      <c r="X52" s="78">
        <f t="shared" si="20"/>
        <v>1400000</v>
      </c>
      <c r="Y52" s="78">
        <f t="shared" si="8"/>
        <v>3080000</v>
      </c>
    </row>
    <row r="53" spans="1:25" ht="25" customHeight="1" x14ac:dyDescent="0.35">
      <c r="A53">
        <v>50</v>
      </c>
      <c r="B53" s="1">
        <v>1249</v>
      </c>
      <c r="C53" s="2">
        <v>45231</v>
      </c>
      <c r="D53" s="4" t="s">
        <v>90</v>
      </c>
      <c r="E53" s="1" t="s">
        <v>174</v>
      </c>
      <c r="F53" s="1" t="s">
        <v>162</v>
      </c>
      <c r="G53" s="1" t="s">
        <v>196</v>
      </c>
      <c r="H53" s="1" t="s">
        <v>199</v>
      </c>
      <c r="I53" s="1" t="str">
        <f t="shared" si="5"/>
        <v>Singapore Changi Airport</v>
      </c>
      <c r="K53" s="4" t="str">
        <f>INDEX('ADD1'!$D$5:$D$27,MATCH(Master!R53,'ADD1'!$E$5:$E$27,0))</f>
        <v>Narita Tokyo International Airport</v>
      </c>
      <c r="L53" s="1">
        <v>107</v>
      </c>
      <c r="M53" s="1" t="str">
        <f t="shared" si="13"/>
        <v>Saturday</v>
      </c>
      <c r="N53" s="1">
        <f t="shared" si="14"/>
        <v>3</v>
      </c>
      <c r="O53" s="1" t="str">
        <f t="shared" si="15"/>
        <v>Saturday</v>
      </c>
      <c r="P53" s="1">
        <f t="shared" si="16"/>
        <v>5</v>
      </c>
      <c r="Q53" s="5" t="s">
        <v>399</v>
      </c>
      <c r="R53" s="1" t="str">
        <f t="shared" si="6"/>
        <v>NRT</v>
      </c>
      <c r="S53" s="1" t="s">
        <v>334</v>
      </c>
      <c r="T53" s="11" t="str">
        <f>INDEX('ADD1'!$B$32:$B$53,MATCH(Master!S53,'ADD1'!$C$32:$C$53,0))</f>
        <v>Saudia Airlines</v>
      </c>
      <c r="U53" s="74">
        <f t="shared" si="9"/>
        <v>50</v>
      </c>
      <c r="V53" s="77">
        <f t="shared" si="17"/>
        <v>551.91699168445064</v>
      </c>
      <c r="W53" s="78">
        <f t="shared" si="18"/>
        <v>8250000</v>
      </c>
      <c r="X53" s="78">
        <f t="shared" si="20"/>
        <v>4125000</v>
      </c>
      <c r="Y53" s="78">
        <f t="shared" si="8"/>
        <v>9075000</v>
      </c>
    </row>
    <row r="54" spans="1:25" ht="25" customHeight="1" x14ac:dyDescent="0.35">
      <c r="A54" s="14">
        <v>51</v>
      </c>
      <c r="B54" s="1">
        <v>1250</v>
      </c>
      <c r="C54" s="2">
        <v>45261</v>
      </c>
      <c r="D54" s="4" t="s">
        <v>91</v>
      </c>
      <c r="E54" s="1" t="s">
        <v>186</v>
      </c>
      <c r="F54" s="1" t="s">
        <v>163</v>
      </c>
      <c r="G54" s="1" t="s">
        <v>196</v>
      </c>
      <c r="H54" s="1" t="s">
        <v>199</v>
      </c>
      <c r="I54" s="1" t="str">
        <f t="shared" si="5"/>
        <v>Singapore Changi Airport</v>
      </c>
      <c r="K54" s="4" t="str">
        <f>INDEX('ADD1'!$D$5:$D$27,MATCH(Master!R54,'ADD1'!$E$5:$E$27,0))</f>
        <v>Osaka Japan International Airport</v>
      </c>
      <c r="L54" s="1">
        <v>104</v>
      </c>
      <c r="M54" s="1" t="str">
        <f t="shared" si="13"/>
        <v>Wednesday</v>
      </c>
      <c r="N54" s="1">
        <f t="shared" si="14"/>
        <v>7</v>
      </c>
      <c r="O54" s="1" t="str">
        <f t="shared" si="15"/>
        <v>Wednesday</v>
      </c>
      <c r="P54" s="1">
        <f t="shared" si="16"/>
        <v>9</v>
      </c>
      <c r="Q54" s="5" t="s">
        <v>400</v>
      </c>
      <c r="R54" s="1" t="str">
        <f t="shared" si="6"/>
        <v>KIX</v>
      </c>
      <c r="S54" s="1" t="s">
        <v>334</v>
      </c>
      <c r="T54" s="11" t="str">
        <f>INDEX('ADD1'!$B$32:$B$53,MATCH(Master!S54,'ADD1'!$C$32:$C$53,0))</f>
        <v>Saudia Airlines</v>
      </c>
      <c r="U54" s="74">
        <f t="shared" si="9"/>
        <v>50</v>
      </c>
      <c r="V54" s="77">
        <f t="shared" si="17"/>
        <v>919.86165280741784</v>
      </c>
      <c r="W54" s="78">
        <f t="shared" si="18"/>
        <v>13750000</v>
      </c>
      <c r="X54" s="78">
        <f t="shared" si="20"/>
        <v>6875000</v>
      </c>
      <c r="Y54" s="78">
        <f t="shared" si="8"/>
        <v>15125000</v>
      </c>
    </row>
    <row r="55" spans="1:25" ht="25" customHeight="1" x14ac:dyDescent="0.35">
      <c r="A55">
        <v>52</v>
      </c>
      <c r="B55" s="1">
        <v>1251</v>
      </c>
      <c r="C55" s="2">
        <v>45261</v>
      </c>
      <c r="D55" s="4" t="s">
        <v>92</v>
      </c>
      <c r="E55" s="1" t="s">
        <v>187</v>
      </c>
      <c r="F55" s="1" t="s">
        <v>163</v>
      </c>
      <c r="G55" s="1" t="s">
        <v>196</v>
      </c>
      <c r="H55" s="1" t="s">
        <v>199</v>
      </c>
      <c r="I55" s="1" t="str">
        <f t="shared" si="5"/>
        <v>Singapore Changi Airport</v>
      </c>
      <c r="K55" s="4" t="str">
        <f>INDEX('ADD1'!$D$5:$D$27,MATCH(Master!R55,'ADD1'!$E$5:$E$27,0))</f>
        <v>Baiyun International Airport</v>
      </c>
      <c r="L55" s="1">
        <v>105</v>
      </c>
      <c r="M55" s="1" t="str">
        <f t="shared" si="13"/>
        <v>Thursday</v>
      </c>
      <c r="N55" s="1">
        <f t="shared" si="14"/>
        <v>9</v>
      </c>
      <c r="O55" s="1" t="str">
        <f t="shared" si="15"/>
        <v>Thursday</v>
      </c>
      <c r="P55" s="1">
        <f t="shared" si="16"/>
        <v>11</v>
      </c>
      <c r="Q55" s="5" t="s">
        <v>401</v>
      </c>
      <c r="R55" s="1" t="str">
        <f t="shared" si="6"/>
        <v>CAN</v>
      </c>
      <c r="S55" s="1" t="s">
        <v>335</v>
      </c>
      <c r="T55" s="11" t="str">
        <f>INDEX('ADD1'!$B$32:$B$53,MATCH(Master!S55,'ADD1'!$C$32:$C$53,0))</f>
        <v>Air France Airlines</v>
      </c>
      <c r="U55" s="74">
        <f t="shared" si="9"/>
        <v>50</v>
      </c>
      <c r="V55" s="77">
        <f t="shared" si="17"/>
        <v>658.95543855658661</v>
      </c>
      <c r="W55" s="78">
        <f t="shared" si="18"/>
        <v>9850000</v>
      </c>
      <c r="X55" s="78">
        <f t="shared" si="20"/>
        <v>4925000</v>
      </c>
      <c r="Y55" s="78">
        <f t="shared" si="8"/>
        <v>10835000</v>
      </c>
    </row>
    <row r="56" spans="1:25" ht="25" customHeight="1" x14ac:dyDescent="0.35">
      <c r="A56" s="14">
        <v>53</v>
      </c>
      <c r="B56" s="1">
        <v>1252</v>
      </c>
      <c r="C56" s="2">
        <v>45261</v>
      </c>
      <c r="D56" s="4" t="s">
        <v>93</v>
      </c>
      <c r="E56" s="1" t="s">
        <v>188</v>
      </c>
      <c r="F56" s="1" t="s">
        <v>163</v>
      </c>
      <c r="G56" s="1" t="s">
        <v>196</v>
      </c>
      <c r="H56" s="1" t="s">
        <v>199</v>
      </c>
      <c r="I56" s="1" t="str">
        <f t="shared" si="5"/>
        <v>Singapore Changi Airport</v>
      </c>
      <c r="K56" s="4" t="str">
        <f>INDEX('ADD1'!$D$5:$D$27,MATCH(Master!R56,'ADD1'!$E$5:$E$27,0))</f>
        <v>Zurich International Airport</v>
      </c>
      <c r="L56" s="1">
        <v>102</v>
      </c>
      <c r="M56" s="1" t="str">
        <f t="shared" si="13"/>
        <v>Monday</v>
      </c>
      <c r="N56" s="1">
        <f t="shared" si="14"/>
        <v>1</v>
      </c>
      <c r="O56" s="1" t="str">
        <f t="shared" si="15"/>
        <v>Monday</v>
      </c>
      <c r="P56" s="1">
        <f t="shared" si="16"/>
        <v>3</v>
      </c>
      <c r="Q56" s="5" t="s">
        <v>402</v>
      </c>
      <c r="R56" s="1" t="str">
        <f t="shared" si="6"/>
        <v>ZRH</v>
      </c>
      <c r="S56" s="1" t="s">
        <v>332</v>
      </c>
      <c r="T56" s="11" t="str">
        <f>INDEX('ADD1'!$B$32:$B$53,MATCH(Master!S56,'ADD1'!$C$32:$C$53,0))</f>
        <v>Turkish Airlines</v>
      </c>
      <c r="U56" s="74">
        <f t="shared" si="9"/>
        <v>50</v>
      </c>
      <c r="V56" s="77">
        <f t="shared" si="17"/>
        <v>699.429351280113</v>
      </c>
      <c r="W56" s="78">
        <f t="shared" si="18"/>
        <v>10455000</v>
      </c>
      <c r="X56" s="78">
        <f t="shared" si="20"/>
        <v>5227500</v>
      </c>
      <c r="Y56" s="78">
        <f t="shared" si="8"/>
        <v>11500500</v>
      </c>
    </row>
    <row r="57" spans="1:25" ht="25" customHeight="1" x14ac:dyDescent="0.35">
      <c r="A57">
        <v>54</v>
      </c>
      <c r="B57" s="1">
        <v>1253</v>
      </c>
      <c r="C57" s="2" t="s">
        <v>19</v>
      </c>
      <c r="D57" s="4" t="s">
        <v>94</v>
      </c>
      <c r="E57" s="1" t="s">
        <v>176</v>
      </c>
      <c r="F57" s="1" t="s">
        <v>163</v>
      </c>
      <c r="G57" s="1" t="s">
        <v>196</v>
      </c>
      <c r="H57" s="1" t="s">
        <v>199</v>
      </c>
      <c r="I57" s="1" t="str">
        <f t="shared" si="5"/>
        <v>Singapore Changi Airport</v>
      </c>
      <c r="K57" s="4" t="str">
        <f>INDEX('ADD1'!$D$5:$D$27,MATCH(Master!R57,'ADD1'!$E$5:$E$27,0))</f>
        <v>Brisbane International Airport</v>
      </c>
      <c r="L57" s="1">
        <v>105</v>
      </c>
      <c r="M57" s="1" t="str">
        <f t="shared" si="13"/>
        <v>Thursday</v>
      </c>
      <c r="N57" s="1">
        <f t="shared" si="14"/>
        <v>9</v>
      </c>
      <c r="O57" s="1" t="str">
        <f t="shared" si="15"/>
        <v>Thursday</v>
      </c>
      <c r="P57" s="1">
        <f t="shared" si="16"/>
        <v>11</v>
      </c>
      <c r="Q57" s="5" t="s">
        <v>403</v>
      </c>
      <c r="R57" s="1" t="str">
        <f t="shared" si="6"/>
        <v>BNE</v>
      </c>
      <c r="S57" s="1" t="s">
        <v>330</v>
      </c>
      <c r="T57" s="11" t="str">
        <f>INDEX('ADD1'!$B$32:$B$53,MATCH(Master!S57,'ADD1'!$C$32:$C$53,0))</f>
        <v>Qatar Airways</v>
      </c>
      <c r="U57" s="74">
        <f t="shared" si="9"/>
        <v>50</v>
      </c>
      <c r="V57" s="77">
        <f t="shared" si="17"/>
        <v>692.40495320412901</v>
      </c>
      <c r="W57" s="78">
        <f t="shared" si="18"/>
        <v>10350000</v>
      </c>
      <c r="X57" s="78">
        <f t="shared" si="20"/>
        <v>5175000</v>
      </c>
      <c r="Y57" s="78">
        <f t="shared" si="8"/>
        <v>11385000</v>
      </c>
    </row>
    <row r="58" spans="1:25" ht="25" customHeight="1" x14ac:dyDescent="0.35">
      <c r="A58" s="14">
        <v>55</v>
      </c>
      <c r="B58" s="1">
        <v>1254</v>
      </c>
      <c r="C58" s="1" t="s">
        <v>18</v>
      </c>
      <c r="D58" s="4" t="s">
        <v>95</v>
      </c>
      <c r="E58" s="2">
        <v>35737</v>
      </c>
      <c r="F58" s="1" t="s">
        <v>163</v>
      </c>
      <c r="G58" s="1" t="s">
        <v>197</v>
      </c>
      <c r="H58" s="1" t="s">
        <v>199</v>
      </c>
      <c r="I58" s="1" t="str">
        <f t="shared" si="5"/>
        <v>Singapore Changi Airport</v>
      </c>
      <c r="K58" s="4" t="str">
        <f>INDEX('ADD1'!$D$5:$D$27,MATCH(Master!R58,'ADD1'!$E$5:$E$27,0))</f>
        <v>Darwin International Airport</v>
      </c>
      <c r="L58" s="1">
        <v>102</v>
      </c>
      <c r="M58" s="1" t="str">
        <f t="shared" si="13"/>
        <v>Monday</v>
      </c>
      <c r="N58" s="1">
        <f t="shared" si="14"/>
        <v>1</v>
      </c>
      <c r="O58" s="1" t="str">
        <f t="shared" si="15"/>
        <v>Monday</v>
      </c>
      <c r="P58" s="1">
        <f t="shared" si="16"/>
        <v>3</v>
      </c>
      <c r="Q58" s="5" t="s">
        <v>404</v>
      </c>
      <c r="R58" s="1" t="str">
        <f t="shared" si="6"/>
        <v>DRW</v>
      </c>
      <c r="S58" s="1" t="s">
        <v>329</v>
      </c>
      <c r="T58" s="11" t="str">
        <f>INDEX('ADD1'!$B$32:$B$53,MATCH(Master!S58,'ADD1'!$C$32:$C$53,0))</f>
        <v xml:space="preserve">Emirates </v>
      </c>
      <c r="U58" s="74">
        <f t="shared" si="9"/>
        <v>50</v>
      </c>
      <c r="V58" s="77">
        <f t="shared" si="17"/>
        <v>705.784759063146</v>
      </c>
      <c r="W58" s="78">
        <f t="shared" si="18"/>
        <v>10550000</v>
      </c>
      <c r="X58" s="78">
        <f t="shared" si="20"/>
        <v>5275000</v>
      </c>
      <c r="Y58" s="78">
        <f t="shared" si="8"/>
        <v>11605000</v>
      </c>
    </row>
    <row r="59" spans="1:25" ht="25" customHeight="1" x14ac:dyDescent="0.35">
      <c r="A59">
        <v>56</v>
      </c>
      <c r="B59" s="1">
        <v>1255</v>
      </c>
      <c r="C59" s="1" t="s">
        <v>18</v>
      </c>
      <c r="D59" s="4" t="s">
        <v>96</v>
      </c>
      <c r="E59" s="2">
        <v>35771</v>
      </c>
      <c r="F59" s="1" t="s">
        <v>162</v>
      </c>
      <c r="G59" s="1" t="s">
        <v>197</v>
      </c>
      <c r="H59" s="1" t="s">
        <v>199</v>
      </c>
      <c r="I59" s="1" t="str">
        <f t="shared" si="5"/>
        <v>Singapore Changi Airport</v>
      </c>
      <c r="K59" s="4" t="str">
        <f>INDEX('ADD1'!$D$5:$D$27,MATCH(Master!R59,'ADD1'!$E$5:$E$27,0))</f>
        <v>Schiphol International Airport</v>
      </c>
      <c r="L59" s="1">
        <v>105</v>
      </c>
      <c r="M59" s="1" t="str">
        <f t="shared" si="13"/>
        <v>Thursday</v>
      </c>
      <c r="N59" s="1">
        <f t="shared" si="14"/>
        <v>9</v>
      </c>
      <c r="O59" s="1" t="str">
        <f t="shared" si="15"/>
        <v>Thursday</v>
      </c>
      <c r="P59" s="1">
        <f t="shared" si="16"/>
        <v>11</v>
      </c>
      <c r="Q59" s="5" t="s">
        <v>405</v>
      </c>
      <c r="R59" s="1" t="str">
        <f t="shared" si="6"/>
        <v>AMS</v>
      </c>
      <c r="S59" s="1" t="s">
        <v>336</v>
      </c>
      <c r="T59" s="11" t="str">
        <f>INDEX('ADD1'!$B$32:$B$53,MATCH(Master!S59,'ADD1'!$C$32:$C$53,0))</f>
        <v>Cathay Pacific Airlines</v>
      </c>
      <c r="U59" s="74">
        <f t="shared" si="9"/>
        <v>50</v>
      </c>
      <c r="V59" s="77">
        <f t="shared" si="17"/>
        <v>839.91731279979126</v>
      </c>
      <c r="W59" s="78">
        <f t="shared" si="18"/>
        <v>12555000</v>
      </c>
      <c r="X59" s="78">
        <f t="shared" si="20"/>
        <v>6277500</v>
      </c>
      <c r="Y59" s="78">
        <f t="shared" si="8"/>
        <v>13810500</v>
      </c>
    </row>
    <row r="60" spans="1:25" ht="25" customHeight="1" x14ac:dyDescent="0.35">
      <c r="A60" s="14">
        <v>57</v>
      </c>
      <c r="B60" s="1">
        <v>1256</v>
      </c>
      <c r="C60" s="1" t="s">
        <v>18</v>
      </c>
      <c r="D60" s="4" t="s">
        <v>97</v>
      </c>
      <c r="E60" s="2">
        <v>31599</v>
      </c>
      <c r="F60" s="1" t="s">
        <v>162</v>
      </c>
      <c r="G60" s="1" t="s">
        <v>197</v>
      </c>
      <c r="H60" s="1" t="s">
        <v>198</v>
      </c>
      <c r="I60" s="1" t="str">
        <f t="shared" si="5"/>
        <v>Soekarno-Hatta Airport</v>
      </c>
      <c r="J60" s="4" t="str">
        <f>INDEX('ADD1'!$B$5:$B$27,MATCH(Master!R60,'ADD1'!$C$5:$C$27,0))</f>
        <v>Pattimura, Ambon</v>
      </c>
      <c r="L60" s="1">
        <v>104</v>
      </c>
      <c r="M60" s="1" t="str">
        <f t="shared" si="13"/>
        <v>Wednesday</v>
      </c>
      <c r="N60" s="1">
        <f t="shared" si="14"/>
        <v>7</v>
      </c>
      <c r="O60" s="1" t="str">
        <f t="shared" si="15"/>
        <v>Wednesday</v>
      </c>
      <c r="P60" s="1">
        <f t="shared" si="16"/>
        <v>9</v>
      </c>
      <c r="Q60" s="6" t="s">
        <v>366</v>
      </c>
      <c r="R60" s="1" t="str">
        <f t="shared" si="6"/>
        <v>AMQ</v>
      </c>
      <c r="S60" s="1" t="s">
        <v>326</v>
      </c>
      <c r="T60" s="11" t="str">
        <f>INDEX('ADD1'!$B$32:$B$53,MATCH(Master!S60,'ADD1'!$C$32:$C$53,0))</f>
        <v>Lion Air</v>
      </c>
      <c r="U60" s="74">
        <f t="shared" si="9"/>
        <v>100</v>
      </c>
      <c r="V60" s="77">
        <f t="shared" si="17"/>
        <v>250.87135985656849</v>
      </c>
      <c r="W60" s="78">
        <f t="shared" si="18"/>
        <v>3750000</v>
      </c>
      <c r="Y60" s="78">
        <f t="shared" si="8"/>
        <v>4125000</v>
      </c>
    </row>
    <row r="61" spans="1:25" ht="25" customHeight="1" x14ac:dyDescent="0.35">
      <c r="A61">
        <v>58</v>
      </c>
      <c r="B61" s="1">
        <v>1257</v>
      </c>
      <c r="C61" s="1" t="s">
        <v>20</v>
      </c>
      <c r="D61" s="4" t="s">
        <v>98</v>
      </c>
      <c r="E61" s="2">
        <v>29285</v>
      </c>
      <c r="F61" s="1" t="s">
        <v>163</v>
      </c>
      <c r="G61" s="1" t="s">
        <v>197</v>
      </c>
      <c r="H61" s="1" t="s">
        <v>199</v>
      </c>
      <c r="I61" s="1" t="str">
        <f t="shared" si="5"/>
        <v>Singapore Changi Airport</v>
      </c>
      <c r="K61" s="4" t="str">
        <f>INDEX('ADD1'!$D$5:$D$27,MATCH(Master!R61,'ADD1'!$E$5:$E$27,0))</f>
        <v>Darwin International Airport</v>
      </c>
      <c r="L61" s="1">
        <v>104</v>
      </c>
      <c r="M61" s="1" t="str">
        <f t="shared" si="13"/>
        <v>Wednesday</v>
      </c>
      <c r="N61" s="1">
        <f t="shared" si="14"/>
        <v>7</v>
      </c>
      <c r="O61" s="1" t="str">
        <f t="shared" si="15"/>
        <v>Wednesday</v>
      </c>
      <c r="P61" s="1">
        <f t="shared" si="16"/>
        <v>9</v>
      </c>
      <c r="Q61" s="6" t="s">
        <v>390</v>
      </c>
      <c r="R61" s="1" t="str">
        <f t="shared" si="6"/>
        <v>DRW</v>
      </c>
      <c r="S61" s="1" t="s">
        <v>329</v>
      </c>
      <c r="T61" s="11" t="str">
        <f>INDEX('ADD1'!$B$32:$B$53,MATCH(Master!S61,'ADD1'!$C$32:$C$53,0))</f>
        <v xml:space="preserve">Emirates </v>
      </c>
      <c r="U61" s="74">
        <f t="shared" si="9"/>
        <v>50</v>
      </c>
      <c r="V61" s="77">
        <f t="shared" si="17"/>
        <v>705.784759063146</v>
      </c>
      <c r="W61" s="78">
        <f t="shared" si="18"/>
        <v>10550000</v>
      </c>
      <c r="X61" s="78">
        <f>W61*50%</f>
        <v>5275000</v>
      </c>
      <c r="Y61" s="78">
        <f t="shared" si="8"/>
        <v>11605000</v>
      </c>
    </row>
    <row r="62" spans="1:25" ht="25" customHeight="1" x14ac:dyDescent="0.35">
      <c r="A62" s="14">
        <v>59</v>
      </c>
      <c r="B62" s="1">
        <v>1258</v>
      </c>
      <c r="C62" s="1" t="s">
        <v>20</v>
      </c>
      <c r="D62" s="4" t="s">
        <v>99</v>
      </c>
      <c r="E62" s="2">
        <v>29567</v>
      </c>
      <c r="F62" s="1" t="s">
        <v>162</v>
      </c>
      <c r="G62" s="1" t="s">
        <v>197</v>
      </c>
      <c r="H62" s="1" t="s">
        <v>199</v>
      </c>
      <c r="I62" s="1" t="str">
        <f t="shared" si="5"/>
        <v>Singapore Changi Airport</v>
      </c>
      <c r="K62" s="4" t="str">
        <f>INDEX('ADD1'!$D$5:$D$27,MATCH(Master!R62,'ADD1'!$E$5:$E$27,0))</f>
        <v>Adelaide International Airport</v>
      </c>
      <c r="L62" s="1">
        <v>106</v>
      </c>
      <c r="M62" s="1" t="str">
        <f t="shared" si="13"/>
        <v>Friday</v>
      </c>
      <c r="N62" s="1">
        <f t="shared" si="14"/>
        <v>12</v>
      </c>
      <c r="O62" s="1" t="str">
        <f t="shared" si="15"/>
        <v>Friday</v>
      </c>
      <c r="P62" s="1">
        <f t="shared" si="16"/>
        <v>14</v>
      </c>
      <c r="Q62" s="6" t="s">
        <v>391</v>
      </c>
      <c r="R62" s="1" t="str">
        <f t="shared" si="6"/>
        <v>ADL</v>
      </c>
      <c r="S62" s="1" t="s">
        <v>329</v>
      </c>
      <c r="T62" s="11" t="str">
        <f>INDEX('ADD1'!$B$32:$B$53,MATCH(Master!S62,'ADD1'!$C$32:$C$53,0))</f>
        <v xml:space="preserve">Emirates </v>
      </c>
      <c r="U62" s="74">
        <f t="shared" si="9"/>
        <v>50</v>
      </c>
      <c r="V62" s="77">
        <f t="shared" si="17"/>
        <v>786.0635942172479</v>
      </c>
      <c r="W62" s="78">
        <f t="shared" si="18"/>
        <v>11750000</v>
      </c>
      <c r="X62" s="78">
        <f t="shared" ref="X62:X63" si="21">W62*50%</f>
        <v>5875000</v>
      </c>
      <c r="Y62" s="78">
        <f t="shared" si="8"/>
        <v>12925000</v>
      </c>
    </row>
    <row r="63" spans="1:25" ht="25" customHeight="1" x14ac:dyDescent="0.35">
      <c r="A63">
        <v>60</v>
      </c>
      <c r="B63" s="1">
        <v>1259</v>
      </c>
      <c r="C63" s="1" t="s">
        <v>21</v>
      </c>
      <c r="D63" s="4" t="s">
        <v>100</v>
      </c>
      <c r="E63" s="2">
        <v>29688</v>
      </c>
      <c r="F63" s="1" t="s">
        <v>163</v>
      </c>
      <c r="G63" s="1" t="s">
        <v>197</v>
      </c>
      <c r="H63" s="1" t="s">
        <v>199</v>
      </c>
      <c r="I63" s="1" t="str">
        <f t="shared" si="5"/>
        <v>Singapore Changi Airport</v>
      </c>
      <c r="K63" s="4" t="str">
        <f>INDEX('ADD1'!$D$5:$D$27,MATCH(Master!R63,'ADD1'!$E$5:$E$27,0))</f>
        <v>Istanbul Turkey International Airport</v>
      </c>
      <c r="L63" s="1">
        <v>103</v>
      </c>
      <c r="M63" s="1" t="str">
        <f t="shared" si="13"/>
        <v>Tuesday</v>
      </c>
      <c r="N63" s="1">
        <f t="shared" si="14"/>
        <v>3</v>
      </c>
      <c r="O63" s="1" t="str">
        <f t="shared" si="15"/>
        <v>Tuesday</v>
      </c>
      <c r="P63" s="1">
        <f t="shared" si="16"/>
        <v>5</v>
      </c>
      <c r="Q63" s="6" t="s">
        <v>392</v>
      </c>
      <c r="R63" s="1" t="str">
        <f t="shared" si="6"/>
        <v>IST</v>
      </c>
      <c r="S63" s="1" t="s">
        <v>332</v>
      </c>
      <c r="T63" s="11" t="str">
        <f>INDEX('ADD1'!$B$32:$B$53,MATCH(Master!S63,'ADD1'!$C$32:$C$53,0))</f>
        <v>Turkish Airlines</v>
      </c>
      <c r="U63" s="74">
        <f t="shared" si="9"/>
        <v>50</v>
      </c>
      <c r="V63" s="77">
        <f t="shared" si="17"/>
        <v>772.68378835823091</v>
      </c>
      <c r="W63" s="78">
        <f t="shared" si="18"/>
        <v>11550000</v>
      </c>
      <c r="X63" s="78">
        <f t="shared" si="21"/>
        <v>5775000</v>
      </c>
      <c r="Y63" s="78">
        <f t="shared" si="8"/>
        <v>12705000</v>
      </c>
    </row>
    <row r="64" spans="1:25" ht="25" customHeight="1" x14ac:dyDescent="0.35">
      <c r="A64" s="14">
        <v>61</v>
      </c>
      <c r="B64" s="1">
        <v>1260</v>
      </c>
      <c r="C64" s="1" t="s">
        <v>21</v>
      </c>
      <c r="D64" s="4" t="s">
        <v>101</v>
      </c>
      <c r="E64" s="1" t="s">
        <v>177</v>
      </c>
      <c r="F64" s="1" t="s">
        <v>163</v>
      </c>
      <c r="G64" s="1" t="s">
        <v>196</v>
      </c>
      <c r="H64" s="1" t="s">
        <v>198</v>
      </c>
      <c r="I64" s="1" t="str">
        <f t="shared" si="5"/>
        <v>Soekarno-Hatta Airport</v>
      </c>
      <c r="J64" s="4" t="str">
        <f>INDEX('ADD1'!$B$5:$B$27,MATCH(Master!R64,'ADD1'!$C$5:$C$27,0))</f>
        <v>Supadio, Pontianak</v>
      </c>
      <c r="L64" s="1">
        <v>107</v>
      </c>
      <c r="M64" s="1" t="str">
        <f t="shared" si="13"/>
        <v>Saturday</v>
      </c>
      <c r="N64" s="1">
        <f t="shared" si="14"/>
        <v>3</v>
      </c>
      <c r="O64" s="1" t="str">
        <f t="shared" si="15"/>
        <v>Saturday</v>
      </c>
      <c r="P64" s="1">
        <f t="shared" si="16"/>
        <v>5</v>
      </c>
      <c r="Q64" s="6" t="s">
        <v>370</v>
      </c>
      <c r="R64" s="1" t="str">
        <f t="shared" si="6"/>
        <v>PNK</v>
      </c>
      <c r="S64" s="1" t="s">
        <v>327</v>
      </c>
      <c r="T64" s="11" t="str">
        <f>INDEX('ADD1'!$B$32:$B$53,MATCH(Master!S64,'ADD1'!$C$32:$C$53,0))</f>
        <v>Pelita Air</v>
      </c>
      <c r="U64" s="74">
        <f t="shared" si="9"/>
        <v>100</v>
      </c>
      <c r="V64" s="77">
        <f t="shared" si="17"/>
        <v>143.8329129844326</v>
      </c>
      <c r="W64" s="78">
        <f t="shared" si="18"/>
        <v>2150000</v>
      </c>
      <c r="Y64" s="78">
        <f t="shared" si="8"/>
        <v>2365000</v>
      </c>
    </row>
    <row r="65" spans="1:25" ht="25" customHeight="1" x14ac:dyDescent="0.35">
      <c r="A65">
        <v>62</v>
      </c>
      <c r="B65" s="1">
        <v>1261</v>
      </c>
      <c r="C65" s="1" t="s">
        <v>21</v>
      </c>
      <c r="D65" s="4" t="s">
        <v>102</v>
      </c>
      <c r="E65" s="2">
        <v>30108</v>
      </c>
      <c r="F65" s="1" t="s">
        <v>162</v>
      </c>
      <c r="G65" s="1" t="s">
        <v>196</v>
      </c>
      <c r="H65" s="1" t="s">
        <v>198</v>
      </c>
      <c r="I65" s="1" t="str">
        <f t="shared" si="5"/>
        <v>Soekarno-Hatta Airport</v>
      </c>
      <c r="J65" s="4" t="str">
        <f>INDEX('ADD1'!$B$5:$B$27,MATCH(Master!R65,'ADD1'!$C$5:$C$27,0))</f>
        <v>Supadio, Pontianak</v>
      </c>
      <c r="L65" s="1">
        <v>103</v>
      </c>
      <c r="M65" s="1" t="str">
        <f t="shared" si="13"/>
        <v>Tuesday</v>
      </c>
      <c r="N65" s="1">
        <f t="shared" si="14"/>
        <v>3</v>
      </c>
      <c r="O65" s="1" t="str">
        <f t="shared" si="15"/>
        <v>Tuesday</v>
      </c>
      <c r="P65" s="1">
        <f t="shared" si="16"/>
        <v>5</v>
      </c>
      <c r="Q65" s="6" t="s">
        <v>371</v>
      </c>
      <c r="R65" s="1" t="str">
        <f t="shared" si="6"/>
        <v>PNK</v>
      </c>
      <c r="S65" s="1" t="s">
        <v>319</v>
      </c>
      <c r="T65" s="11" t="str">
        <f>INDEX('ADD1'!$B$32:$B$53,MATCH(Master!S65,'ADD1'!$C$32:$C$53,0))</f>
        <v>Citilink</v>
      </c>
      <c r="U65" s="74">
        <f t="shared" si="9"/>
        <v>100</v>
      </c>
      <c r="V65" s="77">
        <f t="shared" si="17"/>
        <v>143.8329129844326</v>
      </c>
      <c r="W65" s="78">
        <f t="shared" si="18"/>
        <v>2150000</v>
      </c>
      <c r="Y65" s="78">
        <f t="shared" si="8"/>
        <v>2365000</v>
      </c>
    </row>
    <row r="66" spans="1:25" ht="25" customHeight="1" x14ac:dyDescent="0.35">
      <c r="A66" s="14">
        <v>63</v>
      </c>
      <c r="B66" s="1">
        <v>1262</v>
      </c>
      <c r="C66" s="1" t="s">
        <v>22</v>
      </c>
      <c r="D66" s="4" t="s">
        <v>103</v>
      </c>
      <c r="E66" s="1" t="s">
        <v>193</v>
      </c>
      <c r="F66" s="1" t="s">
        <v>163</v>
      </c>
      <c r="G66" s="1" t="s">
        <v>196</v>
      </c>
      <c r="H66" s="1" t="s">
        <v>198</v>
      </c>
      <c r="I66" s="1" t="str">
        <f t="shared" si="5"/>
        <v>Soekarno-Hatta Airport</v>
      </c>
      <c r="J66" s="4" t="str">
        <f>INDEX('ADD1'!$B$5:$B$27,MATCH(Master!R66,'ADD1'!$C$5:$C$27,0))</f>
        <v>Minangkabau, Padang</v>
      </c>
      <c r="L66" s="1">
        <v>103</v>
      </c>
      <c r="M66" s="1" t="str">
        <f t="shared" si="13"/>
        <v>Tuesday</v>
      </c>
      <c r="N66" s="1">
        <f t="shared" si="14"/>
        <v>3</v>
      </c>
      <c r="O66" s="1" t="str">
        <f t="shared" si="15"/>
        <v>Tuesday</v>
      </c>
      <c r="P66" s="1">
        <f t="shared" si="16"/>
        <v>5</v>
      </c>
      <c r="Q66" s="6" t="s">
        <v>363</v>
      </c>
      <c r="R66" s="1" t="str">
        <f t="shared" si="6"/>
        <v>PDG</v>
      </c>
      <c r="S66" s="1" t="s">
        <v>324</v>
      </c>
      <c r="T66" s="11" t="str">
        <f>INDEX('ADD1'!$B$32:$B$53,MATCH(Master!S66,'ADD1'!$C$32:$C$53,0))</f>
        <v>Super Air Jet</v>
      </c>
      <c r="U66" s="74">
        <f t="shared" si="9"/>
        <v>100</v>
      </c>
      <c r="V66" s="77">
        <f t="shared" si="17"/>
        <v>147.17786444918684</v>
      </c>
      <c r="W66" s="78">
        <f t="shared" si="18"/>
        <v>2200000</v>
      </c>
      <c r="Y66" s="78">
        <f t="shared" si="8"/>
        <v>2420000</v>
      </c>
    </row>
    <row r="67" spans="1:25" ht="25" customHeight="1" x14ac:dyDescent="0.35">
      <c r="A67">
        <v>64</v>
      </c>
      <c r="B67" s="1">
        <v>1263</v>
      </c>
      <c r="C67" s="1" t="s">
        <v>22</v>
      </c>
      <c r="D67" s="4" t="s">
        <v>104</v>
      </c>
      <c r="E67" s="1" t="s">
        <v>194</v>
      </c>
      <c r="F67" s="1" t="s">
        <v>162</v>
      </c>
      <c r="G67" s="1" t="s">
        <v>196</v>
      </c>
      <c r="H67" s="1" t="s">
        <v>199</v>
      </c>
      <c r="I67" s="1" t="str">
        <f t="shared" si="5"/>
        <v>Singapore Changi Airport</v>
      </c>
      <c r="K67" s="4" t="str">
        <f>INDEX('ADD1'!$D$5:$D$27,MATCH(Master!R67,'ADD1'!$E$5:$E$27,0))</f>
        <v>Kopenhagen International Airport</v>
      </c>
      <c r="L67" s="1">
        <v>101</v>
      </c>
      <c r="M67" s="1" t="str">
        <f t="shared" si="13"/>
        <v>Sunday</v>
      </c>
      <c r="N67" s="1">
        <f t="shared" si="14"/>
        <v>9</v>
      </c>
      <c r="O67" s="1" t="str">
        <f t="shared" si="15"/>
        <v>Sunday</v>
      </c>
      <c r="P67" s="1">
        <f t="shared" si="16"/>
        <v>11</v>
      </c>
      <c r="Q67" s="6" t="s">
        <v>397</v>
      </c>
      <c r="R67" s="1" t="str">
        <f t="shared" si="6"/>
        <v>CPH</v>
      </c>
      <c r="S67" s="1" t="s">
        <v>336</v>
      </c>
      <c r="T67" s="11" t="str">
        <f>INDEX('ADD1'!$B$32:$B$53,MATCH(Master!S67,'ADD1'!$C$32:$C$53,0))</f>
        <v>Cathay Pacific Airlines</v>
      </c>
      <c r="U67" s="74">
        <f t="shared" si="9"/>
        <v>50</v>
      </c>
      <c r="V67" s="77">
        <f t="shared" si="17"/>
        <v>980.07077917299421</v>
      </c>
      <c r="W67" s="78">
        <f t="shared" si="18"/>
        <v>14650000</v>
      </c>
      <c r="X67" s="78">
        <f>W67*50%</f>
        <v>7325000</v>
      </c>
      <c r="Y67" s="78">
        <f t="shared" si="8"/>
        <v>16115000</v>
      </c>
    </row>
    <row r="68" spans="1:25" ht="25" customHeight="1" x14ac:dyDescent="0.35">
      <c r="A68" s="14">
        <v>65</v>
      </c>
      <c r="B68" s="1">
        <v>1264</v>
      </c>
      <c r="C68" s="1" t="s">
        <v>23</v>
      </c>
      <c r="D68" s="4" t="s">
        <v>105</v>
      </c>
      <c r="E68" s="2">
        <v>33882</v>
      </c>
      <c r="F68" s="1" t="s">
        <v>162</v>
      </c>
      <c r="G68" s="1" t="s">
        <v>196</v>
      </c>
      <c r="H68" s="1" t="s">
        <v>199</v>
      </c>
      <c r="I68" s="1" t="str">
        <f t="shared" si="5"/>
        <v>Singapore Changi Airport</v>
      </c>
      <c r="K68" s="4" t="str">
        <f>INDEX('ADD1'!$D$5:$D$27,MATCH(Master!R68,'ADD1'!$E$5:$E$27,0))</f>
        <v>Adelaide International Airport</v>
      </c>
      <c r="L68" s="1">
        <v>106</v>
      </c>
      <c r="M68" s="1" t="str">
        <f t="shared" si="13"/>
        <v>Friday</v>
      </c>
      <c r="N68" s="1">
        <f t="shared" si="14"/>
        <v>12</v>
      </c>
      <c r="O68" s="1" t="str">
        <f t="shared" si="15"/>
        <v>Friday</v>
      </c>
      <c r="P68" s="1">
        <f t="shared" si="16"/>
        <v>14</v>
      </c>
      <c r="Q68" s="6" t="s">
        <v>391</v>
      </c>
      <c r="R68" s="1" t="str">
        <f t="shared" si="6"/>
        <v>ADL</v>
      </c>
      <c r="S68" s="1" t="s">
        <v>329</v>
      </c>
      <c r="T68" s="11" t="str">
        <f>INDEX('ADD1'!$B$32:$B$53,MATCH(Master!S68,'ADD1'!$C$32:$C$53,0))</f>
        <v xml:space="preserve">Emirates </v>
      </c>
      <c r="U68" s="74">
        <f t="shared" si="9"/>
        <v>50</v>
      </c>
      <c r="V68" s="77">
        <f t="shared" si="17"/>
        <v>786.0635942172479</v>
      </c>
      <c r="W68" s="78">
        <f t="shared" si="18"/>
        <v>11750000</v>
      </c>
      <c r="X68" s="78">
        <f>W68*50%</f>
        <v>5875000</v>
      </c>
      <c r="Y68" s="78">
        <f t="shared" si="8"/>
        <v>12925000</v>
      </c>
    </row>
    <row r="69" spans="1:25" ht="25" customHeight="1" x14ac:dyDescent="0.35">
      <c r="A69">
        <v>66</v>
      </c>
      <c r="B69" s="1">
        <v>1265</v>
      </c>
      <c r="C69" s="1" t="s">
        <v>23</v>
      </c>
      <c r="D69" s="4" t="s">
        <v>106</v>
      </c>
      <c r="E69" s="2">
        <v>25118</v>
      </c>
      <c r="F69" s="1" t="s">
        <v>163</v>
      </c>
      <c r="G69" s="1" t="s">
        <v>196</v>
      </c>
      <c r="H69" s="1" t="s">
        <v>198</v>
      </c>
      <c r="I69" s="1" t="str">
        <f t="shared" si="5"/>
        <v>Soekarno-Hatta Airport</v>
      </c>
      <c r="J69" s="4" t="str">
        <f>INDEX('ADD1'!$B$5:$B$27,MATCH(Master!R69,'ADD1'!$C$5:$C$27,0))</f>
        <v>Pattimura, Ambon</v>
      </c>
      <c r="L69" s="1">
        <v>104</v>
      </c>
      <c r="M69" s="1" t="str">
        <f t="shared" ref="M69:M100" si="22">VLOOKUP(L69,Departure,2,0)</f>
        <v>Wednesday</v>
      </c>
      <c r="N69" s="1">
        <f t="shared" ref="N69:N100" si="23">VLOOKUP(L69,Departure,3,0)</f>
        <v>7</v>
      </c>
      <c r="O69" s="1" t="str">
        <f t="shared" ref="O69:O100" si="24">HLOOKUP(L69,Arrival,2,0)</f>
        <v>Wednesday</v>
      </c>
      <c r="P69" s="1">
        <f t="shared" ref="P69:P100" si="25">HLOOKUP(L69,Arrival,3,0)</f>
        <v>9</v>
      </c>
      <c r="Q69" s="6" t="s">
        <v>366</v>
      </c>
      <c r="R69" s="1" t="str">
        <f t="shared" si="6"/>
        <v>AMQ</v>
      </c>
      <c r="S69" s="1" t="s">
        <v>326</v>
      </c>
      <c r="T69" s="11" t="str">
        <f>INDEX('ADD1'!$B$32:$B$53,MATCH(Master!S69,'ADD1'!$C$32:$C$53,0))</f>
        <v>Lion Air</v>
      </c>
      <c r="U69" s="74">
        <f t="shared" si="9"/>
        <v>100</v>
      </c>
      <c r="V69" s="77">
        <f t="shared" ref="V69:V100" si="26">VLOOKUP(R69,Price,3,0)</f>
        <v>250.87135985656849</v>
      </c>
      <c r="W69" s="78">
        <f t="shared" ref="W69:W100" si="27">VLOOKUP(R69,Price,2,0)</f>
        <v>3750000</v>
      </c>
      <c r="Y69" s="78">
        <f t="shared" si="8"/>
        <v>4125000</v>
      </c>
    </row>
    <row r="70" spans="1:25" ht="25" customHeight="1" x14ac:dyDescent="0.35">
      <c r="A70" s="14">
        <v>67</v>
      </c>
      <c r="B70" s="1">
        <v>1266</v>
      </c>
      <c r="C70" s="1" t="s">
        <v>23</v>
      </c>
      <c r="D70" s="4" t="s">
        <v>107</v>
      </c>
      <c r="E70" s="2">
        <v>36017</v>
      </c>
      <c r="F70" s="1" t="s">
        <v>163</v>
      </c>
      <c r="G70" s="1" t="s">
        <v>196</v>
      </c>
      <c r="H70" s="1" t="s">
        <v>198</v>
      </c>
      <c r="I70" s="1" t="str">
        <f t="shared" ref="I70:I124" si="28">IF(H70="Domestic","Soekarno-Hatta Airport","Singapore Changi Airport")</f>
        <v>Soekarno-Hatta Airport</v>
      </c>
      <c r="J70" s="4" t="str">
        <f>INDEX('ADD1'!$B$5:$B$27,MATCH(Master!R70,'ADD1'!$C$5:$C$27,0))</f>
        <v>Adisumarno, Solo</v>
      </c>
      <c r="L70" s="1">
        <v>105</v>
      </c>
      <c r="M70" s="1" t="str">
        <f t="shared" si="22"/>
        <v>Thursday</v>
      </c>
      <c r="N70" s="1">
        <f t="shared" si="23"/>
        <v>9</v>
      </c>
      <c r="O70" s="1" t="str">
        <f t="shared" si="24"/>
        <v>Thursday</v>
      </c>
      <c r="P70" s="1">
        <f t="shared" si="25"/>
        <v>11</v>
      </c>
      <c r="Q70" s="6" t="s">
        <v>367</v>
      </c>
      <c r="R70" s="1" t="str">
        <f t="shared" ref="R70:R124" si="29">LEFT(Q70,3)</f>
        <v>SOC</v>
      </c>
      <c r="S70" s="1" t="s">
        <v>318</v>
      </c>
      <c r="T70" s="11" t="str">
        <f>INDEX('ADD1'!$B$32:$B$53,MATCH(Master!S70,'ADD1'!$C$32:$C$53,0))</f>
        <v>Batik Air</v>
      </c>
      <c r="U70" s="74">
        <f t="shared" si="9"/>
        <v>100</v>
      </c>
      <c r="V70" s="77">
        <f t="shared" si="26"/>
        <v>173.93747616722081</v>
      </c>
      <c r="W70" s="78">
        <f t="shared" si="27"/>
        <v>2600000</v>
      </c>
      <c r="Y70" s="78">
        <f t="shared" ref="Y70:Y124" si="30">W70+(W70*10%)</f>
        <v>2860000</v>
      </c>
    </row>
    <row r="71" spans="1:25" ht="25" customHeight="1" x14ac:dyDescent="0.35">
      <c r="A71">
        <v>68</v>
      </c>
      <c r="B71" s="1">
        <v>1267</v>
      </c>
      <c r="C71" s="1" t="s">
        <v>23</v>
      </c>
      <c r="D71" s="4" t="s">
        <v>108</v>
      </c>
      <c r="E71" s="2">
        <v>33152</v>
      </c>
      <c r="F71" s="1" t="s">
        <v>163</v>
      </c>
      <c r="G71" s="1" t="s">
        <v>196</v>
      </c>
      <c r="H71" s="1" t="s">
        <v>198</v>
      </c>
      <c r="I71" s="1" t="str">
        <f t="shared" si="28"/>
        <v>Soekarno-Hatta Airport</v>
      </c>
      <c r="J71" s="4" t="str">
        <f>INDEX('ADD1'!$B$5:$B$27,MATCH(Master!R71,'ADD1'!$C$5:$C$27,0))</f>
        <v>Abdul Rachman Saleh, Malang</v>
      </c>
      <c r="L71" s="1">
        <v>101</v>
      </c>
      <c r="M71" s="1" t="str">
        <f t="shared" si="22"/>
        <v>Sunday</v>
      </c>
      <c r="N71" s="1">
        <f t="shared" si="23"/>
        <v>9</v>
      </c>
      <c r="O71" s="1" t="str">
        <f t="shared" si="24"/>
        <v>Sunday</v>
      </c>
      <c r="P71" s="1">
        <f t="shared" si="25"/>
        <v>11</v>
      </c>
      <c r="Q71" s="6" t="s">
        <v>368</v>
      </c>
      <c r="R71" s="1" t="str">
        <f t="shared" si="29"/>
        <v>MLG</v>
      </c>
      <c r="S71" s="1" t="s">
        <v>320</v>
      </c>
      <c r="T71" s="11" t="str">
        <f>INDEX('ADD1'!$B$32:$B$53,MATCH(Master!S71,'ADD1'!$C$32:$C$53,0))</f>
        <v>Sriwijaya Air</v>
      </c>
      <c r="U71" s="74">
        <f t="shared" ref="U71:U124" si="31">IF(I71="Soekarno-Hatta Airport",100,50)</f>
        <v>100</v>
      </c>
      <c r="V71" s="77">
        <f t="shared" si="26"/>
        <v>147.17786444918684</v>
      </c>
      <c r="W71" s="78">
        <f t="shared" si="27"/>
        <v>2200000</v>
      </c>
      <c r="Y71" s="78">
        <f t="shared" si="30"/>
        <v>2420000</v>
      </c>
    </row>
    <row r="72" spans="1:25" ht="25" customHeight="1" x14ac:dyDescent="0.35">
      <c r="A72" s="14">
        <v>69</v>
      </c>
      <c r="B72" s="1">
        <v>1268</v>
      </c>
      <c r="C72" s="1" t="s">
        <v>24</v>
      </c>
      <c r="D72" s="4" t="s">
        <v>109</v>
      </c>
      <c r="E72" s="2">
        <v>36317</v>
      </c>
      <c r="F72" s="1" t="s">
        <v>163</v>
      </c>
      <c r="G72" s="1" t="s">
        <v>196</v>
      </c>
      <c r="H72" s="1" t="s">
        <v>198</v>
      </c>
      <c r="I72" s="1" t="str">
        <f t="shared" si="28"/>
        <v>Soekarno-Hatta Airport</v>
      </c>
      <c r="J72" s="4" t="str">
        <f>INDEX('ADD1'!$B$5:$B$27,MATCH(Master!R72,'ADD1'!$C$5:$C$27,0))</f>
        <v>Zainuddin Abdul Madjid, Praya</v>
      </c>
      <c r="L72" s="1">
        <v>105</v>
      </c>
      <c r="M72" s="1" t="str">
        <f t="shared" si="22"/>
        <v>Thursday</v>
      </c>
      <c r="N72" s="1">
        <f t="shared" si="23"/>
        <v>9</v>
      </c>
      <c r="O72" s="1" t="str">
        <f t="shared" si="24"/>
        <v>Thursday</v>
      </c>
      <c r="P72" s="1">
        <f t="shared" si="25"/>
        <v>11</v>
      </c>
      <c r="Q72" s="6" t="s">
        <v>369</v>
      </c>
      <c r="R72" s="1" t="str">
        <f t="shared" si="29"/>
        <v>LOP</v>
      </c>
      <c r="S72" s="1" t="s">
        <v>325</v>
      </c>
      <c r="T72" s="11" t="str">
        <f>INDEX('ADD1'!$B$32:$B$53,MATCH(Master!S72,'ADD1'!$C$32:$C$53,0))</f>
        <v>NAM Air</v>
      </c>
      <c r="U72" s="74">
        <f t="shared" si="31"/>
        <v>100</v>
      </c>
      <c r="V72" s="77">
        <f t="shared" si="26"/>
        <v>157.21271884344958</v>
      </c>
      <c r="W72" s="78">
        <f t="shared" si="27"/>
        <v>2350000</v>
      </c>
      <c r="Y72" s="78">
        <f t="shared" si="30"/>
        <v>2585000</v>
      </c>
    </row>
    <row r="73" spans="1:25" ht="25" customHeight="1" x14ac:dyDescent="0.35">
      <c r="A73">
        <v>70</v>
      </c>
      <c r="B73" s="1">
        <v>1269</v>
      </c>
      <c r="C73" s="1" t="s">
        <v>24</v>
      </c>
      <c r="D73" s="4" t="s">
        <v>110</v>
      </c>
      <c r="E73" s="1" t="s">
        <v>175</v>
      </c>
      <c r="F73" s="1" t="s">
        <v>163</v>
      </c>
      <c r="G73" s="1" t="s">
        <v>196</v>
      </c>
      <c r="H73" s="1" t="s">
        <v>199</v>
      </c>
      <c r="I73" s="1" t="str">
        <f t="shared" si="28"/>
        <v>Singapore Changi Airport</v>
      </c>
      <c r="K73" s="4" t="str">
        <f>INDEX('ADD1'!$D$5:$D$27,MATCH(Master!R73,'ADD1'!$E$5:$E$27,0))</f>
        <v>Capital International Airport</v>
      </c>
      <c r="L73" s="1">
        <v>105</v>
      </c>
      <c r="M73" s="1" t="str">
        <f t="shared" si="22"/>
        <v>Thursday</v>
      </c>
      <c r="N73" s="1">
        <f t="shared" si="23"/>
        <v>9</v>
      </c>
      <c r="O73" s="1" t="str">
        <f t="shared" si="24"/>
        <v>Thursday</v>
      </c>
      <c r="P73" s="1">
        <f t="shared" si="25"/>
        <v>11</v>
      </c>
      <c r="Q73" s="6" t="s">
        <v>386</v>
      </c>
      <c r="R73" s="1" t="str">
        <f t="shared" si="29"/>
        <v>PEK</v>
      </c>
      <c r="S73" s="1" t="s">
        <v>336</v>
      </c>
      <c r="T73" s="11" t="str">
        <f>INDEX('ADD1'!$B$32:$B$53,MATCH(Master!S73,'ADD1'!$C$32:$C$53,0))</f>
        <v>Cathay Pacific Airlines</v>
      </c>
      <c r="U73" s="74">
        <f t="shared" si="31"/>
        <v>50</v>
      </c>
      <c r="V73" s="77">
        <f t="shared" si="26"/>
        <v>702.43980759839178</v>
      </c>
      <c r="W73" s="78">
        <f t="shared" si="27"/>
        <v>10500000</v>
      </c>
      <c r="X73" s="78">
        <f>W73*50%</f>
        <v>5250000</v>
      </c>
      <c r="Y73" s="78">
        <f t="shared" si="30"/>
        <v>11550000</v>
      </c>
    </row>
    <row r="74" spans="1:25" ht="25" customHeight="1" x14ac:dyDescent="0.35">
      <c r="A74" s="14">
        <v>71</v>
      </c>
      <c r="B74" s="1">
        <v>1270</v>
      </c>
      <c r="C74" s="1" t="s">
        <v>25</v>
      </c>
      <c r="D74" s="4" t="s">
        <v>111</v>
      </c>
      <c r="E74" s="2">
        <v>34950</v>
      </c>
      <c r="F74" s="1" t="s">
        <v>163</v>
      </c>
      <c r="G74" s="1" t="s">
        <v>196</v>
      </c>
      <c r="H74" s="1" t="s">
        <v>199</v>
      </c>
      <c r="I74" s="1" t="str">
        <f t="shared" si="28"/>
        <v>Singapore Changi Airport</v>
      </c>
      <c r="K74" s="4" t="str">
        <f>INDEX('ADD1'!$D$5:$D$27,MATCH(Master!R74,'ADD1'!$E$5:$E$27,0))</f>
        <v>Seri BegawanInternational Airport</v>
      </c>
      <c r="L74" s="1">
        <v>107</v>
      </c>
      <c r="M74" s="1" t="str">
        <f t="shared" si="22"/>
        <v>Saturday</v>
      </c>
      <c r="N74" s="1">
        <f t="shared" si="23"/>
        <v>3</v>
      </c>
      <c r="O74" s="1" t="str">
        <f t="shared" si="24"/>
        <v>Saturday</v>
      </c>
      <c r="P74" s="1">
        <f t="shared" si="25"/>
        <v>5</v>
      </c>
      <c r="Q74" s="6" t="s">
        <v>387</v>
      </c>
      <c r="R74" s="1" t="str">
        <f t="shared" si="29"/>
        <v>BWN</v>
      </c>
      <c r="S74" s="1" t="s">
        <v>328</v>
      </c>
      <c r="T74" s="11" t="str">
        <f>INDEX('ADD1'!$B$32:$B$53,MATCH(Master!S74,'ADD1'!$C$32:$C$53,0))</f>
        <v>Singapore Airlines</v>
      </c>
      <c r="U74" s="74">
        <f t="shared" si="31"/>
        <v>50</v>
      </c>
      <c r="V74" s="77">
        <f t="shared" si="26"/>
        <v>582.02155486723893</v>
      </c>
      <c r="W74" s="78">
        <f t="shared" si="27"/>
        <v>8700000</v>
      </c>
      <c r="X74" s="78">
        <f t="shared" ref="X74:X77" si="32">W74*50%</f>
        <v>4350000</v>
      </c>
      <c r="Y74" s="78">
        <f t="shared" si="30"/>
        <v>9570000</v>
      </c>
    </row>
    <row r="75" spans="1:25" ht="25" customHeight="1" x14ac:dyDescent="0.35">
      <c r="A75">
        <v>72</v>
      </c>
      <c r="B75" s="1">
        <v>1271</v>
      </c>
      <c r="C75" s="1" t="s">
        <v>25</v>
      </c>
      <c r="D75" s="4" t="s">
        <v>112</v>
      </c>
      <c r="E75" s="1" t="s">
        <v>176</v>
      </c>
      <c r="F75" s="1" t="s">
        <v>162</v>
      </c>
      <c r="G75" s="1" t="s">
        <v>196</v>
      </c>
      <c r="H75" s="1" t="s">
        <v>199</v>
      </c>
      <c r="I75" s="1" t="str">
        <f t="shared" si="28"/>
        <v>Singapore Changi Airport</v>
      </c>
      <c r="K75" s="4" t="str">
        <f>INDEX('ADD1'!$D$5:$D$27,MATCH(Master!R75,'ADD1'!$E$5:$E$27,0))</f>
        <v>Da Nang International Airport</v>
      </c>
      <c r="L75" s="1">
        <v>104</v>
      </c>
      <c r="M75" s="1" t="str">
        <f t="shared" si="22"/>
        <v>Wednesday</v>
      </c>
      <c r="N75" s="1">
        <f t="shared" si="23"/>
        <v>7</v>
      </c>
      <c r="O75" s="1" t="str">
        <f t="shared" si="24"/>
        <v>Wednesday</v>
      </c>
      <c r="P75" s="1">
        <f t="shared" si="25"/>
        <v>9</v>
      </c>
      <c r="Q75" s="6" t="s">
        <v>388</v>
      </c>
      <c r="R75" s="1" t="str">
        <f t="shared" si="29"/>
        <v>DAD</v>
      </c>
      <c r="S75" s="1" t="s">
        <v>337</v>
      </c>
      <c r="T75" s="11" t="str">
        <f>INDEX('ADD1'!$B$32:$B$53,MATCH(Master!S75,'ADD1'!$C$32:$C$53,0))</f>
        <v>Thai Airways International Airlines</v>
      </c>
      <c r="U75" s="74">
        <f t="shared" si="31"/>
        <v>50</v>
      </c>
      <c r="V75" s="77">
        <f t="shared" si="26"/>
        <v>759.30398249921393</v>
      </c>
      <c r="W75" s="78">
        <f t="shared" si="27"/>
        <v>11350000</v>
      </c>
      <c r="X75" s="78">
        <f t="shared" si="32"/>
        <v>5675000</v>
      </c>
      <c r="Y75" s="78">
        <f t="shared" si="30"/>
        <v>12485000</v>
      </c>
    </row>
    <row r="76" spans="1:25" ht="25" customHeight="1" x14ac:dyDescent="0.35">
      <c r="A76" s="14">
        <v>73</v>
      </c>
      <c r="B76" s="1">
        <v>1272</v>
      </c>
      <c r="C76" s="1" t="s">
        <v>25</v>
      </c>
      <c r="D76" s="4" t="s">
        <v>113</v>
      </c>
      <c r="E76" s="2">
        <v>35737</v>
      </c>
      <c r="F76" s="1" t="s">
        <v>163</v>
      </c>
      <c r="G76" s="1" t="s">
        <v>196</v>
      </c>
      <c r="H76" s="1" t="s">
        <v>199</v>
      </c>
      <c r="I76" s="1" t="str">
        <f t="shared" si="28"/>
        <v>Singapore Changi Airport</v>
      </c>
      <c r="K76" s="4" t="str">
        <f>INDEX('ADD1'!$D$5:$D$27,MATCH(Master!R76,'ADD1'!$E$5:$E$27,0))</f>
        <v>Baiyun International Airport</v>
      </c>
      <c r="L76" s="1">
        <v>103</v>
      </c>
      <c r="M76" s="1" t="str">
        <f t="shared" si="22"/>
        <v>Tuesday</v>
      </c>
      <c r="N76" s="1">
        <f t="shared" si="23"/>
        <v>3</v>
      </c>
      <c r="O76" s="1" t="str">
        <f t="shared" si="24"/>
        <v>Tuesday</v>
      </c>
      <c r="P76" s="1">
        <f t="shared" si="25"/>
        <v>5</v>
      </c>
      <c r="Q76" s="6" t="s">
        <v>389</v>
      </c>
      <c r="R76" s="1" t="str">
        <f t="shared" si="29"/>
        <v>CAN</v>
      </c>
      <c r="S76" s="1" t="s">
        <v>334</v>
      </c>
      <c r="T76" s="11" t="str">
        <f>INDEX('ADD1'!$B$32:$B$53,MATCH(Master!S76,'ADD1'!$C$32:$C$53,0))</f>
        <v>Saudia Airlines</v>
      </c>
      <c r="U76" s="74">
        <f t="shared" si="31"/>
        <v>50</v>
      </c>
      <c r="V76" s="77">
        <f t="shared" si="26"/>
        <v>658.95543855658661</v>
      </c>
      <c r="W76" s="78">
        <f t="shared" si="27"/>
        <v>9850000</v>
      </c>
      <c r="X76" s="78">
        <f t="shared" si="32"/>
        <v>4925000</v>
      </c>
      <c r="Y76" s="78">
        <f t="shared" si="30"/>
        <v>10835000</v>
      </c>
    </row>
    <row r="77" spans="1:25" ht="25" customHeight="1" x14ac:dyDescent="0.35">
      <c r="A77">
        <v>74</v>
      </c>
      <c r="B77" s="1">
        <v>1273</v>
      </c>
      <c r="C77" s="1" t="s">
        <v>26</v>
      </c>
      <c r="D77" s="4" t="s">
        <v>114</v>
      </c>
      <c r="E77" s="2">
        <v>35771</v>
      </c>
      <c r="F77" s="1" t="s">
        <v>163</v>
      </c>
      <c r="G77" s="1" t="s">
        <v>196</v>
      </c>
      <c r="H77" s="1" t="s">
        <v>199</v>
      </c>
      <c r="I77" s="1" t="str">
        <f t="shared" si="28"/>
        <v>Singapore Changi Airport</v>
      </c>
      <c r="K77" s="4" t="str">
        <f>INDEX('ADD1'!$D$5:$D$27,MATCH(Master!R77,'ADD1'!$E$5:$E$27,0))</f>
        <v>Zurich International Airport</v>
      </c>
      <c r="L77" s="1">
        <v>102</v>
      </c>
      <c r="M77" s="1" t="str">
        <f t="shared" si="22"/>
        <v>Monday</v>
      </c>
      <c r="N77" s="1">
        <f t="shared" si="23"/>
        <v>1</v>
      </c>
      <c r="O77" s="1" t="str">
        <f t="shared" si="24"/>
        <v>Monday</v>
      </c>
      <c r="P77" s="1">
        <f t="shared" si="25"/>
        <v>3</v>
      </c>
      <c r="Q77" s="6" t="s">
        <v>402</v>
      </c>
      <c r="R77" s="1" t="str">
        <f t="shared" si="29"/>
        <v>ZRH</v>
      </c>
      <c r="S77" s="1" t="s">
        <v>332</v>
      </c>
      <c r="T77" s="11" t="str">
        <f>INDEX('ADD1'!$B$32:$B$53,MATCH(Master!S77,'ADD1'!$C$32:$C$53,0))</f>
        <v>Turkish Airlines</v>
      </c>
      <c r="U77" s="74">
        <f t="shared" si="31"/>
        <v>50</v>
      </c>
      <c r="V77" s="77">
        <f t="shared" si="26"/>
        <v>699.429351280113</v>
      </c>
      <c r="W77" s="78">
        <f t="shared" si="27"/>
        <v>10455000</v>
      </c>
      <c r="X77" s="78">
        <f t="shared" si="32"/>
        <v>5227500</v>
      </c>
      <c r="Y77" s="78">
        <f t="shared" si="30"/>
        <v>11500500</v>
      </c>
    </row>
    <row r="78" spans="1:25" ht="25" customHeight="1" x14ac:dyDescent="0.35">
      <c r="A78" s="14">
        <v>75</v>
      </c>
      <c r="B78" s="1">
        <v>1274</v>
      </c>
      <c r="C78" s="1" t="s">
        <v>27</v>
      </c>
      <c r="D78" s="4" t="s">
        <v>115</v>
      </c>
      <c r="E78" s="2">
        <v>31599</v>
      </c>
      <c r="F78" s="1" t="s">
        <v>162</v>
      </c>
      <c r="G78" s="1" t="s">
        <v>197</v>
      </c>
      <c r="H78" s="1" t="s">
        <v>198</v>
      </c>
      <c r="I78" s="1" t="str">
        <f t="shared" si="28"/>
        <v>Soekarno-Hatta Airport</v>
      </c>
      <c r="J78" s="4" t="str">
        <f>INDEX('ADD1'!$B$5:$B$27,MATCH(Master!R78,'ADD1'!$C$5:$C$27,0))</f>
        <v>Sentani, Jayapura</v>
      </c>
      <c r="L78" s="1">
        <v>105</v>
      </c>
      <c r="M78" s="1" t="str">
        <f t="shared" si="22"/>
        <v>Thursday</v>
      </c>
      <c r="N78" s="1">
        <f t="shared" si="23"/>
        <v>9</v>
      </c>
      <c r="O78" s="1" t="str">
        <f t="shared" si="24"/>
        <v>Thursday</v>
      </c>
      <c r="P78" s="1">
        <f t="shared" si="25"/>
        <v>11</v>
      </c>
      <c r="Q78" s="6" t="s">
        <v>373</v>
      </c>
      <c r="R78" s="1" t="str">
        <f t="shared" si="29"/>
        <v>DJJ</v>
      </c>
      <c r="S78" s="1" t="s">
        <v>322</v>
      </c>
      <c r="T78" s="11" t="str">
        <f>INDEX('ADD1'!$B$32:$B$53,MATCH(Master!S78,'ADD1'!$C$32:$C$53,0))</f>
        <v>Indonesia AirAsia</v>
      </c>
      <c r="U78" s="74">
        <f t="shared" si="31"/>
        <v>100</v>
      </c>
      <c r="V78" s="77">
        <f t="shared" si="26"/>
        <v>183.97233056148355</v>
      </c>
      <c r="W78" s="78">
        <f t="shared" si="27"/>
        <v>2750000</v>
      </c>
      <c r="Y78" s="78">
        <f t="shared" si="30"/>
        <v>3025000</v>
      </c>
    </row>
    <row r="79" spans="1:25" ht="25" customHeight="1" x14ac:dyDescent="0.35">
      <c r="A79">
        <v>76</v>
      </c>
      <c r="B79" s="1">
        <v>1275</v>
      </c>
      <c r="C79" s="1" t="s">
        <v>27</v>
      </c>
      <c r="D79" s="4" t="s">
        <v>116</v>
      </c>
      <c r="E79" s="2">
        <v>29285</v>
      </c>
      <c r="F79" s="1" t="s">
        <v>162</v>
      </c>
      <c r="G79" s="1" t="s">
        <v>196</v>
      </c>
      <c r="H79" s="1" t="s">
        <v>198</v>
      </c>
      <c r="I79" s="1" t="str">
        <f t="shared" si="28"/>
        <v>Soekarno-Hatta Airport</v>
      </c>
      <c r="J79" s="4" t="str">
        <f>INDEX('ADD1'!$B$5:$B$27,MATCH(Master!R79,'ADD1'!$C$5:$C$27,0))</f>
        <v>Sultan Mahmud Badaruddin II, Palembang</v>
      </c>
      <c r="L79" s="1">
        <v>105</v>
      </c>
      <c r="M79" s="1" t="str">
        <f t="shared" si="22"/>
        <v>Thursday</v>
      </c>
      <c r="N79" s="1">
        <f t="shared" si="23"/>
        <v>9</v>
      </c>
      <c r="O79" s="1" t="str">
        <f t="shared" si="24"/>
        <v>Thursday</v>
      </c>
      <c r="P79" s="1">
        <f t="shared" si="25"/>
        <v>11</v>
      </c>
      <c r="Q79" s="6" t="s">
        <v>374</v>
      </c>
      <c r="R79" s="1" t="str">
        <f t="shared" si="29"/>
        <v>PLM</v>
      </c>
      <c r="S79" s="1" t="s">
        <v>326</v>
      </c>
      <c r="T79" s="11" t="str">
        <f>INDEX('ADD1'!$B$32:$B$53,MATCH(Master!S79,'ADD1'!$C$32:$C$53,0))</f>
        <v>Lion Air</v>
      </c>
      <c r="U79" s="74">
        <f t="shared" si="31"/>
        <v>100</v>
      </c>
      <c r="V79" s="77">
        <f t="shared" si="26"/>
        <v>147.17786444918684</v>
      </c>
      <c r="W79" s="78">
        <f t="shared" si="27"/>
        <v>2200000</v>
      </c>
      <c r="Y79" s="78">
        <f t="shared" si="30"/>
        <v>2420000</v>
      </c>
    </row>
    <row r="80" spans="1:25" ht="25" customHeight="1" x14ac:dyDescent="0.35">
      <c r="A80" s="14">
        <v>77</v>
      </c>
      <c r="B80" s="1">
        <v>1276</v>
      </c>
      <c r="C80" s="1" t="s">
        <v>28</v>
      </c>
      <c r="D80" s="4" t="s">
        <v>117</v>
      </c>
      <c r="E80" s="2">
        <v>29567</v>
      </c>
      <c r="F80" s="1" t="s">
        <v>162</v>
      </c>
      <c r="G80" s="1" t="s">
        <v>196</v>
      </c>
      <c r="H80" s="1" t="s">
        <v>198</v>
      </c>
      <c r="I80" s="1" t="str">
        <f t="shared" si="28"/>
        <v>Soekarno-Hatta Airport</v>
      </c>
      <c r="J80" s="4" t="str">
        <f>INDEX('ADD1'!$B$5:$B$27,MATCH(Master!R80,'ADD1'!$C$5:$C$27,0))</f>
        <v xml:space="preserve">Adisutjipto, DIY </v>
      </c>
      <c r="L80" s="1">
        <v>106</v>
      </c>
      <c r="M80" s="1" t="str">
        <f t="shared" si="22"/>
        <v>Friday</v>
      </c>
      <c r="N80" s="1">
        <f t="shared" si="23"/>
        <v>12</v>
      </c>
      <c r="O80" s="1" t="str">
        <f t="shared" si="24"/>
        <v>Friday</v>
      </c>
      <c r="P80" s="1">
        <f t="shared" si="25"/>
        <v>14</v>
      </c>
      <c r="Q80" s="6" t="s">
        <v>375</v>
      </c>
      <c r="R80" s="1" t="str">
        <f t="shared" si="29"/>
        <v>JOG</v>
      </c>
      <c r="S80" s="1" t="s">
        <v>321</v>
      </c>
      <c r="T80" s="11" t="str">
        <f>INDEX('ADD1'!$B$32:$B$53,MATCH(Master!S80,'ADD1'!$C$32:$C$53,0))</f>
        <v>Garuda Indonesia</v>
      </c>
      <c r="U80" s="74">
        <f t="shared" si="31"/>
        <v>100</v>
      </c>
      <c r="V80" s="77">
        <f t="shared" si="26"/>
        <v>133.79805859016986</v>
      </c>
      <c r="W80" s="78">
        <f t="shared" si="27"/>
        <v>2000000</v>
      </c>
      <c r="Y80" s="78">
        <f t="shared" si="30"/>
        <v>2200000</v>
      </c>
    </row>
    <row r="81" spans="1:25" ht="25" customHeight="1" x14ac:dyDescent="0.35">
      <c r="A81">
        <v>78</v>
      </c>
      <c r="B81" s="1">
        <v>1277</v>
      </c>
      <c r="C81" s="1" t="s">
        <v>28</v>
      </c>
      <c r="D81" s="4" t="s">
        <v>118</v>
      </c>
      <c r="E81" s="2">
        <v>29688</v>
      </c>
      <c r="F81" s="1" t="s">
        <v>162</v>
      </c>
      <c r="G81" s="1" t="s">
        <v>196</v>
      </c>
      <c r="H81" s="1" t="s">
        <v>198</v>
      </c>
      <c r="I81" s="1" t="str">
        <f t="shared" si="28"/>
        <v>Soekarno-Hatta Airport</v>
      </c>
      <c r="J81" s="4" t="str">
        <f>INDEX('ADD1'!$B$5:$B$27,MATCH(Master!R81,'ADD1'!$C$5:$C$27,0))</f>
        <v xml:space="preserve">Adisutjipto, DIY </v>
      </c>
      <c r="L81" s="1">
        <v>104</v>
      </c>
      <c r="M81" s="1" t="str">
        <f t="shared" si="22"/>
        <v>Wednesday</v>
      </c>
      <c r="N81" s="1">
        <f t="shared" si="23"/>
        <v>7</v>
      </c>
      <c r="O81" s="1" t="str">
        <f t="shared" si="24"/>
        <v>Wednesday</v>
      </c>
      <c r="P81" s="1">
        <f t="shared" si="25"/>
        <v>9</v>
      </c>
      <c r="Q81" s="6" t="s">
        <v>376</v>
      </c>
      <c r="R81" s="1" t="str">
        <f t="shared" si="29"/>
        <v>JOG</v>
      </c>
      <c r="S81" s="1" t="s">
        <v>318</v>
      </c>
      <c r="T81" s="11" t="str">
        <f>INDEX('ADD1'!$B$32:$B$53,MATCH(Master!S81,'ADD1'!$C$32:$C$53,0))</f>
        <v>Batik Air</v>
      </c>
      <c r="U81" s="74">
        <f t="shared" si="31"/>
        <v>100</v>
      </c>
      <c r="V81" s="77">
        <f t="shared" si="26"/>
        <v>133.79805859016986</v>
      </c>
      <c r="W81" s="78">
        <f t="shared" si="27"/>
        <v>2000000</v>
      </c>
      <c r="Y81" s="78">
        <f t="shared" si="30"/>
        <v>2200000</v>
      </c>
    </row>
    <row r="82" spans="1:25" ht="25" customHeight="1" x14ac:dyDescent="0.35">
      <c r="A82" s="14">
        <v>79</v>
      </c>
      <c r="B82" s="1">
        <v>1278</v>
      </c>
      <c r="C82" s="1" t="s">
        <v>28</v>
      </c>
      <c r="D82" s="4" t="s">
        <v>119</v>
      </c>
      <c r="E82" s="1" t="s">
        <v>177</v>
      </c>
      <c r="F82" s="1" t="s">
        <v>162</v>
      </c>
      <c r="G82" s="1" t="s">
        <v>197</v>
      </c>
      <c r="H82" s="1" t="s">
        <v>198</v>
      </c>
      <c r="I82" s="1" t="str">
        <f t="shared" si="28"/>
        <v>Soekarno-Hatta Airport</v>
      </c>
      <c r="J82" s="4" t="str">
        <f>INDEX('ADD1'!$B$5:$B$27,MATCH(Master!R82,'ADD1'!$C$5:$C$27,0))</f>
        <v>Zainuddin Abdul Madjid, Praya</v>
      </c>
      <c r="L82" s="1">
        <v>101</v>
      </c>
      <c r="M82" s="1" t="str">
        <f t="shared" si="22"/>
        <v>Sunday</v>
      </c>
      <c r="N82" s="1">
        <f t="shared" si="23"/>
        <v>9</v>
      </c>
      <c r="O82" s="1" t="str">
        <f t="shared" si="24"/>
        <v>Sunday</v>
      </c>
      <c r="P82" s="1">
        <f t="shared" si="25"/>
        <v>11</v>
      </c>
      <c r="Q82" s="6" t="s">
        <v>377</v>
      </c>
      <c r="R82" s="1" t="str">
        <f t="shared" si="29"/>
        <v>LOP</v>
      </c>
      <c r="S82" s="1" t="s">
        <v>318</v>
      </c>
      <c r="T82" s="11" t="str">
        <f>INDEX('ADD1'!$B$32:$B$53,MATCH(Master!S82,'ADD1'!$C$32:$C$53,0))</f>
        <v>Batik Air</v>
      </c>
      <c r="U82" s="74">
        <f t="shared" si="31"/>
        <v>100</v>
      </c>
      <c r="V82" s="77">
        <f t="shared" si="26"/>
        <v>157.21271884344958</v>
      </c>
      <c r="W82" s="78">
        <f t="shared" si="27"/>
        <v>2350000</v>
      </c>
      <c r="Y82" s="78">
        <f t="shared" si="30"/>
        <v>2585000</v>
      </c>
    </row>
    <row r="83" spans="1:25" ht="25" customHeight="1" x14ac:dyDescent="0.35">
      <c r="A83">
        <v>80</v>
      </c>
      <c r="B83" s="1">
        <v>1279</v>
      </c>
      <c r="C83" s="1" t="s">
        <v>28</v>
      </c>
      <c r="D83" s="4" t="s">
        <v>120</v>
      </c>
      <c r="E83" s="2">
        <v>30108</v>
      </c>
      <c r="F83" s="1" t="s">
        <v>162</v>
      </c>
      <c r="G83" s="1" t="s">
        <v>196</v>
      </c>
      <c r="H83" s="1" t="s">
        <v>198</v>
      </c>
      <c r="I83" s="1" t="str">
        <f t="shared" si="28"/>
        <v>Soekarno-Hatta Airport</v>
      </c>
      <c r="J83" s="4" t="str">
        <f>INDEX('ADD1'!$B$5:$B$27,MATCH(Master!R83,'ADD1'!$C$5:$C$27,0))</f>
        <v>Radin Inten II, Bandar Lampung</v>
      </c>
      <c r="L83" s="1">
        <v>103</v>
      </c>
      <c r="M83" s="1" t="str">
        <f t="shared" si="22"/>
        <v>Tuesday</v>
      </c>
      <c r="N83" s="1">
        <f t="shared" si="23"/>
        <v>3</v>
      </c>
      <c r="O83" s="1" t="str">
        <f t="shared" si="24"/>
        <v>Tuesday</v>
      </c>
      <c r="P83" s="1">
        <f t="shared" si="25"/>
        <v>5</v>
      </c>
      <c r="Q83" s="6" t="s">
        <v>378</v>
      </c>
      <c r="R83" s="1" t="str">
        <f t="shared" si="29"/>
        <v>TKG</v>
      </c>
      <c r="S83" s="1" t="s">
        <v>318</v>
      </c>
      <c r="T83" s="11" t="str">
        <f>INDEX('ADD1'!$B$32:$B$53,MATCH(Master!S83,'ADD1'!$C$32:$C$53,0))</f>
        <v>Batik Air</v>
      </c>
      <c r="U83" s="74">
        <f t="shared" si="31"/>
        <v>100</v>
      </c>
      <c r="V83" s="77">
        <f t="shared" si="26"/>
        <v>157.21271884344958</v>
      </c>
      <c r="W83" s="78">
        <f t="shared" si="27"/>
        <v>2350000</v>
      </c>
      <c r="Y83" s="78">
        <f t="shared" si="30"/>
        <v>2585000</v>
      </c>
    </row>
    <row r="84" spans="1:25" ht="25" customHeight="1" x14ac:dyDescent="0.35">
      <c r="A84" s="14">
        <v>81</v>
      </c>
      <c r="B84" s="1">
        <v>1280</v>
      </c>
      <c r="C84" s="1" t="s">
        <v>28</v>
      </c>
      <c r="D84" s="4" t="s">
        <v>121</v>
      </c>
      <c r="E84" s="2">
        <v>33185</v>
      </c>
      <c r="F84" s="1" t="s">
        <v>162</v>
      </c>
      <c r="G84" s="1" t="s">
        <v>196</v>
      </c>
      <c r="H84" s="1" t="s">
        <v>199</v>
      </c>
      <c r="I84" s="1" t="str">
        <f t="shared" si="28"/>
        <v>Singapore Changi Airport</v>
      </c>
      <c r="K84" s="4" t="str">
        <f>INDEX('ADD1'!$D$5:$D$27,MATCH(Master!R84,'ADD1'!$E$5:$E$27,0))</f>
        <v>Suvarnabhumi International Airport</v>
      </c>
      <c r="L84" s="1">
        <v>105</v>
      </c>
      <c r="M84" s="1" t="str">
        <f t="shared" si="22"/>
        <v>Thursday</v>
      </c>
      <c r="N84" s="1">
        <f t="shared" si="23"/>
        <v>9</v>
      </c>
      <c r="O84" s="1" t="str">
        <f t="shared" si="24"/>
        <v>Thursday</v>
      </c>
      <c r="P84" s="1">
        <f t="shared" si="25"/>
        <v>11</v>
      </c>
      <c r="Q84" s="6" t="s">
        <v>393</v>
      </c>
      <c r="R84" s="1" t="str">
        <f t="shared" si="29"/>
        <v>BKK</v>
      </c>
      <c r="S84" s="1" t="s">
        <v>337</v>
      </c>
      <c r="T84" s="11" t="str">
        <f>INDEX('ADD1'!$B$32:$B$53,MATCH(Master!S84,'ADD1'!$C$32:$C$53,0))</f>
        <v>Thai Airways International Airlines</v>
      </c>
      <c r="U84" s="74">
        <f t="shared" si="31"/>
        <v>50</v>
      </c>
      <c r="V84" s="77">
        <f t="shared" si="26"/>
        <v>170.59252470246656</v>
      </c>
      <c r="W84" s="78">
        <f t="shared" si="27"/>
        <v>2550000</v>
      </c>
      <c r="X84" s="78">
        <f>W84*50%</f>
        <v>1275000</v>
      </c>
      <c r="Y84" s="78">
        <f t="shared" si="30"/>
        <v>2805000</v>
      </c>
    </row>
    <row r="85" spans="1:25" ht="25" customHeight="1" x14ac:dyDescent="0.35">
      <c r="A85">
        <v>82</v>
      </c>
      <c r="B85" s="1">
        <v>1281</v>
      </c>
      <c r="C85" s="1" t="s">
        <v>29</v>
      </c>
      <c r="D85" s="4" t="s">
        <v>122</v>
      </c>
      <c r="E85" s="2">
        <v>29871</v>
      </c>
      <c r="F85" s="1" t="s">
        <v>162</v>
      </c>
      <c r="G85" s="1" t="s">
        <v>196</v>
      </c>
      <c r="H85" s="1" t="s">
        <v>198</v>
      </c>
      <c r="I85" s="1" t="str">
        <f t="shared" si="28"/>
        <v>Soekarno-Hatta Airport</v>
      </c>
      <c r="J85" s="4" t="str">
        <f>INDEX('ADD1'!$B$5:$B$27,MATCH(Master!R85,'ADD1'!$C$5:$C$27,0))</f>
        <v>Abdul Rachman Saleh, Malang</v>
      </c>
      <c r="L85" s="1">
        <v>101</v>
      </c>
      <c r="M85" s="1" t="str">
        <f t="shared" si="22"/>
        <v>Sunday</v>
      </c>
      <c r="N85" s="1">
        <f t="shared" si="23"/>
        <v>9</v>
      </c>
      <c r="O85" s="1" t="str">
        <f t="shared" si="24"/>
        <v>Sunday</v>
      </c>
      <c r="P85" s="1">
        <f t="shared" si="25"/>
        <v>11</v>
      </c>
      <c r="Q85" s="6" t="s">
        <v>368</v>
      </c>
      <c r="R85" s="1" t="str">
        <f t="shared" si="29"/>
        <v>MLG</v>
      </c>
      <c r="S85" s="1" t="s">
        <v>320</v>
      </c>
      <c r="T85" s="11" t="str">
        <f>INDEX('ADD1'!$B$32:$B$53,MATCH(Master!S85,'ADD1'!$C$32:$C$53,0))</f>
        <v>Sriwijaya Air</v>
      </c>
      <c r="U85" s="74">
        <f t="shared" si="31"/>
        <v>100</v>
      </c>
      <c r="V85" s="77">
        <f t="shared" si="26"/>
        <v>147.17786444918684</v>
      </c>
      <c r="W85" s="78">
        <f t="shared" si="27"/>
        <v>2200000</v>
      </c>
      <c r="Y85" s="78">
        <f t="shared" si="30"/>
        <v>2420000</v>
      </c>
    </row>
    <row r="86" spans="1:25" ht="25" customHeight="1" x14ac:dyDescent="0.35">
      <c r="A86" s="14">
        <v>83</v>
      </c>
      <c r="B86" s="1">
        <v>1282</v>
      </c>
      <c r="C86" s="1" t="s">
        <v>29</v>
      </c>
      <c r="D86" s="4" t="s">
        <v>123</v>
      </c>
      <c r="E86" s="1" t="s">
        <v>195</v>
      </c>
      <c r="F86" s="1" t="s">
        <v>163</v>
      </c>
      <c r="G86" s="1" t="s">
        <v>196</v>
      </c>
      <c r="H86" s="1" t="s">
        <v>199</v>
      </c>
      <c r="I86" s="1" t="str">
        <f t="shared" si="28"/>
        <v>Singapore Changi Airport</v>
      </c>
      <c r="K86" s="4" t="str">
        <f>INDEX('ADD1'!$D$5:$D$27,MATCH(Master!R86,'ADD1'!$E$5:$E$27,0))</f>
        <v>Darwin International Airport</v>
      </c>
      <c r="L86" s="1">
        <v>102</v>
      </c>
      <c r="M86" s="1" t="str">
        <f t="shared" si="22"/>
        <v>Monday</v>
      </c>
      <c r="N86" s="1">
        <f t="shared" si="23"/>
        <v>1</v>
      </c>
      <c r="O86" s="1" t="str">
        <f t="shared" si="24"/>
        <v>Monday</v>
      </c>
      <c r="P86" s="1">
        <f t="shared" si="25"/>
        <v>3</v>
      </c>
      <c r="Q86" s="6" t="s">
        <v>404</v>
      </c>
      <c r="R86" s="1" t="str">
        <f t="shared" si="29"/>
        <v>DRW</v>
      </c>
      <c r="S86" s="1" t="s">
        <v>329</v>
      </c>
      <c r="T86" s="11" t="str">
        <f>INDEX('ADD1'!$B$32:$B$53,MATCH(Master!S86,'ADD1'!$C$32:$C$53,0))</f>
        <v xml:space="preserve">Emirates </v>
      </c>
      <c r="U86" s="74">
        <f t="shared" si="31"/>
        <v>50</v>
      </c>
      <c r="V86" s="77">
        <f t="shared" si="26"/>
        <v>705.784759063146</v>
      </c>
      <c r="W86" s="78">
        <f t="shared" si="27"/>
        <v>10550000</v>
      </c>
      <c r="X86" s="78">
        <f>W86*50%</f>
        <v>5275000</v>
      </c>
      <c r="Y86" s="78">
        <f t="shared" si="30"/>
        <v>11605000</v>
      </c>
    </row>
    <row r="87" spans="1:25" ht="25" customHeight="1" x14ac:dyDescent="0.35">
      <c r="A87">
        <v>84</v>
      </c>
      <c r="B87" s="1">
        <v>1283</v>
      </c>
      <c r="C87" s="1" t="s">
        <v>29</v>
      </c>
      <c r="D87" s="4" t="s">
        <v>124</v>
      </c>
      <c r="E87" s="2">
        <v>36348</v>
      </c>
      <c r="F87" s="1" t="s">
        <v>163</v>
      </c>
      <c r="G87" s="1" t="s">
        <v>196</v>
      </c>
      <c r="H87" s="1" t="s">
        <v>198</v>
      </c>
      <c r="I87" s="1" t="str">
        <f t="shared" si="28"/>
        <v>Soekarno-Hatta Airport</v>
      </c>
      <c r="J87" s="4" t="str">
        <f>INDEX('ADD1'!$B$5:$B$27,MATCH(Master!R87,'ADD1'!$C$5:$C$27,0))</f>
        <v>Ngurah Rai, Denpasar Bali</v>
      </c>
      <c r="L87" s="1">
        <v>103</v>
      </c>
      <c r="M87" s="1" t="str">
        <f t="shared" si="22"/>
        <v>Tuesday</v>
      </c>
      <c r="N87" s="1">
        <f t="shared" si="23"/>
        <v>3</v>
      </c>
      <c r="O87" s="1" t="str">
        <f t="shared" si="24"/>
        <v>Tuesday</v>
      </c>
      <c r="P87" s="1">
        <f t="shared" si="25"/>
        <v>5</v>
      </c>
      <c r="Q87" s="6" t="s">
        <v>365</v>
      </c>
      <c r="R87" s="1" t="str">
        <f t="shared" si="29"/>
        <v>DPS</v>
      </c>
      <c r="S87" s="1" t="s">
        <v>322</v>
      </c>
      <c r="T87" s="11" t="str">
        <f>INDEX('ADD1'!$B$32:$B$53,MATCH(Master!S87,'ADD1'!$C$32:$C$53,0))</f>
        <v>Indonesia AirAsia</v>
      </c>
      <c r="U87" s="74">
        <f t="shared" si="31"/>
        <v>100</v>
      </c>
      <c r="V87" s="77">
        <f t="shared" si="26"/>
        <v>130.45310712541561</v>
      </c>
      <c r="W87" s="78">
        <f t="shared" si="27"/>
        <v>1950000</v>
      </c>
      <c r="Y87" s="78">
        <f t="shared" si="30"/>
        <v>2145000</v>
      </c>
    </row>
    <row r="88" spans="1:25" ht="25" customHeight="1" x14ac:dyDescent="0.35">
      <c r="A88" s="14">
        <v>85</v>
      </c>
      <c r="B88" s="1">
        <v>1284</v>
      </c>
      <c r="C88" s="1" t="s">
        <v>29</v>
      </c>
      <c r="D88" s="4" t="s">
        <v>125</v>
      </c>
      <c r="E88" s="1" t="s">
        <v>173</v>
      </c>
      <c r="F88" s="1" t="s">
        <v>163</v>
      </c>
      <c r="G88" s="1" t="s">
        <v>196</v>
      </c>
      <c r="H88" s="1" t="s">
        <v>199</v>
      </c>
      <c r="I88" s="1" t="str">
        <f t="shared" si="28"/>
        <v>Singapore Changi Airport</v>
      </c>
      <c r="K88" s="4" t="str">
        <f>INDEX('ADD1'!$D$5:$D$27,MATCH(Master!R88,'ADD1'!$E$5:$E$27,0))</f>
        <v>Hanoi International Airport</v>
      </c>
      <c r="L88" s="1">
        <v>104</v>
      </c>
      <c r="M88" s="1" t="str">
        <f t="shared" si="22"/>
        <v>Wednesday</v>
      </c>
      <c r="N88" s="1">
        <f t="shared" si="23"/>
        <v>7</v>
      </c>
      <c r="O88" s="1" t="str">
        <f t="shared" si="24"/>
        <v>Wednesday</v>
      </c>
      <c r="P88" s="1">
        <f t="shared" si="25"/>
        <v>9</v>
      </c>
      <c r="Q88" s="6" t="s">
        <v>395</v>
      </c>
      <c r="R88" s="1" t="str">
        <f t="shared" si="29"/>
        <v>HAN</v>
      </c>
      <c r="S88" s="1" t="s">
        <v>331</v>
      </c>
      <c r="T88" s="11" t="str">
        <f>INDEX('ADD1'!$B$32:$B$53,MATCH(Master!S88,'ADD1'!$C$32:$C$53,0))</f>
        <v>All Nippon Airways</v>
      </c>
      <c r="U88" s="74">
        <f t="shared" si="31"/>
        <v>50</v>
      </c>
      <c r="V88" s="77">
        <f t="shared" si="26"/>
        <v>638.88572976806108</v>
      </c>
      <c r="W88" s="78">
        <f t="shared" si="27"/>
        <v>9550000</v>
      </c>
      <c r="X88" s="78">
        <f>W88*50%</f>
        <v>4775000</v>
      </c>
      <c r="Y88" s="78">
        <f t="shared" si="30"/>
        <v>10505000</v>
      </c>
    </row>
    <row r="89" spans="1:25" ht="25" customHeight="1" x14ac:dyDescent="0.35">
      <c r="A89">
        <v>86</v>
      </c>
      <c r="B89" s="1">
        <v>1285</v>
      </c>
      <c r="C89" s="1" t="s">
        <v>29</v>
      </c>
      <c r="D89" s="4" t="s">
        <v>126</v>
      </c>
      <c r="E89" s="1" t="s">
        <v>174</v>
      </c>
      <c r="F89" s="1" t="s">
        <v>163</v>
      </c>
      <c r="G89" s="1" t="s">
        <v>196</v>
      </c>
      <c r="H89" s="1" t="s">
        <v>199</v>
      </c>
      <c r="I89" s="1" t="str">
        <f t="shared" si="28"/>
        <v>Singapore Changi Airport</v>
      </c>
      <c r="K89" s="4" t="str">
        <f>INDEX('ADD1'!$D$5:$D$27,MATCH(Master!R89,'ADD1'!$E$5:$E$27,0))</f>
        <v>Adelaide International Airport</v>
      </c>
      <c r="L89" s="1">
        <v>106</v>
      </c>
      <c r="M89" s="1" t="str">
        <f t="shared" si="22"/>
        <v>Friday</v>
      </c>
      <c r="N89" s="1">
        <f t="shared" si="23"/>
        <v>12</v>
      </c>
      <c r="O89" s="1" t="str">
        <f t="shared" si="24"/>
        <v>Friday</v>
      </c>
      <c r="P89" s="1">
        <f t="shared" si="25"/>
        <v>14</v>
      </c>
      <c r="Q89" s="6" t="s">
        <v>391</v>
      </c>
      <c r="R89" s="1" t="str">
        <f t="shared" si="29"/>
        <v>ADL</v>
      </c>
      <c r="S89" s="1" t="s">
        <v>329</v>
      </c>
      <c r="T89" s="11" t="str">
        <f>INDEX('ADD1'!$B$32:$B$53,MATCH(Master!S89,'ADD1'!$C$32:$C$53,0))</f>
        <v xml:space="preserve">Emirates </v>
      </c>
      <c r="U89" s="74">
        <f t="shared" si="31"/>
        <v>50</v>
      </c>
      <c r="V89" s="77">
        <f t="shared" si="26"/>
        <v>786.0635942172479</v>
      </c>
      <c r="W89" s="78">
        <f t="shared" si="27"/>
        <v>11750000</v>
      </c>
      <c r="X89" s="78">
        <f>W89*50%</f>
        <v>5875000</v>
      </c>
      <c r="Y89" s="78">
        <f t="shared" si="30"/>
        <v>12925000</v>
      </c>
    </row>
    <row r="90" spans="1:25" ht="25" customHeight="1" x14ac:dyDescent="0.35">
      <c r="A90" s="14">
        <v>87</v>
      </c>
      <c r="B90" s="1">
        <v>1286</v>
      </c>
      <c r="C90" s="1" t="s">
        <v>29</v>
      </c>
      <c r="D90" s="4" t="s">
        <v>127</v>
      </c>
      <c r="E90" s="1" t="s">
        <v>186</v>
      </c>
      <c r="F90" s="1" t="s">
        <v>162</v>
      </c>
      <c r="G90" s="1" t="s">
        <v>197</v>
      </c>
      <c r="H90" s="1" t="s">
        <v>198</v>
      </c>
      <c r="I90" s="1" t="str">
        <f t="shared" si="28"/>
        <v>Soekarno-Hatta Airport</v>
      </c>
      <c r="J90" s="4" t="str">
        <f>INDEX('ADD1'!$B$5:$B$27,MATCH(Master!R90,'ADD1'!$C$5:$C$27,0))</f>
        <v>Sultan Iskanda Muda, Aceh</v>
      </c>
      <c r="L90" s="1">
        <v>101</v>
      </c>
      <c r="M90" s="1" t="str">
        <f t="shared" si="22"/>
        <v>Sunday</v>
      </c>
      <c r="N90" s="1">
        <f t="shared" si="23"/>
        <v>9</v>
      </c>
      <c r="O90" s="1" t="str">
        <f t="shared" si="24"/>
        <v>Sunday</v>
      </c>
      <c r="P90" s="1">
        <f t="shared" si="25"/>
        <v>11</v>
      </c>
      <c r="Q90" s="6" t="s">
        <v>372</v>
      </c>
      <c r="R90" s="1" t="str">
        <f t="shared" si="29"/>
        <v>BTJ</v>
      </c>
      <c r="S90" s="1" t="s">
        <v>321</v>
      </c>
      <c r="T90" s="11" t="str">
        <f>INDEX('ADD1'!$B$32:$B$53,MATCH(Master!S90,'ADD1'!$C$32:$C$53,0))</f>
        <v>Garuda Indonesia</v>
      </c>
      <c r="U90" s="74">
        <f t="shared" si="31"/>
        <v>100</v>
      </c>
      <c r="V90" s="77">
        <f t="shared" si="26"/>
        <v>163.90262177295807</v>
      </c>
      <c r="W90" s="78">
        <f t="shared" si="27"/>
        <v>2450000</v>
      </c>
      <c r="Y90" s="78">
        <f t="shared" si="30"/>
        <v>2695000</v>
      </c>
    </row>
    <row r="91" spans="1:25" ht="25" customHeight="1" x14ac:dyDescent="0.35">
      <c r="A91">
        <v>88</v>
      </c>
      <c r="B91" s="1">
        <v>1287</v>
      </c>
      <c r="C91" s="1" t="s">
        <v>29</v>
      </c>
      <c r="D91" s="4" t="s">
        <v>128</v>
      </c>
      <c r="E91" s="1" t="s">
        <v>187</v>
      </c>
      <c r="F91" s="1" t="s">
        <v>162</v>
      </c>
      <c r="G91" s="1" t="s">
        <v>196</v>
      </c>
      <c r="H91" s="1" t="s">
        <v>199</v>
      </c>
      <c r="I91" s="1" t="str">
        <f t="shared" si="28"/>
        <v>Singapore Changi Airport</v>
      </c>
      <c r="K91" s="4" t="str">
        <f>INDEX('ADD1'!$D$5:$D$27,MATCH(Master!R91,'ADD1'!$E$5:$E$27,0))</f>
        <v>Indira Gandhi International Airport</v>
      </c>
      <c r="L91" s="1">
        <v>101</v>
      </c>
      <c r="M91" s="1" t="str">
        <f t="shared" si="22"/>
        <v>Sunday</v>
      </c>
      <c r="N91" s="1">
        <f t="shared" si="23"/>
        <v>9</v>
      </c>
      <c r="O91" s="1" t="str">
        <f t="shared" si="24"/>
        <v>Sunday</v>
      </c>
      <c r="P91" s="1">
        <f t="shared" si="25"/>
        <v>11</v>
      </c>
      <c r="Q91" s="6" t="s">
        <v>384</v>
      </c>
      <c r="R91" s="1" t="str">
        <f t="shared" si="29"/>
        <v>DEL</v>
      </c>
      <c r="S91" s="1" t="s">
        <v>338</v>
      </c>
      <c r="T91" s="11" t="str">
        <f>INDEX('ADD1'!$B$32:$B$53,MATCH(Master!S91,'ADD1'!$C$32:$C$53,0))</f>
        <v>Malaysia Airlines</v>
      </c>
      <c r="U91" s="74">
        <f t="shared" si="31"/>
        <v>50</v>
      </c>
      <c r="V91" s="77">
        <f t="shared" si="26"/>
        <v>752.6140795697055</v>
      </c>
      <c r="W91" s="78">
        <f t="shared" si="27"/>
        <v>11250000</v>
      </c>
      <c r="X91" s="78">
        <f>W91*50%</f>
        <v>5625000</v>
      </c>
      <c r="Y91" s="78">
        <f t="shared" si="30"/>
        <v>12375000</v>
      </c>
    </row>
    <row r="92" spans="1:25" ht="25" customHeight="1" x14ac:dyDescent="0.35">
      <c r="A92" s="14">
        <v>89</v>
      </c>
      <c r="B92" s="1">
        <v>1288</v>
      </c>
      <c r="C92" s="3" t="s">
        <v>30</v>
      </c>
      <c r="D92" s="4" t="s">
        <v>129</v>
      </c>
      <c r="E92" s="1" t="s">
        <v>188</v>
      </c>
      <c r="F92" s="1" t="s">
        <v>162</v>
      </c>
      <c r="G92" s="1" t="s">
        <v>196</v>
      </c>
      <c r="H92" s="1" t="s">
        <v>198</v>
      </c>
      <c r="I92" s="1" t="str">
        <f t="shared" si="28"/>
        <v>Soekarno-Hatta Airport</v>
      </c>
      <c r="J92" s="4" t="str">
        <f>INDEX('ADD1'!$B$5:$B$27,MATCH(Master!R92,'ADD1'!$C$5:$C$27,0))</f>
        <v xml:space="preserve">Adisutjipto, DIY </v>
      </c>
      <c r="L92" s="1">
        <v>104</v>
      </c>
      <c r="M92" s="1" t="str">
        <f t="shared" si="22"/>
        <v>Wednesday</v>
      </c>
      <c r="N92" s="1">
        <f t="shared" si="23"/>
        <v>7</v>
      </c>
      <c r="O92" s="1" t="str">
        <f t="shared" si="24"/>
        <v>Wednesday</v>
      </c>
      <c r="P92" s="1">
        <f t="shared" si="25"/>
        <v>9</v>
      </c>
      <c r="Q92" s="6" t="s">
        <v>376</v>
      </c>
      <c r="R92" s="1" t="str">
        <f t="shared" si="29"/>
        <v>JOG</v>
      </c>
      <c r="S92" s="1" t="s">
        <v>318</v>
      </c>
      <c r="T92" s="11" t="str">
        <f>INDEX('ADD1'!$B$32:$B$53,MATCH(Master!S92,'ADD1'!$C$32:$C$53,0))</f>
        <v>Batik Air</v>
      </c>
      <c r="U92" s="74">
        <f t="shared" si="31"/>
        <v>100</v>
      </c>
      <c r="V92" s="77">
        <f t="shared" si="26"/>
        <v>133.79805859016986</v>
      </c>
      <c r="W92" s="78">
        <f t="shared" si="27"/>
        <v>2000000</v>
      </c>
      <c r="Y92" s="78">
        <f t="shared" si="30"/>
        <v>2200000</v>
      </c>
    </row>
    <row r="93" spans="1:25" ht="25" customHeight="1" x14ac:dyDescent="0.35">
      <c r="A93">
        <v>90</v>
      </c>
      <c r="B93" s="1">
        <v>1289</v>
      </c>
      <c r="C93" s="1" t="s">
        <v>30</v>
      </c>
      <c r="D93" s="4" t="s">
        <v>130</v>
      </c>
      <c r="E93" s="1" t="s">
        <v>176</v>
      </c>
      <c r="F93" s="1" t="s">
        <v>162</v>
      </c>
      <c r="G93" s="1" t="s">
        <v>196</v>
      </c>
      <c r="H93" s="1" t="s">
        <v>199</v>
      </c>
      <c r="I93" s="1" t="str">
        <f t="shared" si="28"/>
        <v>Singapore Changi Airport</v>
      </c>
      <c r="K93" s="4" t="str">
        <f>INDEX('ADD1'!$D$5:$D$27,MATCH(Master!R93,'ADD1'!$E$5:$E$27,0))</f>
        <v>Vancouver International Airport</v>
      </c>
      <c r="L93" s="1">
        <v>106</v>
      </c>
      <c r="M93" s="1" t="str">
        <f t="shared" si="22"/>
        <v>Friday</v>
      </c>
      <c r="N93" s="1">
        <f t="shared" si="23"/>
        <v>12</v>
      </c>
      <c r="O93" s="1" t="str">
        <f t="shared" si="24"/>
        <v>Friday</v>
      </c>
      <c r="P93" s="1">
        <f t="shared" si="25"/>
        <v>14</v>
      </c>
      <c r="Q93" s="6" t="s">
        <v>396</v>
      </c>
      <c r="R93" s="1" t="str">
        <f t="shared" si="29"/>
        <v>YVR</v>
      </c>
      <c r="S93" s="1" t="s">
        <v>336</v>
      </c>
      <c r="T93" s="11" t="str">
        <f>INDEX('ADD1'!$B$32:$B$53,MATCH(Master!S93,'ADD1'!$C$32:$C$53,0))</f>
        <v>Cathay Pacific Airlines</v>
      </c>
      <c r="U93" s="74">
        <f t="shared" si="31"/>
        <v>50</v>
      </c>
      <c r="V93" s="77">
        <f t="shared" si="26"/>
        <v>913.17174987790929</v>
      </c>
      <c r="W93" s="78">
        <f t="shared" si="27"/>
        <v>13650000</v>
      </c>
      <c r="X93" s="78">
        <f>W93*50%</f>
        <v>6825000</v>
      </c>
      <c r="Y93" s="78">
        <f t="shared" si="30"/>
        <v>15015000</v>
      </c>
    </row>
    <row r="94" spans="1:25" ht="25" customHeight="1" x14ac:dyDescent="0.35">
      <c r="A94" s="14">
        <v>91</v>
      </c>
      <c r="B94" s="1">
        <v>1290</v>
      </c>
      <c r="C94" s="1" t="s">
        <v>31</v>
      </c>
      <c r="D94" s="4" t="s">
        <v>131</v>
      </c>
      <c r="E94" s="1" t="s">
        <v>187</v>
      </c>
      <c r="F94" s="1" t="s">
        <v>163</v>
      </c>
      <c r="G94" s="1" t="s">
        <v>196</v>
      </c>
      <c r="H94" s="1" t="s">
        <v>199</v>
      </c>
      <c r="I94" s="1" t="str">
        <f t="shared" si="28"/>
        <v>Singapore Changi Airport</v>
      </c>
      <c r="K94" s="4" t="str">
        <f>INDEX('ADD1'!$D$5:$D$27,MATCH(Master!R94,'ADD1'!$E$5:$E$27,0))</f>
        <v>Kopenhagen International Airport</v>
      </c>
      <c r="L94" s="1">
        <v>101</v>
      </c>
      <c r="M94" s="1" t="str">
        <f t="shared" si="22"/>
        <v>Sunday</v>
      </c>
      <c r="N94" s="1">
        <f t="shared" si="23"/>
        <v>9</v>
      </c>
      <c r="O94" s="1" t="str">
        <f t="shared" si="24"/>
        <v>Sunday</v>
      </c>
      <c r="P94" s="1">
        <f t="shared" si="25"/>
        <v>11</v>
      </c>
      <c r="Q94" s="6" t="s">
        <v>397</v>
      </c>
      <c r="R94" s="1" t="str">
        <f t="shared" si="29"/>
        <v>CPH</v>
      </c>
      <c r="S94" s="1" t="s">
        <v>336</v>
      </c>
      <c r="T94" s="11" t="str">
        <f>INDEX('ADD1'!$B$32:$B$53,MATCH(Master!S94,'ADD1'!$C$32:$C$53,0))</f>
        <v>Cathay Pacific Airlines</v>
      </c>
      <c r="U94" s="74">
        <f t="shared" si="31"/>
        <v>50</v>
      </c>
      <c r="V94" s="77">
        <f t="shared" si="26"/>
        <v>980.07077917299421</v>
      </c>
      <c r="W94" s="78">
        <f t="shared" si="27"/>
        <v>14650000</v>
      </c>
      <c r="X94" s="78">
        <f t="shared" ref="X94:X97" si="33">W94*50%</f>
        <v>7325000</v>
      </c>
      <c r="Y94" s="78">
        <f t="shared" si="30"/>
        <v>16115000</v>
      </c>
    </row>
    <row r="95" spans="1:25" ht="25" customHeight="1" x14ac:dyDescent="0.35">
      <c r="A95">
        <v>92</v>
      </c>
      <c r="B95" s="1">
        <v>1291</v>
      </c>
      <c r="C95" s="3" t="s">
        <v>33</v>
      </c>
      <c r="D95" s="4" t="s">
        <v>132</v>
      </c>
      <c r="E95" s="1" t="s">
        <v>188</v>
      </c>
      <c r="F95" s="1" t="s">
        <v>163</v>
      </c>
      <c r="G95" s="1" t="s">
        <v>196</v>
      </c>
      <c r="H95" s="1" t="s">
        <v>199</v>
      </c>
      <c r="I95" s="1" t="str">
        <f t="shared" si="28"/>
        <v>Singapore Changi Airport</v>
      </c>
      <c r="K95" s="4" t="str">
        <f>INDEX('ADD1'!$D$5:$D$27,MATCH(Master!R95,'ADD1'!$E$5:$E$27,0))</f>
        <v>Kuala Lumpur International Airport</v>
      </c>
      <c r="L95" s="1">
        <v>103</v>
      </c>
      <c r="M95" s="1" t="str">
        <f t="shared" si="22"/>
        <v>Tuesday</v>
      </c>
      <c r="N95" s="1">
        <f t="shared" si="23"/>
        <v>3</v>
      </c>
      <c r="O95" s="1" t="str">
        <f t="shared" si="24"/>
        <v>Tuesday</v>
      </c>
      <c r="P95" s="1">
        <f t="shared" si="25"/>
        <v>5</v>
      </c>
      <c r="Q95" s="6" t="s">
        <v>398</v>
      </c>
      <c r="R95" s="1" t="str">
        <f t="shared" si="29"/>
        <v>KUL</v>
      </c>
      <c r="S95" s="1" t="s">
        <v>328</v>
      </c>
      <c r="T95" s="11" t="str">
        <f>INDEX('ADD1'!$B$32:$B$53,MATCH(Master!S95,'ADD1'!$C$32:$C$53,0))</f>
        <v>Singapore Airlines</v>
      </c>
      <c r="U95" s="74">
        <f t="shared" si="31"/>
        <v>50</v>
      </c>
      <c r="V95" s="77">
        <f t="shared" si="26"/>
        <v>187.31728202623779</v>
      </c>
      <c r="W95" s="78">
        <f t="shared" si="27"/>
        <v>2800000</v>
      </c>
      <c r="X95" s="78">
        <f t="shared" si="33"/>
        <v>1400000</v>
      </c>
      <c r="Y95" s="78">
        <f t="shared" si="30"/>
        <v>3080000</v>
      </c>
    </row>
    <row r="96" spans="1:25" ht="25" customHeight="1" x14ac:dyDescent="0.35">
      <c r="A96" s="14">
        <v>93</v>
      </c>
      <c r="B96" s="1">
        <v>1292</v>
      </c>
      <c r="C96" s="1" t="s">
        <v>33</v>
      </c>
      <c r="D96" s="4" t="s">
        <v>133</v>
      </c>
      <c r="E96" s="1" t="s">
        <v>176</v>
      </c>
      <c r="F96" s="1" t="s">
        <v>162</v>
      </c>
      <c r="G96" s="1" t="s">
        <v>197</v>
      </c>
      <c r="H96" s="1" t="s">
        <v>199</v>
      </c>
      <c r="I96" s="1" t="str">
        <f t="shared" si="28"/>
        <v>Singapore Changi Airport</v>
      </c>
      <c r="K96" s="4" t="str">
        <f>INDEX('ADD1'!$D$5:$D$27,MATCH(Master!R96,'ADD1'!$E$5:$E$27,0))</f>
        <v>Narita Tokyo International Airport</v>
      </c>
      <c r="L96" s="1">
        <v>107</v>
      </c>
      <c r="M96" s="1" t="str">
        <f t="shared" si="22"/>
        <v>Saturday</v>
      </c>
      <c r="N96" s="1">
        <f t="shared" si="23"/>
        <v>3</v>
      </c>
      <c r="O96" s="1" t="str">
        <f t="shared" si="24"/>
        <v>Saturday</v>
      </c>
      <c r="P96" s="1">
        <f t="shared" si="25"/>
        <v>5</v>
      </c>
      <c r="Q96" s="6" t="s">
        <v>399</v>
      </c>
      <c r="R96" s="1" t="str">
        <f t="shared" si="29"/>
        <v>NRT</v>
      </c>
      <c r="S96" s="1" t="s">
        <v>334</v>
      </c>
      <c r="T96" s="11" t="str">
        <f>INDEX('ADD1'!$B$32:$B$53,MATCH(Master!S96,'ADD1'!$C$32:$C$53,0))</f>
        <v>Saudia Airlines</v>
      </c>
      <c r="U96" s="74">
        <f t="shared" si="31"/>
        <v>50</v>
      </c>
      <c r="V96" s="77">
        <f t="shared" si="26"/>
        <v>551.91699168445064</v>
      </c>
      <c r="W96" s="78">
        <f t="shared" si="27"/>
        <v>8250000</v>
      </c>
      <c r="X96" s="78">
        <f t="shared" si="33"/>
        <v>4125000</v>
      </c>
      <c r="Y96" s="78">
        <f t="shared" si="30"/>
        <v>9075000</v>
      </c>
    </row>
    <row r="97" spans="1:25" ht="25" customHeight="1" x14ac:dyDescent="0.35">
      <c r="A97">
        <v>94</v>
      </c>
      <c r="B97" s="1">
        <v>1293</v>
      </c>
      <c r="C97" s="1" t="s">
        <v>34</v>
      </c>
      <c r="D97" s="4" t="s">
        <v>134</v>
      </c>
      <c r="E97" s="2">
        <v>35737</v>
      </c>
      <c r="F97" s="1" t="s">
        <v>162</v>
      </c>
      <c r="G97" s="1" t="s">
        <v>197</v>
      </c>
      <c r="H97" s="1" t="s">
        <v>199</v>
      </c>
      <c r="I97" s="1" t="str">
        <f t="shared" si="28"/>
        <v>Singapore Changi Airport</v>
      </c>
      <c r="K97" s="4" t="str">
        <f>INDEX('ADD1'!$D$5:$D$27,MATCH(Master!R97,'ADD1'!$E$5:$E$27,0))</f>
        <v>Osaka Japan International Airport</v>
      </c>
      <c r="L97" s="1">
        <v>104</v>
      </c>
      <c r="M97" s="1" t="str">
        <f t="shared" si="22"/>
        <v>Wednesday</v>
      </c>
      <c r="N97" s="1">
        <f t="shared" si="23"/>
        <v>7</v>
      </c>
      <c r="O97" s="1" t="str">
        <f t="shared" si="24"/>
        <v>Wednesday</v>
      </c>
      <c r="P97" s="1">
        <f t="shared" si="25"/>
        <v>9</v>
      </c>
      <c r="Q97" s="6" t="s">
        <v>400</v>
      </c>
      <c r="R97" s="1" t="str">
        <f t="shared" si="29"/>
        <v>KIX</v>
      </c>
      <c r="S97" s="1" t="s">
        <v>334</v>
      </c>
      <c r="T97" s="11" t="str">
        <f>INDEX('ADD1'!$B$32:$B$53,MATCH(Master!S97,'ADD1'!$C$32:$C$53,0))</f>
        <v>Saudia Airlines</v>
      </c>
      <c r="U97" s="74">
        <f t="shared" si="31"/>
        <v>50</v>
      </c>
      <c r="V97" s="77">
        <f t="shared" si="26"/>
        <v>919.86165280741784</v>
      </c>
      <c r="W97" s="78">
        <f t="shared" si="27"/>
        <v>13750000</v>
      </c>
      <c r="X97" s="78">
        <f t="shared" si="33"/>
        <v>6875000</v>
      </c>
      <c r="Y97" s="78">
        <f t="shared" si="30"/>
        <v>15125000</v>
      </c>
    </row>
    <row r="98" spans="1:25" ht="25" customHeight="1" x14ac:dyDescent="0.35">
      <c r="A98" s="14">
        <v>95</v>
      </c>
      <c r="B98" s="1">
        <v>1294</v>
      </c>
      <c r="C98" s="3" t="s">
        <v>34</v>
      </c>
      <c r="D98" s="4" t="s">
        <v>135</v>
      </c>
      <c r="E98" s="2">
        <v>35771</v>
      </c>
      <c r="F98" s="1" t="s">
        <v>163</v>
      </c>
      <c r="G98" s="1" t="s">
        <v>196</v>
      </c>
      <c r="H98" s="1" t="s">
        <v>198</v>
      </c>
      <c r="I98" s="1" t="str">
        <f t="shared" si="28"/>
        <v>Soekarno-Hatta Airport</v>
      </c>
      <c r="J98" s="4" t="str">
        <f>INDEX('ADD1'!$B$5:$B$27,MATCH(Master!R98,'ADD1'!$C$5:$C$27,0))</f>
        <v>Radin Inten II, Bandar Lampung</v>
      </c>
      <c r="L98" s="1">
        <v>103</v>
      </c>
      <c r="M98" s="1" t="str">
        <f t="shared" si="22"/>
        <v>Tuesday</v>
      </c>
      <c r="N98" s="1">
        <f t="shared" si="23"/>
        <v>3</v>
      </c>
      <c r="O98" s="1" t="str">
        <f t="shared" si="24"/>
        <v>Tuesday</v>
      </c>
      <c r="P98" s="1">
        <f t="shared" si="25"/>
        <v>5</v>
      </c>
      <c r="Q98" s="6" t="s">
        <v>378</v>
      </c>
      <c r="R98" s="1" t="str">
        <f t="shared" si="29"/>
        <v>TKG</v>
      </c>
      <c r="S98" s="1" t="s">
        <v>318</v>
      </c>
      <c r="T98" s="11" t="str">
        <f>INDEX('ADD1'!$B$32:$B$53,MATCH(Master!S98,'ADD1'!$C$32:$C$53,0))</f>
        <v>Batik Air</v>
      </c>
      <c r="U98" s="74">
        <f t="shared" si="31"/>
        <v>100</v>
      </c>
      <c r="V98" s="77">
        <f t="shared" si="26"/>
        <v>157.21271884344958</v>
      </c>
      <c r="W98" s="78">
        <f t="shared" si="27"/>
        <v>2350000</v>
      </c>
      <c r="Y98" s="78">
        <f t="shared" si="30"/>
        <v>2585000</v>
      </c>
    </row>
    <row r="99" spans="1:25" ht="25" customHeight="1" x14ac:dyDescent="0.35">
      <c r="A99">
        <v>96</v>
      </c>
      <c r="B99" s="1">
        <v>1295</v>
      </c>
      <c r="C99" s="1" t="s">
        <v>35</v>
      </c>
      <c r="D99" s="4" t="s">
        <v>136</v>
      </c>
      <c r="E99" s="2">
        <v>31599</v>
      </c>
      <c r="F99" s="1" t="s">
        <v>163</v>
      </c>
      <c r="G99" s="1" t="s">
        <v>196</v>
      </c>
      <c r="H99" s="1" t="s">
        <v>199</v>
      </c>
      <c r="I99" s="1" t="str">
        <f t="shared" si="28"/>
        <v>Singapore Changi Airport</v>
      </c>
      <c r="K99" s="4" t="str">
        <f>INDEX('ADD1'!$D$5:$D$27,MATCH(Master!R99,'ADD1'!$E$5:$E$27,0))</f>
        <v>Zurich International Airport</v>
      </c>
      <c r="L99" s="1">
        <v>102</v>
      </c>
      <c r="M99" s="1" t="str">
        <f t="shared" si="22"/>
        <v>Monday</v>
      </c>
      <c r="N99" s="1">
        <f t="shared" si="23"/>
        <v>1</v>
      </c>
      <c r="O99" s="1" t="str">
        <f t="shared" si="24"/>
        <v>Monday</v>
      </c>
      <c r="P99" s="1">
        <f t="shared" si="25"/>
        <v>3</v>
      </c>
      <c r="Q99" s="6" t="s">
        <v>402</v>
      </c>
      <c r="R99" s="1" t="str">
        <f t="shared" si="29"/>
        <v>ZRH</v>
      </c>
      <c r="S99" s="1" t="s">
        <v>332</v>
      </c>
      <c r="T99" s="11" t="str">
        <f>INDEX('ADD1'!$B$32:$B$53,MATCH(Master!S99,'ADD1'!$C$32:$C$53,0))</f>
        <v>Turkish Airlines</v>
      </c>
      <c r="U99" s="74">
        <f t="shared" si="31"/>
        <v>50</v>
      </c>
      <c r="V99" s="77">
        <f t="shared" si="26"/>
        <v>699.429351280113</v>
      </c>
      <c r="W99" s="78">
        <f t="shared" si="27"/>
        <v>10455000</v>
      </c>
      <c r="X99" s="78">
        <f>W99*50%</f>
        <v>5227500</v>
      </c>
      <c r="Y99" s="78">
        <f t="shared" si="30"/>
        <v>11500500</v>
      </c>
    </row>
    <row r="100" spans="1:25" ht="25" customHeight="1" x14ac:dyDescent="0.35">
      <c r="A100" s="14">
        <v>97</v>
      </c>
      <c r="B100" s="1">
        <v>1296</v>
      </c>
      <c r="C100" s="1" t="s">
        <v>35</v>
      </c>
      <c r="D100" s="4" t="s">
        <v>137</v>
      </c>
      <c r="E100" s="2">
        <v>29285</v>
      </c>
      <c r="F100" s="1" t="s">
        <v>163</v>
      </c>
      <c r="G100" s="1" t="s">
        <v>196</v>
      </c>
      <c r="H100" s="1" t="s">
        <v>198</v>
      </c>
      <c r="I100" s="1" t="str">
        <f t="shared" si="28"/>
        <v>Soekarno-Hatta Airport</v>
      </c>
      <c r="J100" s="4" t="str">
        <f>INDEX('ADD1'!$B$5:$B$27,MATCH(Master!R100,'ADD1'!$C$5:$C$27,0))</f>
        <v>Juanda, Surabaya</v>
      </c>
      <c r="L100" s="1">
        <v>101</v>
      </c>
      <c r="M100" s="1" t="str">
        <f t="shared" si="22"/>
        <v>Sunday</v>
      </c>
      <c r="N100" s="1">
        <f t="shared" si="23"/>
        <v>9</v>
      </c>
      <c r="O100" s="1" t="str">
        <f t="shared" si="24"/>
        <v>Sunday</v>
      </c>
      <c r="P100" s="1">
        <f t="shared" si="25"/>
        <v>11</v>
      </c>
      <c r="Q100" s="6" t="s">
        <v>349</v>
      </c>
      <c r="R100" s="1" t="str">
        <f t="shared" si="29"/>
        <v>SUB</v>
      </c>
      <c r="S100" s="1" t="s">
        <v>326</v>
      </c>
      <c r="T100" s="11" t="str">
        <f>INDEX('ADD1'!$B$32:$B$53,MATCH(Master!S100,'ADD1'!$C$32:$C$53,0))</f>
        <v>Lion Air</v>
      </c>
      <c r="U100" s="74">
        <f t="shared" si="31"/>
        <v>100</v>
      </c>
      <c r="V100" s="77">
        <f t="shared" si="26"/>
        <v>130.45310712541561</v>
      </c>
      <c r="W100" s="78">
        <f t="shared" si="27"/>
        <v>1950000</v>
      </c>
      <c r="Y100" s="78">
        <f t="shared" si="30"/>
        <v>2145000</v>
      </c>
    </row>
    <row r="101" spans="1:25" ht="25" customHeight="1" x14ac:dyDescent="0.35">
      <c r="A101">
        <v>98</v>
      </c>
      <c r="B101" s="1">
        <v>1297</v>
      </c>
      <c r="C101" s="1" t="s">
        <v>35</v>
      </c>
      <c r="D101" s="4" t="s">
        <v>138</v>
      </c>
      <c r="E101" s="2">
        <v>29567</v>
      </c>
      <c r="F101" s="1" t="s">
        <v>162</v>
      </c>
      <c r="G101" s="1" t="s">
        <v>196</v>
      </c>
      <c r="H101" s="1" t="s">
        <v>198</v>
      </c>
      <c r="I101" s="1" t="str">
        <f t="shared" si="28"/>
        <v>Soekarno-Hatta Airport</v>
      </c>
      <c r="J101" s="4" t="str">
        <f>INDEX('ADD1'!$B$5:$B$27,MATCH(Master!R101,'ADD1'!$C$5:$C$27,0))</f>
        <v>Sultan Syarif Kasim II, Riau</v>
      </c>
      <c r="L101" s="1">
        <v>105</v>
      </c>
      <c r="M101" s="1" t="str">
        <f t="shared" ref="M101:M124" si="34">VLOOKUP(L101,Departure,2,0)</f>
        <v>Thursday</v>
      </c>
      <c r="N101" s="1">
        <f t="shared" ref="N101:N124" si="35">VLOOKUP(L101,Departure,3,0)</f>
        <v>9</v>
      </c>
      <c r="O101" s="1" t="str">
        <f t="shared" ref="O101:O124" si="36">HLOOKUP(L101,Arrival,2,0)</f>
        <v>Thursday</v>
      </c>
      <c r="P101" s="1">
        <f t="shared" ref="P101:P124" si="37">HLOOKUP(L101,Arrival,3,0)</f>
        <v>11</v>
      </c>
      <c r="Q101" s="6" t="s">
        <v>350</v>
      </c>
      <c r="R101" s="1" t="str">
        <f t="shared" si="29"/>
        <v>PKU</v>
      </c>
      <c r="S101" s="1" t="s">
        <v>318</v>
      </c>
      <c r="T101" s="11" t="str">
        <f>INDEX('ADD1'!$B$32:$B$53,MATCH(Master!S101,'ADD1'!$C$32:$C$53,0))</f>
        <v>Batik Air</v>
      </c>
      <c r="U101" s="74">
        <f t="shared" si="31"/>
        <v>100</v>
      </c>
      <c r="V101" s="77">
        <f t="shared" ref="V101:V124" si="38">VLOOKUP(R101,Price,3,0)</f>
        <v>133.79805859016986</v>
      </c>
      <c r="W101" s="78">
        <f t="shared" ref="W101:W124" si="39">VLOOKUP(R101,Price,2,0)</f>
        <v>2000000</v>
      </c>
      <c r="Y101" s="78">
        <f t="shared" si="30"/>
        <v>2200000</v>
      </c>
    </row>
    <row r="102" spans="1:25" ht="25" customHeight="1" x14ac:dyDescent="0.35">
      <c r="A102" s="14">
        <v>99</v>
      </c>
      <c r="B102" s="1">
        <v>1298</v>
      </c>
      <c r="C102" s="1" t="s">
        <v>35</v>
      </c>
      <c r="D102" s="4" t="s">
        <v>139</v>
      </c>
      <c r="E102" s="2">
        <v>29688</v>
      </c>
      <c r="F102" s="1" t="s">
        <v>162</v>
      </c>
      <c r="G102" s="1" t="s">
        <v>196</v>
      </c>
      <c r="H102" s="1" t="s">
        <v>198</v>
      </c>
      <c r="I102" s="1" t="str">
        <f t="shared" si="28"/>
        <v>Soekarno-Hatta Airport</v>
      </c>
      <c r="J102" s="4" t="str">
        <f>INDEX('ADD1'!$B$5:$B$27,MATCH(Master!R102,'ADD1'!$C$5:$C$27,0))</f>
        <v>Sultan Iskanda Muda, Aceh</v>
      </c>
      <c r="L102" s="1">
        <v>104</v>
      </c>
      <c r="M102" s="1" t="str">
        <f t="shared" si="34"/>
        <v>Wednesday</v>
      </c>
      <c r="N102" s="1">
        <f t="shared" si="35"/>
        <v>7</v>
      </c>
      <c r="O102" s="1" t="str">
        <f t="shared" si="36"/>
        <v>Wednesday</v>
      </c>
      <c r="P102" s="1">
        <f t="shared" si="37"/>
        <v>9</v>
      </c>
      <c r="Q102" s="6" t="s">
        <v>353</v>
      </c>
      <c r="R102" s="1" t="str">
        <f t="shared" si="29"/>
        <v>BTJ</v>
      </c>
      <c r="S102" s="1" t="s">
        <v>318</v>
      </c>
      <c r="T102" s="11" t="str">
        <f>INDEX('ADD1'!$B$32:$B$53,MATCH(Master!S102,'ADD1'!$C$32:$C$53,0))</f>
        <v>Batik Air</v>
      </c>
      <c r="U102" s="74">
        <f t="shared" si="31"/>
        <v>100</v>
      </c>
      <c r="V102" s="77">
        <f t="shared" si="38"/>
        <v>163.90262177295807</v>
      </c>
      <c r="W102" s="78">
        <f t="shared" si="39"/>
        <v>2450000</v>
      </c>
      <c r="Y102" s="78">
        <f t="shared" si="30"/>
        <v>2695000</v>
      </c>
    </row>
    <row r="103" spans="1:25" ht="25" customHeight="1" x14ac:dyDescent="0.35">
      <c r="A103">
        <v>100</v>
      </c>
      <c r="B103" s="1">
        <v>1299</v>
      </c>
      <c r="C103" s="1" t="s">
        <v>36</v>
      </c>
      <c r="D103" s="4" t="s">
        <v>140</v>
      </c>
      <c r="E103" s="2">
        <v>36504</v>
      </c>
      <c r="F103" s="1" t="s">
        <v>162</v>
      </c>
      <c r="G103" s="1" t="s">
        <v>197</v>
      </c>
      <c r="H103" s="1" t="s">
        <v>198</v>
      </c>
      <c r="I103" s="1" t="str">
        <f t="shared" si="28"/>
        <v>Soekarno-Hatta Airport</v>
      </c>
      <c r="J103" s="4" t="str">
        <f>INDEX('ADD1'!$B$5:$B$27,MATCH(Master!R103,'ADD1'!$C$5:$C$27,0))</f>
        <v>Supadio, Pontianak</v>
      </c>
      <c r="L103" s="1">
        <v>103</v>
      </c>
      <c r="M103" s="1" t="str">
        <f t="shared" si="34"/>
        <v>Tuesday</v>
      </c>
      <c r="N103" s="1">
        <f t="shared" si="35"/>
        <v>3</v>
      </c>
      <c r="O103" s="1" t="str">
        <f t="shared" si="36"/>
        <v>Tuesday</v>
      </c>
      <c r="P103" s="1">
        <f t="shared" si="37"/>
        <v>5</v>
      </c>
      <c r="Q103" s="6" t="s">
        <v>354</v>
      </c>
      <c r="R103" s="1" t="str">
        <f t="shared" si="29"/>
        <v>PNK</v>
      </c>
      <c r="S103" s="1" t="s">
        <v>321</v>
      </c>
      <c r="T103" s="11" t="str">
        <f>INDEX('ADD1'!$B$32:$B$53,MATCH(Master!S103,'ADD1'!$C$32:$C$53,0))</f>
        <v>Garuda Indonesia</v>
      </c>
      <c r="U103" s="74">
        <f t="shared" si="31"/>
        <v>100</v>
      </c>
      <c r="V103" s="77">
        <f t="shared" si="38"/>
        <v>143.8329129844326</v>
      </c>
      <c r="W103" s="78">
        <f t="shared" si="39"/>
        <v>2150000</v>
      </c>
      <c r="Y103" s="78">
        <f t="shared" si="30"/>
        <v>2365000</v>
      </c>
    </row>
    <row r="104" spans="1:25" ht="25" customHeight="1" x14ac:dyDescent="0.35">
      <c r="A104" s="14">
        <v>101</v>
      </c>
      <c r="B104" s="1">
        <v>1300</v>
      </c>
      <c r="C104" s="3" t="s">
        <v>36</v>
      </c>
      <c r="D104" s="4" t="s">
        <v>141</v>
      </c>
      <c r="E104" s="1" t="s">
        <v>179</v>
      </c>
      <c r="F104" s="1" t="s">
        <v>162</v>
      </c>
      <c r="G104" s="1" t="s">
        <v>196</v>
      </c>
      <c r="H104" s="1" t="s">
        <v>198</v>
      </c>
      <c r="I104" s="1" t="str">
        <f t="shared" si="28"/>
        <v>Soekarno-Hatta Airport</v>
      </c>
      <c r="J104" s="4" t="str">
        <f>INDEX('ADD1'!$B$5:$B$27,MATCH(Master!R104,'ADD1'!$C$5:$C$27,0))</f>
        <v>Ngurah Rai, Denpasar Bali</v>
      </c>
      <c r="L104" s="1">
        <v>102</v>
      </c>
      <c r="M104" s="1" t="str">
        <f t="shared" si="34"/>
        <v>Monday</v>
      </c>
      <c r="N104" s="1">
        <f t="shared" si="35"/>
        <v>1</v>
      </c>
      <c r="O104" s="1" t="str">
        <f t="shared" si="36"/>
        <v>Monday</v>
      </c>
      <c r="P104" s="1">
        <f t="shared" si="37"/>
        <v>3</v>
      </c>
      <c r="Q104" s="6" t="s">
        <v>355</v>
      </c>
      <c r="R104" s="1" t="str">
        <f t="shared" si="29"/>
        <v>DPS</v>
      </c>
      <c r="S104" s="1" t="s">
        <v>321</v>
      </c>
      <c r="T104" s="11" t="str">
        <f>INDEX('ADD1'!$B$32:$B$53,MATCH(Master!S104,'ADD1'!$C$32:$C$53,0))</f>
        <v>Garuda Indonesia</v>
      </c>
      <c r="U104" s="74">
        <f t="shared" si="31"/>
        <v>100</v>
      </c>
      <c r="V104" s="77">
        <f t="shared" si="38"/>
        <v>130.45310712541561</v>
      </c>
      <c r="W104" s="78">
        <f t="shared" si="39"/>
        <v>1950000</v>
      </c>
      <c r="Y104" s="78">
        <f t="shared" si="30"/>
        <v>2145000</v>
      </c>
    </row>
    <row r="105" spans="1:25" ht="25" customHeight="1" x14ac:dyDescent="0.35">
      <c r="A105">
        <v>102</v>
      </c>
      <c r="B105" s="1">
        <v>1301</v>
      </c>
      <c r="C105" s="1" t="s">
        <v>36</v>
      </c>
      <c r="D105" s="4" t="s">
        <v>142</v>
      </c>
      <c r="E105" s="1" t="s">
        <v>180</v>
      </c>
      <c r="F105" s="1" t="s">
        <v>163</v>
      </c>
      <c r="G105" s="1" t="s">
        <v>196</v>
      </c>
      <c r="H105" s="1" t="s">
        <v>198</v>
      </c>
      <c r="I105" s="1" t="str">
        <f t="shared" si="28"/>
        <v>Soekarno-Hatta Airport</v>
      </c>
      <c r="J105" s="4" t="str">
        <f>INDEX('ADD1'!$B$5:$B$27,MATCH(Master!R105,'ADD1'!$C$5:$C$27,0))</f>
        <v>Sultan Syarif Kasim II, Riau</v>
      </c>
      <c r="L105" s="1">
        <v>105</v>
      </c>
      <c r="M105" s="1" t="str">
        <f t="shared" si="34"/>
        <v>Thursday</v>
      </c>
      <c r="N105" s="1">
        <f t="shared" si="35"/>
        <v>9</v>
      </c>
      <c r="O105" s="1" t="str">
        <f t="shared" si="36"/>
        <v>Thursday</v>
      </c>
      <c r="P105" s="1">
        <f t="shared" si="37"/>
        <v>11</v>
      </c>
      <c r="Q105" s="6" t="s">
        <v>350</v>
      </c>
      <c r="R105" s="1" t="str">
        <f t="shared" si="29"/>
        <v>PKU</v>
      </c>
      <c r="S105" s="1" t="s">
        <v>318</v>
      </c>
      <c r="T105" s="11" t="str">
        <f>INDEX('ADD1'!$B$32:$B$53,MATCH(Master!S105,'ADD1'!$C$32:$C$53,0))</f>
        <v>Batik Air</v>
      </c>
      <c r="U105" s="74">
        <f t="shared" si="31"/>
        <v>100</v>
      </c>
      <c r="V105" s="77">
        <f t="shared" si="38"/>
        <v>133.79805859016986</v>
      </c>
      <c r="W105" s="78">
        <f t="shared" si="39"/>
        <v>2000000</v>
      </c>
      <c r="Y105" s="78">
        <f t="shared" si="30"/>
        <v>2200000</v>
      </c>
    </row>
    <row r="106" spans="1:25" ht="25" customHeight="1" x14ac:dyDescent="0.35">
      <c r="A106" s="14">
        <v>103</v>
      </c>
      <c r="B106" s="1">
        <v>1302</v>
      </c>
      <c r="C106" s="1" t="s">
        <v>36</v>
      </c>
      <c r="D106" s="4" t="s">
        <v>143</v>
      </c>
      <c r="E106" s="2">
        <v>36468</v>
      </c>
      <c r="F106" s="1" t="s">
        <v>163</v>
      </c>
      <c r="G106" s="1" t="s">
        <v>196</v>
      </c>
      <c r="H106" s="1" t="s">
        <v>198</v>
      </c>
      <c r="I106" s="1" t="str">
        <f t="shared" si="28"/>
        <v>Soekarno-Hatta Airport</v>
      </c>
      <c r="J106" s="4" t="str">
        <f>INDEX('ADD1'!$B$5:$B$27,MATCH(Master!R106,'ADD1'!$C$5:$C$27,0))</f>
        <v>Sultan Iskanda Muda, Aceh</v>
      </c>
      <c r="L106" s="1">
        <v>104</v>
      </c>
      <c r="M106" s="1" t="str">
        <f t="shared" si="34"/>
        <v>Wednesday</v>
      </c>
      <c r="N106" s="1">
        <f t="shared" si="35"/>
        <v>7</v>
      </c>
      <c r="O106" s="1" t="str">
        <f t="shared" si="36"/>
        <v>Wednesday</v>
      </c>
      <c r="P106" s="1">
        <f t="shared" si="37"/>
        <v>9</v>
      </c>
      <c r="Q106" s="6" t="s">
        <v>353</v>
      </c>
      <c r="R106" s="1" t="str">
        <f t="shared" si="29"/>
        <v>BTJ</v>
      </c>
      <c r="S106" s="1" t="s">
        <v>318</v>
      </c>
      <c r="T106" s="11" t="str">
        <f>INDEX('ADD1'!$B$32:$B$53,MATCH(Master!S106,'ADD1'!$C$32:$C$53,0))</f>
        <v>Batik Air</v>
      </c>
      <c r="U106" s="74">
        <f t="shared" si="31"/>
        <v>100</v>
      </c>
      <c r="V106" s="77">
        <f t="shared" si="38"/>
        <v>163.90262177295807</v>
      </c>
      <c r="W106" s="78">
        <f t="shared" si="39"/>
        <v>2450000</v>
      </c>
      <c r="Y106" s="78">
        <f t="shared" si="30"/>
        <v>2695000</v>
      </c>
    </row>
    <row r="107" spans="1:25" ht="25" customHeight="1" x14ac:dyDescent="0.35">
      <c r="A107">
        <v>104</v>
      </c>
      <c r="B107" s="1">
        <v>1303</v>
      </c>
      <c r="C107" s="1" t="s">
        <v>36</v>
      </c>
      <c r="D107" s="4" t="s">
        <v>144</v>
      </c>
      <c r="E107" s="1" t="s">
        <v>181</v>
      </c>
      <c r="F107" s="1" t="s">
        <v>162</v>
      </c>
      <c r="G107" s="1" t="s">
        <v>197</v>
      </c>
      <c r="H107" s="1" t="s">
        <v>198</v>
      </c>
      <c r="I107" s="1" t="str">
        <f t="shared" si="28"/>
        <v>Soekarno-Hatta Airport</v>
      </c>
      <c r="J107" s="4" t="str">
        <f>INDEX('ADD1'!$B$5:$B$27,MATCH(Master!R107,'ADD1'!$C$5:$C$27,0))</f>
        <v>Supadio, Pontianak</v>
      </c>
      <c r="L107" s="1">
        <v>103</v>
      </c>
      <c r="M107" s="1" t="str">
        <f t="shared" si="34"/>
        <v>Tuesday</v>
      </c>
      <c r="N107" s="1">
        <f t="shared" si="35"/>
        <v>3</v>
      </c>
      <c r="O107" s="1" t="str">
        <f t="shared" si="36"/>
        <v>Tuesday</v>
      </c>
      <c r="P107" s="1">
        <f t="shared" si="37"/>
        <v>5</v>
      </c>
      <c r="Q107" s="6" t="s">
        <v>354</v>
      </c>
      <c r="R107" s="1" t="str">
        <f t="shared" si="29"/>
        <v>PNK</v>
      </c>
      <c r="S107" s="1" t="s">
        <v>321</v>
      </c>
      <c r="T107" s="11" t="str">
        <f>INDEX('ADD1'!$B$32:$B$53,MATCH(Master!S107,'ADD1'!$C$32:$C$53,0))</f>
        <v>Garuda Indonesia</v>
      </c>
      <c r="U107" s="74">
        <f t="shared" si="31"/>
        <v>100</v>
      </c>
      <c r="V107" s="77">
        <f t="shared" si="38"/>
        <v>143.8329129844326</v>
      </c>
      <c r="W107" s="78">
        <f t="shared" si="39"/>
        <v>2150000</v>
      </c>
      <c r="Y107" s="78">
        <f t="shared" si="30"/>
        <v>2365000</v>
      </c>
    </row>
    <row r="108" spans="1:25" ht="25" customHeight="1" x14ac:dyDescent="0.35">
      <c r="A108" s="14">
        <v>105</v>
      </c>
      <c r="B108" s="1">
        <v>1304</v>
      </c>
      <c r="C108" s="1" t="s">
        <v>36</v>
      </c>
      <c r="D108" s="4" t="s">
        <v>145</v>
      </c>
      <c r="E108" s="1" t="s">
        <v>182</v>
      </c>
      <c r="F108" s="1" t="s">
        <v>162</v>
      </c>
      <c r="G108" s="1" t="s">
        <v>196</v>
      </c>
      <c r="H108" s="1" t="s">
        <v>198</v>
      </c>
      <c r="I108" s="1" t="str">
        <f t="shared" si="28"/>
        <v>Soekarno-Hatta Airport</v>
      </c>
      <c r="J108" s="4" t="str">
        <f>INDEX('ADD1'!$B$5:$B$27,MATCH(Master!R108,'ADD1'!$C$5:$C$27,0))</f>
        <v>Ngurah Rai, Denpasar Bali</v>
      </c>
      <c r="L108" s="1">
        <v>102</v>
      </c>
      <c r="M108" s="1" t="str">
        <f t="shared" si="34"/>
        <v>Monday</v>
      </c>
      <c r="N108" s="1">
        <f t="shared" si="35"/>
        <v>1</v>
      </c>
      <c r="O108" s="1" t="str">
        <f t="shared" si="36"/>
        <v>Monday</v>
      </c>
      <c r="P108" s="1">
        <f t="shared" si="37"/>
        <v>3</v>
      </c>
      <c r="Q108" s="6" t="s">
        <v>355</v>
      </c>
      <c r="R108" s="1" t="str">
        <f t="shared" si="29"/>
        <v>DPS</v>
      </c>
      <c r="S108" s="1" t="s">
        <v>321</v>
      </c>
      <c r="T108" s="11" t="str">
        <f>INDEX('ADD1'!$B$32:$B$53,MATCH(Master!S108,'ADD1'!$C$32:$C$53,0))</f>
        <v>Garuda Indonesia</v>
      </c>
      <c r="U108" s="74">
        <f t="shared" si="31"/>
        <v>100</v>
      </c>
      <c r="V108" s="77">
        <f t="shared" si="38"/>
        <v>130.45310712541561</v>
      </c>
      <c r="W108" s="78">
        <f t="shared" si="39"/>
        <v>1950000</v>
      </c>
      <c r="Y108" s="78">
        <f t="shared" si="30"/>
        <v>2145000</v>
      </c>
    </row>
    <row r="109" spans="1:25" ht="25" customHeight="1" x14ac:dyDescent="0.35">
      <c r="A109">
        <v>106</v>
      </c>
      <c r="B109" s="1">
        <v>1305</v>
      </c>
      <c r="C109" s="1" t="s">
        <v>32</v>
      </c>
      <c r="D109" s="4" t="s">
        <v>146</v>
      </c>
      <c r="E109" s="1" t="s">
        <v>183</v>
      </c>
      <c r="F109" s="1" t="s">
        <v>162</v>
      </c>
      <c r="G109" s="1" t="s">
        <v>196</v>
      </c>
      <c r="H109" s="1" t="s">
        <v>198</v>
      </c>
      <c r="I109" s="1" t="str">
        <f t="shared" si="28"/>
        <v>Soekarno-Hatta Airport</v>
      </c>
      <c r="J109" s="4" t="str">
        <f>INDEX('ADD1'!$B$5:$B$27,MATCH(Master!R109,'ADD1'!$C$5:$C$27,0))</f>
        <v>Ngurah Rai, Denpasar Bali</v>
      </c>
      <c r="L109" s="1">
        <v>104</v>
      </c>
      <c r="M109" s="1" t="str">
        <f t="shared" si="34"/>
        <v>Wednesday</v>
      </c>
      <c r="N109" s="1">
        <f t="shared" si="35"/>
        <v>7</v>
      </c>
      <c r="O109" s="1" t="str">
        <f t="shared" si="36"/>
        <v>Wednesday</v>
      </c>
      <c r="P109" s="1">
        <f t="shared" si="37"/>
        <v>9</v>
      </c>
      <c r="Q109" s="6" t="s">
        <v>356</v>
      </c>
      <c r="R109" s="1" t="str">
        <f t="shared" si="29"/>
        <v>DPS</v>
      </c>
      <c r="S109" s="1" t="s">
        <v>322</v>
      </c>
      <c r="T109" s="11" t="str">
        <f>INDEX('ADD1'!$B$32:$B$53,MATCH(Master!S109,'ADD1'!$C$32:$C$53,0))</f>
        <v>Indonesia AirAsia</v>
      </c>
      <c r="U109" s="74">
        <f t="shared" si="31"/>
        <v>100</v>
      </c>
      <c r="V109" s="77">
        <f t="shared" si="38"/>
        <v>130.45310712541561</v>
      </c>
      <c r="W109" s="78">
        <f t="shared" si="39"/>
        <v>1950000</v>
      </c>
      <c r="Y109" s="78">
        <f t="shared" si="30"/>
        <v>2145000</v>
      </c>
    </row>
    <row r="110" spans="1:25" ht="25" customHeight="1" x14ac:dyDescent="0.35">
      <c r="A110" s="14">
        <v>107</v>
      </c>
      <c r="B110" s="1">
        <v>1306</v>
      </c>
      <c r="C110" s="1" t="s">
        <v>32</v>
      </c>
      <c r="D110" s="4" t="s">
        <v>147</v>
      </c>
      <c r="E110" s="1" t="s">
        <v>184</v>
      </c>
      <c r="F110" s="1" t="s">
        <v>163</v>
      </c>
      <c r="G110" s="1" t="s">
        <v>197</v>
      </c>
      <c r="H110" s="1" t="s">
        <v>198</v>
      </c>
      <c r="I110" s="1" t="str">
        <f t="shared" si="28"/>
        <v>Soekarno-Hatta Airport</v>
      </c>
      <c r="J110" s="4" t="str">
        <f>INDEX('ADD1'!$B$5:$B$27,MATCH(Master!R110,'ADD1'!$C$5:$C$27,0))</f>
        <v>Kualanamu, Medan</v>
      </c>
      <c r="L110" s="1">
        <v>102</v>
      </c>
      <c r="M110" s="1" t="str">
        <f t="shared" si="34"/>
        <v>Monday</v>
      </c>
      <c r="N110" s="1">
        <f t="shared" si="35"/>
        <v>1</v>
      </c>
      <c r="O110" s="1" t="str">
        <f t="shared" si="36"/>
        <v>Monday</v>
      </c>
      <c r="P110" s="1">
        <f t="shared" si="37"/>
        <v>3</v>
      </c>
      <c r="Q110" s="6" t="s">
        <v>357</v>
      </c>
      <c r="R110" s="1" t="str">
        <f t="shared" si="29"/>
        <v>KNO</v>
      </c>
      <c r="S110" s="1" t="s">
        <v>321</v>
      </c>
      <c r="T110" s="11" t="str">
        <f>INDEX('ADD1'!$B$32:$B$53,MATCH(Master!S110,'ADD1'!$C$32:$C$53,0))</f>
        <v>Garuda Indonesia</v>
      </c>
      <c r="U110" s="74">
        <f t="shared" si="31"/>
        <v>100</v>
      </c>
      <c r="V110" s="77">
        <f t="shared" si="38"/>
        <v>147.17786444918684</v>
      </c>
      <c r="W110" s="78">
        <f t="shared" si="39"/>
        <v>2200000</v>
      </c>
      <c r="Y110" s="78">
        <f t="shared" si="30"/>
        <v>2420000</v>
      </c>
    </row>
    <row r="111" spans="1:25" ht="25" customHeight="1" x14ac:dyDescent="0.35">
      <c r="A111">
        <v>108</v>
      </c>
      <c r="B111" s="1">
        <v>1307</v>
      </c>
      <c r="C111" s="1" t="s">
        <v>32</v>
      </c>
      <c r="D111" s="4" t="s">
        <v>148</v>
      </c>
      <c r="E111" s="1" t="s">
        <v>185</v>
      </c>
      <c r="F111" s="1" t="s">
        <v>163</v>
      </c>
      <c r="G111" s="1" t="s">
        <v>196</v>
      </c>
      <c r="H111" s="1" t="s">
        <v>198</v>
      </c>
      <c r="I111" s="1" t="str">
        <f t="shared" si="28"/>
        <v>Soekarno-Hatta Airport</v>
      </c>
      <c r="J111" s="4" t="str">
        <f>INDEX('ADD1'!$B$5:$B$27,MATCH(Master!R111,'ADD1'!$C$5:$C$27,0))</f>
        <v>Jenderal Ahmad Yani, Semarang</v>
      </c>
      <c r="L111" s="1">
        <v>105</v>
      </c>
      <c r="M111" s="1" t="str">
        <f t="shared" si="34"/>
        <v>Thursday</v>
      </c>
      <c r="N111" s="1">
        <f t="shared" si="35"/>
        <v>9</v>
      </c>
      <c r="O111" s="1" t="str">
        <f t="shared" si="36"/>
        <v>Thursday</v>
      </c>
      <c r="P111" s="1">
        <f t="shared" si="37"/>
        <v>11</v>
      </c>
      <c r="Q111" s="6" t="s">
        <v>358</v>
      </c>
      <c r="R111" s="1" t="str">
        <f t="shared" si="29"/>
        <v>SRG</v>
      </c>
      <c r="S111" s="1" t="s">
        <v>327</v>
      </c>
      <c r="T111" s="11" t="str">
        <f>INDEX('ADD1'!$B$32:$B$53,MATCH(Master!S111,'ADD1'!$C$32:$C$53,0))</f>
        <v>Pelita Air</v>
      </c>
      <c r="U111" s="74">
        <f t="shared" si="31"/>
        <v>100</v>
      </c>
      <c r="V111" s="77">
        <f t="shared" si="38"/>
        <v>127.10815566066137</v>
      </c>
      <c r="W111" s="78">
        <f t="shared" si="39"/>
        <v>1900000</v>
      </c>
      <c r="Y111" s="78">
        <f t="shared" si="30"/>
        <v>2090000</v>
      </c>
    </row>
    <row r="112" spans="1:25" ht="25" customHeight="1" x14ac:dyDescent="0.35">
      <c r="A112" s="14">
        <v>109</v>
      </c>
      <c r="B112" s="1">
        <v>1308</v>
      </c>
      <c r="C112" s="1" t="s">
        <v>37</v>
      </c>
      <c r="D112" s="4" t="s">
        <v>149</v>
      </c>
      <c r="E112" s="1" t="s">
        <v>172</v>
      </c>
      <c r="F112" s="1" t="s">
        <v>162</v>
      </c>
      <c r="G112" s="1" t="s">
        <v>196</v>
      </c>
      <c r="H112" s="1" t="s">
        <v>198</v>
      </c>
      <c r="I112" s="1" t="str">
        <f t="shared" si="28"/>
        <v>Soekarno-Hatta Airport</v>
      </c>
      <c r="J112" s="4" t="str">
        <f>INDEX('ADD1'!$B$5:$B$27,MATCH(Master!R112,'ADD1'!$C$5:$C$27,0))</f>
        <v>Hang Nadim, Kepulauan Riau</v>
      </c>
      <c r="L112" s="1">
        <v>103</v>
      </c>
      <c r="M112" s="1" t="str">
        <f t="shared" si="34"/>
        <v>Tuesday</v>
      </c>
      <c r="N112" s="1">
        <f t="shared" si="35"/>
        <v>3</v>
      </c>
      <c r="O112" s="1" t="str">
        <f t="shared" si="36"/>
        <v>Tuesday</v>
      </c>
      <c r="P112" s="1">
        <f t="shared" si="37"/>
        <v>5</v>
      </c>
      <c r="Q112" s="6" t="s">
        <v>359</v>
      </c>
      <c r="R112" s="1" t="str">
        <f t="shared" si="29"/>
        <v>BTH</v>
      </c>
      <c r="S112" s="1" t="s">
        <v>323</v>
      </c>
      <c r="T112" s="11" t="str">
        <f>INDEX('ADD1'!$B$32:$B$53,MATCH(Master!S112,'ADD1'!$C$32:$C$53,0))</f>
        <v>Transnusa</v>
      </c>
      <c r="U112" s="74">
        <f t="shared" si="31"/>
        <v>100</v>
      </c>
      <c r="V112" s="77">
        <f t="shared" si="38"/>
        <v>220.76679667378028</v>
      </c>
      <c r="W112" s="78">
        <f t="shared" si="39"/>
        <v>3300000</v>
      </c>
      <c r="Y112" s="78">
        <f t="shared" si="30"/>
        <v>3630000</v>
      </c>
    </row>
    <row r="113" spans="1:25" ht="25" customHeight="1" x14ac:dyDescent="0.35">
      <c r="A113">
        <v>110</v>
      </c>
      <c r="B113" s="1">
        <v>1309</v>
      </c>
      <c r="C113" s="1" t="s">
        <v>37</v>
      </c>
      <c r="D113" s="4" t="s">
        <v>150</v>
      </c>
      <c r="E113" s="2">
        <v>36348</v>
      </c>
      <c r="F113" s="1" t="s">
        <v>162</v>
      </c>
      <c r="G113" s="1" t="s">
        <v>196</v>
      </c>
      <c r="H113" s="1" t="s">
        <v>199</v>
      </c>
      <c r="I113" s="1" t="str">
        <f t="shared" si="28"/>
        <v>Singapore Changi Airport</v>
      </c>
      <c r="K113" s="4" t="str">
        <f>INDEX('ADD1'!$D$5:$D$27,MATCH(Master!R113,'ADD1'!$E$5:$E$27,0))</f>
        <v>Kuala Lumpur International Airport</v>
      </c>
      <c r="L113" s="1">
        <v>103</v>
      </c>
      <c r="M113" s="1" t="str">
        <f t="shared" si="34"/>
        <v>Tuesday</v>
      </c>
      <c r="N113" s="1">
        <f t="shared" si="35"/>
        <v>3</v>
      </c>
      <c r="O113" s="1" t="str">
        <f t="shared" si="36"/>
        <v>Tuesday</v>
      </c>
      <c r="P113" s="1">
        <f t="shared" si="37"/>
        <v>5</v>
      </c>
      <c r="Q113" s="5" t="s">
        <v>398</v>
      </c>
      <c r="R113" s="1" t="str">
        <f t="shared" si="29"/>
        <v>KUL</v>
      </c>
      <c r="S113" s="1" t="s">
        <v>328</v>
      </c>
      <c r="T113" s="11" t="str">
        <f>INDEX('ADD1'!$B$32:$B$53,MATCH(Master!S113,'ADD1'!$C$32:$C$53,0))</f>
        <v>Singapore Airlines</v>
      </c>
      <c r="U113" s="74">
        <f t="shared" si="31"/>
        <v>50</v>
      </c>
      <c r="V113" s="77">
        <f t="shared" si="38"/>
        <v>187.31728202623779</v>
      </c>
      <c r="W113" s="78">
        <f t="shared" si="39"/>
        <v>2800000</v>
      </c>
      <c r="X113" s="78">
        <f>W113*50%</f>
        <v>1400000</v>
      </c>
      <c r="Y113" s="78">
        <f t="shared" si="30"/>
        <v>3080000</v>
      </c>
    </row>
    <row r="114" spans="1:25" ht="25" customHeight="1" x14ac:dyDescent="0.35">
      <c r="A114" s="14">
        <v>111</v>
      </c>
      <c r="B114" s="1">
        <v>1310</v>
      </c>
      <c r="C114" s="1" t="s">
        <v>37</v>
      </c>
      <c r="D114" s="4" t="s">
        <v>151</v>
      </c>
      <c r="E114" s="1" t="s">
        <v>173</v>
      </c>
      <c r="F114" s="1" t="s">
        <v>162</v>
      </c>
      <c r="G114" s="1" t="s">
        <v>196</v>
      </c>
      <c r="H114" s="1" t="s">
        <v>198</v>
      </c>
      <c r="I114" s="1" t="str">
        <f t="shared" si="28"/>
        <v>Soekarno-Hatta Airport</v>
      </c>
      <c r="J114" s="4" t="str">
        <f>INDEX('ADD1'!$B$5:$B$27,MATCH(Master!R114,'ADD1'!$C$5:$C$27,0))</f>
        <v>Sultan Thaha, Jambi</v>
      </c>
      <c r="L114" s="1">
        <v>104</v>
      </c>
      <c r="M114" s="1" t="str">
        <f t="shared" si="34"/>
        <v>Wednesday</v>
      </c>
      <c r="N114" s="1">
        <f t="shared" si="35"/>
        <v>7</v>
      </c>
      <c r="O114" s="1" t="str">
        <f t="shared" si="36"/>
        <v>Wednesday</v>
      </c>
      <c r="P114" s="1">
        <f t="shared" si="37"/>
        <v>9</v>
      </c>
      <c r="Q114" s="6" t="s">
        <v>361</v>
      </c>
      <c r="R114" s="1" t="str">
        <f t="shared" si="29"/>
        <v>DJB</v>
      </c>
      <c r="S114" s="1" t="s">
        <v>326</v>
      </c>
      <c r="T114" s="11" t="str">
        <f>INDEX('ADD1'!$B$32:$B$53,MATCH(Master!S114,'ADD1'!$C$32:$C$53,0))</f>
        <v>Lion Air</v>
      </c>
      <c r="U114" s="74">
        <f t="shared" si="31"/>
        <v>100</v>
      </c>
      <c r="V114" s="77">
        <f t="shared" si="38"/>
        <v>157.54721398992501</v>
      </c>
      <c r="W114" s="78">
        <f t="shared" si="39"/>
        <v>2355000</v>
      </c>
      <c r="Y114" s="78">
        <f t="shared" si="30"/>
        <v>2590500</v>
      </c>
    </row>
    <row r="115" spans="1:25" ht="25" customHeight="1" x14ac:dyDescent="0.35">
      <c r="A115">
        <v>112</v>
      </c>
      <c r="B115" s="1">
        <v>1311</v>
      </c>
      <c r="C115" s="1" t="s">
        <v>37</v>
      </c>
      <c r="D115" s="4" t="s">
        <v>152</v>
      </c>
      <c r="E115" s="1" t="s">
        <v>174</v>
      </c>
      <c r="F115" s="1" t="s">
        <v>163</v>
      </c>
      <c r="G115" s="1" t="s">
        <v>196</v>
      </c>
      <c r="H115" s="1" t="s">
        <v>198</v>
      </c>
      <c r="I115" s="1" t="str">
        <f t="shared" si="28"/>
        <v>Soekarno-Hatta Airport</v>
      </c>
      <c r="J115" s="4" t="str">
        <f>INDEX('ADD1'!$B$5:$B$27,MATCH(Master!R115,'ADD1'!$C$5:$C$27,0))</f>
        <v>Minangkabau, Padang</v>
      </c>
      <c r="L115" s="1">
        <v>104</v>
      </c>
      <c r="M115" s="1" t="str">
        <f t="shared" si="34"/>
        <v>Wednesday</v>
      </c>
      <c r="N115" s="1">
        <f t="shared" si="35"/>
        <v>7</v>
      </c>
      <c r="O115" s="1" t="str">
        <f t="shared" si="36"/>
        <v>Wednesday</v>
      </c>
      <c r="P115" s="1">
        <f t="shared" si="37"/>
        <v>9</v>
      </c>
      <c r="Q115" s="6" t="s">
        <v>362</v>
      </c>
      <c r="R115" s="1" t="str">
        <f t="shared" si="29"/>
        <v>PDG</v>
      </c>
      <c r="S115" s="1" t="s">
        <v>321</v>
      </c>
      <c r="T115" s="11" t="str">
        <f>INDEX('ADD1'!$B$32:$B$53,MATCH(Master!S115,'ADD1'!$C$32:$C$53,0))</f>
        <v>Garuda Indonesia</v>
      </c>
      <c r="U115" s="74">
        <f t="shared" si="31"/>
        <v>100</v>
      </c>
      <c r="V115" s="77">
        <f t="shared" si="38"/>
        <v>147.17786444918684</v>
      </c>
      <c r="W115" s="78">
        <f t="shared" si="39"/>
        <v>2200000</v>
      </c>
      <c r="Y115" s="78">
        <f t="shared" si="30"/>
        <v>2420000</v>
      </c>
    </row>
    <row r="116" spans="1:25" ht="25" customHeight="1" x14ac:dyDescent="0.35">
      <c r="A116" s="14">
        <v>113</v>
      </c>
      <c r="B116" s="1">
        <v>1312</v>
      </c>
      <c r="C116" s="1" t="s">
        <v>38</v>
      </c>
      <c r="D116" s="4" t="s">
        <v>153</v>
      </c>
      <c r="E116" s="1" t="s">
        <v>186</v>
      </c>
      <c r="F116" s="1" t="s">
        <v>162</v>
      </c>
      <c r="G116" s="1" t="s">
        <v>197</v>
      </c>
      <c r="H116" s="1" t="s">
        <v>199</v>
      </c>
      <c r="I116" s="1" t="str">
        <f t="shared" si="28"/>
        <v>Singapore Changi Airport</v>
      </c>
      <c r="K116" s="4" t="str">
        <f>INDEX('ADD1'!$D$5:$D$27,MATCH(Master!R116,'ADD1'!$E$5:$E$27,0))</f>
        <v>Baiyun International Airport</v>
      </c>
      <c r="L116" s="1">
        <v>105</v>
      </c>
      <c r="M116" s="1" t="str">
        <f t="shared" si="34"/>
        <v>Thursday</v>
      </c>
      <c r="N116" s="1">
        <f t="shared" si="35"/>
        <v>9</v>
      </c>
      <c r="O116" s="1" t="str">
        <f t="shared" si="36"/>
        <v>Thursday</v>
      </c>
      <c r="P116" s="1">
        <f t="shared" si="37"/>
        <v>11</v>
      </c>
      <c r="Q116" s="6" t="s">
        <v>401</v>
      </c>
      <c r="R116" s="1" t="str">
        <f t="shared" si="29"/>
        <v>CAN</v>
      </c>
      <c r="S116" s="1" t="s">
        <v>335</v>
      </c>
      <c r="T116" s="11" t="str">
        <f>INDEX('ADD1'!$B$32:$B$53,MATCH(Master!S116,'ADD1'!$C$32:$C$53,0))</f>
        <v>Air France Airlines</v>
      </c>
      <c r="U116" s="74">
        <f t="shared" si="31"/>
        <v>50</v>
      </c>
      <c r="V116" s="77">
        <f t="shared" si="38"/>
        <v>658.95543855658661</v>
      </c>
      <c r="W116" s="78">
        <f t="shared" si="39"/>
        <v>9850000</v>
      </c>
      <c r="X116" s="78">
        <f>W116*50%</f>
        <v>4925000</v>
      </c>
      <c r="Y116" s="78">
        <f t="shared" si="30"/>
        <v>10835000</v>
      </c>
    </row>
    <row r="117" spans="1:25" ht="25" customHeight="1" x14ac:dyDescent="0.35">
      <c r="A117">
        <v>114</v>
      </c>
      <c r="B117" s="1">
        <v>1313</v>
      </c>
      <c r="C117" s="1" t="s">
        <v>38</v>
      </c>
      <c r="D117" s="4" t="s">
        <v>154</v>
      </c>
      <c r="E117" s="1" t="s">
        <v>187</v>
      </c>
      <c r="F117" s="1" t="s">
        <v>162</v>
      </c>
      <c r="G117" s="1" t="s">
        <v>196</v>
      </c>
      <c r="H117" s="1" t="s">
        <v>198</v>
      </c>
      <c r="I117" s="1" t="str">
        <f t="shared" si="28"/>
        <v>Soekarno-Hatta Airport</v>
      </c>
      <c r="J117" s="4" t="str">
        <f>INDEX('ADD1'!$B$5:$B$27,MATCH(Master!R117,'ADD1'!$C$5:$C$27,0))</f>
        <v>Ngurah Rai, Denpasar Bali</v>
      </c>
      <c r="L117" s="1">
        <v>106</v>
      </c>
      <c r="M117" s="1" t="str">
        <f t="shared" si="34"/>
        <v>Friday</v>
      </c>
      <c r="N117" s="1">
        <f t="shared" si="35"/>
        <v>12</v>
      </c>
      <c r="O117" s="1" t="str">
        <f t="shared" si="36"/>
        <v>Friday</v>
      </c>
      <c r="P117" s="1">
        <f t="shared" si="37"/>
        <v>14</v>
      </c>
      <c r="Q117" s="6" t="s">
        <v>364</v>
      </c>
      <c r="R117" s="1" t="str">
        <f t="shared" si="29"/>
        <v>DPS</v>
      </c>
      <c r="S117" s="1" t="s">
        <v>322</v>
      </c>
      <c r="T117" s="11" t="str">
        <f>INDEX('ADD1'!$B$32:$B$53,MATCH(Master!S117,'ADD1'!$C$32:$C$53,0))</f>
        <v>Indonesia AirAsia</v>
      </c>
      <c r="U117" s="74">
        <f t="shared" si="31"/>
        <v>100</v>
      </c>
      <c r="V117" s="77">
        <f t="shared" si="38"/>
        <v>130.45310712541561</v>
      </c>
      <c r="W117" s="78">
        <f t="shared" si="39"/>
        <v>1950000</v>
      </c>
      <c r="Y117" s="78">
        <f t="shared" si="30"/>
        <v>2145000</v>
      </c>
    </row>
    <row r="118" spans="1:25" ht="25" customHeight="1" x14ac:dyDescent="0.35">
      <c r="A118" s="14">
        <v>115</v>
      </c>
      <c r="B118" s="1">
        <v>1314</v>
      </c>
      <c r="C118" s="1" t="s">
        <v>38</v>
      </c>
      <c r="D118" s="4" t="s">
        <v>155</v>
      </c>
      <c r="E118" s="1" t="s">
        <v>188</v>
      </c>
      <c r="F118" s="1" t="s">
        <v>163</v>
      </c>
      <c r="G118" s="1" t="s">
        <v>196</v>
      </c>
      <c r="H118" s="1" t="s">
        <v>199</v>
      </c>
      <c r="I118" s="1" t="str">
        <f t="shared" si="28"/>
        <v>Singapore Changi Airport</v>
      </c>
      <c r="K118" s="4" t="str">
        <f>INDEX('ADD1'!$D$5:$D$27,MATCH(Master!R118,'ADD1'!$E$5:$E$27,0))</f>
        <v>Zurich International Airport</v>
      </c>
      <c r="L118" s="1">
        <v>102</v>
      </c>
      <c r="M118" s="1" t="str">
        <f t="shared" si="34"/>
        <v>Monday</v>
      </c>
      <c r="N118" s="1">
        <f t="shared" si="35"/>
        <v>1</v>
      </c>
      <c r="O118" s="1" t="str">
        <f t="shared" si="36"/>
        <v>Monday</v>
      </c>
      <c r="P118" s="1">
        <f t="shared" si="37"/>
        <v>3</v>
      </c>
      <c r="Q118" s="6" t="s">
        <v>402</v>
      </c>
      <c r="R118" s="1" t="str">
        <f t="shared" si="29"/>
        <v>ZRH</v>
      </c>
      <c r="S118" s="1" t="s">
        <v>332</v>
      </c>
      <c r="T118" s="11" t="str">
        <f>INDEX('ADD1'!$B$32:$B$53,MATCH(Master!S118,'ADD1'!$C$32:$C$53,0))</f>
        <v>Turkish Airlines</v>
      </c>
      <c r="U118" s="74">
        <f t="shared" si="31"/>
        <v>50</v>
      </c>
      <c r="V118" s="77">
        <f t="shared" si="38"/>
        <v>699.429351280113</v>
      </c>
      <c r="W118" s="78">
        <f t="shared" si="39"/>
        <v>10455000</v>
      </c>
      <c r="X118" s="78">
        <f>W118*50%</f>
        <v>5227500</v>
      </c>
      <c r="Y118" s="78">
        <f t="shared" si="30"/>
        <v>11500500</v>
      </c>
    </row>
    <row r="119" spans="1:25" ht="25" customHeight="1" x14ac:dyDescent="0.35">
      <c r="A119">
        <v>116</v>
      </c>
      <c r="B119" s="1">
        <v>1315</v>
      </c>
      <c r="C119" s="1" t="s">
        <v>38</v>
      </c>
      <c r="D119" s="4" t="s">
        <v>156</v>
      </c>
      <c r="E119" s="1" t="s">
        <v>176</v>
      </c>
      <c r="F119" s="1" t="s">
        <v>162</v>
      </c>
      <c r="G119" s="1" t="s">
        <v>196</v>
      </c>
      <c r="H119" s="1" t="s">
        <v>198</v>
      </c>
      <c r="I119" s="1" t="str">
        <f t="shared" si="28"/>
        <v>Soekarno-Hatta Airport</v>
      </c>
      <c r="J119" s="4" t="str">
        <f>INDEX('ADD1'!$B$5:$B$27,MATCH(Master!R119,'ADD1'!$C$5:$C$27,0))</f>
        <v>Kualanamu, Medan</v>
      </c>
      <c r="L119" s="1">
        <v>102</v>
      </c>
      <c r="M119" s="1" t="str">
        <f t="shared" si="34"/>
        <v>Monday</v>
      </c>
      <c r="N119" s="1">
        <f t="shared" si="35"/>
        <v>1</v>
      </c>
      <c r="O119" s="1" t="str">
        <f t="shared" si="36"/>
        <v>Monday</v>
      </c>
      <c r="P119" s="1">
        <f t="shared" si="37"/>
        <v>3</v>
      </c>
      <c r="Q119" s="6" t="s">
        <v>357</v>
      </c>
      <c r="R119" s="1" t="str">
        <f t="shared" si="29"/>
        <v>KNO</v>
      </c>
      <c r="S119" s="1" t="s">
        <v>321</v>
      </c>
      <c r="T119" s="11" t="str">
        <f>INDEX('ADD1'!$B$32:$B$53,MATCH(Master!S119,'ADD1'!$C$32:$C$53,0))</f>
        <v>Garuda Indonesia</v>
      </c>
      <c r="U119" s="74">
        <f t="shared" si="31"/>
        <v>100</v>
      </c>
      <c r="V119" s="77">
        <f t="shared" si="38"/>
        <v>147.17786444918684</v>
      </c>
      <c r="W119" s="78">
        <f t="shared" si="39"/>
        <v>2200000</v>
      </c>
      <c r="Y119" s="78">
        <f t="shared" si="30"/>
        <v>2420000</v>
      </c>
    </row>
    <row r="120" spans="1:25" ht="25" customHeight="1" x14ac:dyDescent="0.35">
      <c r="A120" s="14">
        <v>117</v>
      </c>
      <c r="B120" s="1">
        <v>1316</v>
      </c>
      <c r="C120" s="1" t="s">
        <v>38</v>
      </c>
      <c r="D120" s="4" t="s">
        <v>157</v>
      </c>
      <c r="E120" s="1" t="s">
        <v>189</v>
      </c>
      <c r="F120" s="1" t="s">
        <v>162</v>
      </c>
      <c r="G120" s="1" t="s">
        <v>196</v>
      </c>
      <c r="H120" s="1" t="s">
        <v>199</v>
      </c>
      <c r="I120" s="1" t="str">
        <f t="shared" si="28"/>
        <v>Singapore Changi Airport</v>
      </c>
      <c r="K120" s="4" t="str">
        <f>INDEX('ADD1'!$D$5:$D$27,MATCH(Master!R120,'ADD1'!$E$5:$E$27,0))</f>
        <v>Istanbul Turkey International Airport</v>
      </c>
      <c r="L120" s="1">
        <v>106</v>
      </c>
      <c r="M120" s="1" t="str">
        <f t="shared" si="34"/>
        <v>Friday</v>
      </c>
      <c r="N120" s="1">
        <f t="shared" si="35"/>
        <v>12</v>
      </c>
      <c r="O120" s="1" t="str">
        <f t="shared" si="36"/>
        <v>Friday</v>
      </c>
      <c r="P120" s="1">
        <f t="shared" si="37"/>
        <v>14</v>
      </c>
      <c r="Q120" s="6" t="s">
        <v>382</v>
      </c>
      <c r="R120" s="1" t="str">
        <f t="shared" si="29"/>
        <v>IST</v>
      </c>
      <c r="S120" s="1" t="s">
        <v>330</v>
      </c>
      <c r="T120" s="11" t="str">
        <f>INDEX('ADD1'!$B$32:$B$53,MATCH(Master!S120,'ADD1'!$C$32:$C$53,0))</f>
        <v>Qatar Airways</v>
      </c>
      <c r="U120" s="74">
        <f t="shared" si="31"/>
        <v>50</v>
      </c>
      <c r="V120" s="77">
        <f t="shared" si="38"/>
        <v>772.68378835823091</v>
      </c>
      <c r="W120" s="78">
        <f t="shared" si="39"/>
        <v>11550000</v>
      </c>
      <c r="X120" s="78">
        <f>W120*50%</f>
        <v>5775000</v>
      </c>
      <c r="Y120" s="78">
        <f t="shared" si="30"/>
        <v>12705000</v>
      </c>
    </row>
    <row r="121" spans="1:25" ht="25" customHeight="1" x14ac:dyDescent="0.35">
      <c r="A121">
        <v>118</v>
      </c>
      <c r="B121" s="1">
        <v>1317</v>
      </c>
      <c r="C121" s="1" t="s">
        <v>39</v>
      </c>
      <c r="D121" s="4" t="s">
        <v>158</v>
      </c>
      <c r="E121" s="1" t="s">
        <v>190</v>
      </c>
      <c r="F121" s="1" t="s">
        <v>163</v>
      </c>
      <c r="G121" s="1" t="s">
        <v>196</v>
      </c>
      <c r="H121" s="1" t="s">
        <v>199</v>
      </c>
      <c r="I121" s="1" t="str">
        <f t="shared" si="28"/>
        <v>Singapore Changi Airport</v>
      </c>
      <c r="K121" s="4" t="str">
        <f>INDEX('ADD1'!$D$5:$D$27,MATCH(Master!R121,'ADD1'!$E$5:$E$27,0))</f>
        <v>Kuala Lumpur International Airport</v>
      </c>
      <c r="L121" s="1">
        <v>105</v>
      </c>
      <c r="M121" s="1" t="str">
        <f>VLOOKUP(L121,Departure,2,0)</f>
        <v>Thursday</v>
      </c>
      <c r="N121" s="1">
        <f t="shared" si="35"/>
        <v>9</v>
      </c>
      <c r="O121" s="1" t="str">
        <f t="shared" si="36"/>
        <v>Thursday</v>
      </c>
      <c r="P121" s="1">
        <f t="shared" si="37"/>
        <v>11</v>
      </c>
      <c r="Q121" s="6" t="s">
        <v>383</v>
      </c>
      <c r="R121" s="1" t="str">
        <f t="shared" si="29"/>
        <v>KUL</v>
      </c>
      <c r="S121" s="1" t="s">
        <v>338</v>
      </c>
      <c r="T121" s="11" t="str">
        <f>INDEX('ADD1'!$B$32:$B$53,MATCH(Master!S121,'ADD1'!$C$32:$C$53,0))</f>
        <v>Malaysia Airlines</v>
      </c>
      <c r="U121" s="74">
        <f t="shared" si="31"/>
        <v>50</v>
      </c>
      <c r="V121" s="77">
        <f t="shared" si="38"/>
        <v>187.31728202623779</v>
      </c>
      <c r="W121" s="78">
        <f t="shared" si="39"/>
        <v>2800000</v>
      </c>
      <c r="X121" s="78">
        <f t="shared" ref="X121:X124" si="40">W121*50%</f>
        <v>1400000</v>
      </c>
      <c r="Y121" s="78">
        <f t="shared" si="30"/>
        <v>3080000</v>
      </c>
    </row>
    <row r="122" spans="1:25" ht="25" customHeight="1" x14ac:dyDescent="0.35">
      <c r="A122" s="14">
        <v>119</v>
      </c>
      <c r="B122" s="1">
        <v>1318</v>
      </c>
      <c r="C122" s="1" t="s">
        <v>39</v>
      </c>
      <c r="D122" s="4" t="s">
        <v>159</v>
      </c>
      <c r="E122" s="1" t="s">
        <v>191</v>
      </c>
      <c r="F122" s="1" t="s">
        <v>162</v>
      </c>
      <c r="G122" s="1" t="s">
        <v>196</v>
      </c>
      <c r="H122" s="1" t="s">
        <v>199</v>
      </c>
      <c r="I122" s="1" t="str">
        <f t="shared" si="28"/>
        <v>Singapore Changi Airport</v>
      </c>
      <c r="K122" s="4" t="str">
        <f>INDEX('ADD1'!$D$5:$D$27,MATCH(Master!R122,'ADD1'!$E$5:$E$27,0))</f>
        <v>Indira Gandhi International Airport</v>
      </c>
      <c r="L122" s="1">
        <v>101</v>
      </c>
      <c r="M122" s="1" t="str">
        <f t="shared" si="34"/>
        <v>Sunday</v>
      </c>
      <c r="N122" s="1">
        <f t="shared" si="35"/>
        <v>9</v>
      </c>
      <c r="O122" s="1" t="str">
        <f t="shared" si="36"/>
        <v>Sunday</v>
      </c>
      <c r="P122" s="1">
        <f t="shared" si="37"/>
        <v>11</v>
      </c>
      <c r="Q122" s="6" t="s">
        <v>384</v>
      </c>
      <c r="R122" s="1" t="str">
        <f t="shared" si="29"/>
        <v>DEL</v>
      </c>
      <c r="S122" s="1" t="s">
        <v>338</v>
      </c>
      <c r="T122" s="11" t="str">
        <f>INDEX('ADD1'!$B$32:$B$53,MATCH(Master!S122,'ADD1'!$C$32:$C$53,0))</f>
        <v>Malaysia Airlines</v>
      </c>
      <c r="U122" s="74">
        <f t="shared" si="31"/>
        <v>50</v>
      </c>
      <c r="V122" s="77">
        <f t="shared" si="38"/>
        <v>752.6140795697055</v>
      </c>
      <c r="W122" s="78">
        <f t="shared" si="39"/>
        <v>11250000</v>
      </c>
      <c r="X122" s="78">
        <f t="shared" si="40"/>
        <v>5625000</v>
      </c>
      <c r="Y122" s="78">
        <f t="shared" si="30"/>
        <v>12375000</v>
      </c>
    </row>
    <row r="123" spans="1:25" ht="25" customHeight="1" x14ac:dyDescent="0.35">
      <c r="A123">
        <v>120</v>
      </c>
      <c r="B123" s="1">
        <v>1319</v>
      </c>
      <c r="C123" s="1" t="s">
        <v>40</v>
      </c>
      <c r="D123" s="4" t="s">
        <v>160</v>
      </c>
      <c r="E123" s="2">
        <v>32724</v>
      </c>
      <c r="F123" s="1" t="s">
        <v>163</v>
      </c>
      <c r="G123" s="1" t="s">
        <v>196</v>
      </c>
      <c r="H123" s="1" t="s">
        <v>199</v>
      </c>
      <c r="I123" s="1" t="str">
        <f t="shared" si="28"/>
        <v>Singapore Changi Airport</v>
      </c>
      <c r="K123" s="4" t="str">
        <f>INDEX('ADD1'!$D$5:$D$27,MATCH(Master!R123,'ADD1'!$E$5:$E$27,0))</f>
        <v>Seattle International Airport</v>
      </c>
      <c r="L123" s="1">
        <v>104</v>
      </c>
      <c r="M123" s="1" t="str">
        <f t="shared" si="34"/>
        <v>Wednesday</v>
      </c>
      <c r="N123" s="1">
        <f t="shared" si="35"/>
        <v>7</v>
      </c>
      <c r="O123" s="1" t="str">
        <f t="shared" si="36"/>
        <v>Wednesday</v>
      </c>
      <c r="P123" s="1">
        <f t="shared" si="37"/>
        <v>9</v>
      </c>
      <c r="Q123" s="6" t="s">
        <v>385</v>
      </c>
      <c r="R123" s="1" t="str">
        <f t="shared" si="29"/>
        <v>SEA</v>
      </c>
      <c r="S123" s="1" t="s">
        <v>335</v>
      </c>
      <c r="T123" s="11" t="str">
        <f>INDEX('ADD1'!$B$32:$B$53,MATCH(Master!S123,'ADD1'!$C$32:$C$53,0))</f>
        <v>Air France Airlines</v>
      </c>
      <c r="U123" s="74">
        <f t="shared" si="31"/>
        <v>50</v>
      </c>
      <c r="V123" s="77">
        <f t="shared" si="38"/>
        <v>571.98670047297617</v>
      </c>
      <c r="W123" s="78">
        <f t="shared" si="39"/>
        <v>8550000</v>
      </c>
      <c r="X123" s="78">
        <f t="shared" si="40"/>
        <v>4275000</v>
      </c>
      <c r="Y123" s="78">
        <f t="shared" si="30"/>
        <v>9405000</v>
      </c>
    </row>
    <row r="124" spans="1:25" ht="25" customHeight="1" x14ac:dyDescent="0.35">
      <c r="A124" s="14">
        <v>121</v>
      </c>
      <c r="B124" s="1">
        <v>1320</v>
      </c>
      <c r="C124" s="1" t="s">
        <v>41</v>
      </c>
      <c r="D124" s="4" t="s">
        <v>161</v>
      </c>
      <c r="E124" s="1" t="s">
        <v>192</v>
      </c>
      <c r="F124" s="1" t="s">
        <v>163</v>
      </c>
      <c r="G124" s="1" t="s">
        <v>196</v>
      </c>
      <c r="H124" s="1" t="s">
        <v>199</v>
      </c>
      <c r="I124" s="1" t="str">
        <f t="shared" si="28"/>
        <v>Singapore Changi Airport</v>
      </c>
      <c r="K124" s="4" t="str">
        <f>INDEX('ADD1'!$D$5:$D$27,MATCH(Master!R124,'ADD1'!$E$5:$E$27,0))</f>
        <v>Capital International Airport</v>
      </c>
      <c r="L124" s="1">
        <v>105</v>
      </c>
      <c r="M124" s="1" t="str">
        <f t="shared" si="34"/>
        <v>Thursday</v>
      </c>
      <c r="N124" s="1">
        <f t="shared" si="35"/>
        <v>9</v>
      </c>
      <c r="O124" s="1" t="str">
        <f t="shared" si="36"/>
        <v>Thursday</v>
      </c>
      <c r="P124" s="1">
        <f t="shared" si="37"/>
        <v>11</v>
      </c>
      <c r="Q124" s="6" t="s">
        <v>386</v>
      </c>
      <c r="R124" s="1" t="str">
        <f t="shared" si="29"/>
        <v>PEK</v>
      </c>
      <c r="S124" s="1" t="s">
        <v>336</v>
      </c>
      <c r="T124" s="11" t="str">
        <f>INDEX('ADD1'!$B$32:$B$53,MATCH(Master!S124,'ADD1'!$C$32:$C$53,0))</f>
        <v>Cathay Pacific Airlines</v>
      </c>
      <c r="U124" s="74">
        <f t="shared" si="31"/>
        <v>50</v>
      </c>
      <c r="V124" s="77">
        <f t="shared" si="38"/>
        <v>702.43980759839178</v>
      </c>
      <c r="W124" s="78">
        <f t="shared" si="39"/>
        <v>10500000</v>
      </c>
      <c r="X124" s="78">
        <f t="shared" si="40"/>
        <v>5250000</v>
      </c>
      <c r="Y124" s="78">
        <f t="shared" si="30"/>
        <v>11550000</v>
      </c>
    </row>
    <row r="125" spans="1:25" ht="25" customHeight="1" x14ac:dyDescent="0.35">
      <c r="L125" s="1"/>
      <c r="M125" s="1">
        <f>COUNTIF(M5:M124,"Sunday")</f>
        <v>14</v>
      </c>
      <c r="Q125" s="6"/>
      <c r="T125" s="11"/>
      <c r="U125" s="74"/>
      <c r="V125" s="77"/>
      <c r="W125" s="78"/>
      <c r="X125" s="78"/>
      <c r="Y125" s="78"/>
    </row>
    <row r="126" spans="1:25" ht="25" customHeight="1" thickBot="1" x14ac:dyDescent="0.4">
      <c r="I126" s="4"/>
      <c r="J126" s="4" t="s">
        <v>976</v>
      </c>
    </row>
    <row r="127" spans="1:25" ht="25" customHeight="1" x14ac:dyDescent="0.35">
      <c r="J127" s="179" t="s">
        <v>342</v>
      </c>
      <c r="K127" s="134" t="s">
        <v>975</v>
      </c>
    </row>
    <row r="128" spans="1:25" ht="25" customHeight="1" x14ac:dyDescent="0.35">
      <c r="J128" s="183" t="s">
        <v>257</v>
      </c>
      <c r="K128" s="184" t="str">
        <f>INDEX('ADD1'!B5:B27,MATCH(Master!J128,'ADD1'!C5:C27,0))</f>
        <v xml:space="preserve">Adisutjipto, DIY </v>
      </c>
    </row>
    <row r="129" spans="10:11" ht="25" customHeight="1" x14ac:dyDescent="0.35">
      <c r="J129" s="183" t="s">
        <v>248</v>
      </c>
      <c r="K129" s="184" t="str">
        <f>INDEX('ADD1'!B5:B27,MATCH(Master!J129,'ADD1'!C5:C27,0))</f>
        <v>Kualanamu, Medan</v>
      </c>
    </row>
    <row r="130" spans="10:11" ht="25" customHeight="1" thickBot="1" x14ac:dyDescent="0.4">
      <c r="J130" s="185" t="s">
        <v>252</v>
      </c>
      <c r="K130" s="186" t="str">
        <f>INDEX('ADD1'!B5:B27,MATCH(Master!J130,'ADD1'!C5:C27,0))</f>
        <v>Ngurah Rai, Denpasar Bali</v>
      </c>
    </row>
    <row r="132" spans="10:11" ht="25" customHeight="1" thickBot="1" x14ac:dyDescent="0.4">
      <c r="J132" s="4" t="s">
        <v>977</v>
      </c>
    </row>
    <row r="133" spans="10:11" ht="25" customHeight="1" x14ac:dyDescent="0.35">
      <c r="J133" s="179" t="s">
        <v>573</v>
      </c>
      <c r="K133" s="134" t="s">
        <v>14</v>
      </c>
    </row>
    <row r="134" spans="10:11" ht="25" customHeight="1" thickBot="1" x14ac:dyDescent="0.4">
      <c r="J134" s="180" t="s">
        <v>324</v>
      </c>
      <c r="K134" s="181" t="str">
        <f>INDEX('ADD1'!B32:B53,MATCH(Master!J134,'ADD1'!C32:C53,0))</f>
        <v>Super Air Jet</v>
      </c>
    </row>
    <row r="135" spans="10:11" ht="25" customHeight="1" x14ac:dyDescent="0.35">
      <c r="J135" s="1"/>
      <c r="K135" s="11"/>
    </row>
    <row r="136" spans="10:11" ht="25" customHeight="1" x14ac:dyDescent="0.35">
      <c r="J136" s="1"/>
      <c r="K136" s="11"/>
    </row>
    <row r="137" spans="10:11" ht="25" customHeight="1" x14ac:dyDescent="0.35">
      <c r="J137" s="1"/>
      <c r="K137" s="11"/>
    </row>
    <row r="138" spans="10:11" ht="25" customHeight="1" x14ac:dyDescent="0.35">
      <c r="J138" s="1"/>
      <c r="K138" s="11"/>
    </row>
    <row r="139" spans="10:11" ht="25" customHeight="1" x14ac:dyDescent="0.35">
      <c r="J139" s="1"/>
      <c r="K139" s="11"/>
    </row>
    <row r="140" spans="10:11" ht="25" customHeight="1" x14ac:dyDescent="0.35">
      <c r="J140" s="1"/>
      <c r="K140" s="11"/>
    </row>
    <row r="141" spans="10:11" ht="25" customHeight="1" x14ac:dyDescent="0.35">
      <c r="J141" s="1"/>
      <c r="K141" s="11"/>
    </row>
    <row r="142" spans="10:11" ht="25" customHeight="1" x14ac:dyDescent="0.35">
      <c r="J142" s="1"/>
      <c r="K142" s="11"/>
    </row>
    <row r="143" spans="10:11" ht="25" customHeight="1" x14ac:dyDescent="0.35">
      <c r="J143" s="1"/>
      <c r="K143" s="11"/>
    </row>
    <row r="144" spans="10:11" ht="25" customHeight="1" x14ac:dyDescent="0.35">
      <c r="J144" s="1"/>
      <c r="K144" s="11"/>
    </row>
    <row r="145" spans="10:11" ht="25" customHeight="1" x14ac:dyDescent="0.35">
      <c r="J145" s="1"/>
      <c r="K145" s="11"/>
    </row>
    <row r="146" spans="10:11" ht="25" customHeight="1" x14ac:dyDescent="0.35">
      <c r="J146" s="1"/>
      <c r="K146" s="11"/>
    </row>
    <row r="147" spans="10:11" ht="25" customHeight="1" x14ac:dyDescent="0.35">
      <c r="J147" s="1"/>
      <c r="K147" s="11"/>
    </row>
    <row r="148" spans="10:11" ht="25" customHeight="1" x14ac:dyDescent="0.35">
      <c r="J148" s="1"/>
      <c r="K148" s="11"/>
    </row>
    <row r="149" spans="10:11" ht="25" customHeight="1" x14ac:dyDescent="0.35">
      <c r="J149" s="1"/>
      <c r="K149" s="11"/>
    </row>
    <row r="150" spans="10:11" ht="25" customHeight="1" x14ac:dyDescent="0.35">
      <c r="J150" s="1"/>
      <c r="K150" s="11"/>
    </row>
    <row r="151" spans="10:11" ht="25" customHeight="1" x14ac:dyDescent="0.35">
      <c r="J151" s="1"/>
      <c r="K151" s="11"/>
    </row>
    <row r="152" spans="10:11" ht="25" customHeight="1" x14ac:dyDescent="0.35">
      <c r="J152" s="1"/>
      <c r="K152" s="11"/>
    </row>
    <row r="153" spans="10:11" ht="25" customHeight="1" x14ac:dyDescent="0.35">
      <c r="J153" s="1"/>
      <c r="K153" s="11"/>
    </row>
    <row r="154" spans="10:11" ht="25" customHeight="1" x14ac:dyDescent="0.35">
      <c r="J154" s="1"/>
      <c r="K154" s="11"/>
    </row>
    <row r="155" spans="10:11" ht="25" customHeight="1" x14ac:dyDescent="0.35">
      <c r="J155" s="1"/>
      <c r="K155" s="11"/>
    </row>
    <row r="156" spans="10:11" ht="25" customHeight="1" x14ac:dyDescent="0.35">
      <c r="J156" s="1"/>
      <c r="K156" s="11"/>
    </row>
    <row r="157" spans="10:11" ht="25" customHeight="1" x14ac:dyDescent="0.35">
      <c r="J157" s="1"/>
      <c r="K157" s="11"/>
    </row>
    <row r="158" spans="10:11" ht="25" customHeight="1" x14ac:dyDescent="0.35">
      <c r="J158" s="1"/>
      <c r="K158" s="11"/>
    </row>
    <row r="159" spans="10:11" ht="25" customHeight="1" x14ac:dyDescent="0.35">
      <c r="J159" s="1"/>
      <c r="K159" s="11"/>
    </row>
    <row r="160" spans="10:11" ht="25" customHeight="1" x14ac:dyDescent="0.35">
      <c r="J160" s="1"/>
      <c r="K160" s="11"/>
    </row>
    <row r="161" spans="10:11" ht="25" customHeight="1" x14ac:dyDescent="0.35">
      <c r="J161" s="1"/>
      <c r="K161" s="11"/>
    </row>
    <row r="162" spans="10:11" ht="25" customHeight="1" x14ac:dyDescent="0.35">
      <c r="J162" s="1"/>
      <c r="K162" s="11"/>
    </row>
    <row r="163" spans="10:11" ht="25" customHeight="1" x14ac:dyDescent="0.35">
      <c r="J163" s="1"/>
      <c r="K163" s="11"/>
    </row>
    <row r="164" spans="10:11" ht="25" customHeight="1" x14ac:dyDescent="0.35">
      <c r="J164" s="1"/>
      <c r="K164" s="11"/>
    </row>
    <row r="165" spans="10:11" ht="25" customHeight="1" x14ac:dyDescent="0.35">
      <c r="J165" s="1"/>
      <c r="K165" s="11"/>
    </row>
    <row r="166" spans="10:11" ht="25" customHeight="1" x14ac:dyDescent="0.35">
      <c r="J166" s="1"/>
      <c r="K166" s="11"/>
    </row>
    <row r="167" spans="10:11" ht="25" customHeight="1" x14ac:dyDescent="0.35">
      <c r="J167" s="1"/>
      <c r="K167" s="11"/>
    </row>
    <row r="168" spans="10:11" ht="25" customHeight="1" x14ac:dyDescent="0.35">
      <c r="J168" s="1"/>
      <c r="K168" s="11"/>
    </row>
    <row r="169" spans="10:11" ht="25" customHeight="1" x14ac:dyDescent="0.35">
      <c r="J169" s="1"/>
      <c r="K169" s="11"/>
    </row>
    <row r="170" spans="10:11" ht="25" customHeight="1" x14ac:dyDescent="0.35">
      <c r="J170" s="1"/>
      <c r="K170" s="11"/>
    </row>
    <row r="171" spans="10:11" ht="25" customHeight="1" x14ac:dyDescent="0.35">
      <c r="J171" s="1"/>
      <c r="K171" s="11"/>
    </row>
    <row r="172" spans="10:11" ht="25" customHeight="1" x14ac:dyDescent="0.35">
      <c r="J172" s="1"/>
      <c r="K172" s="11"/>
    </row>
    <row r="173" spans="10:11" ht="25" customHeight="1" x14ac:dyDescent="0.35">
      <c r="J173" s="1"/>
      <c r="K173" s="11"/>
    </row>
    <row r="174" spans="10:11" ht="25" customHeight="1" x14ac:dyDescent="0.35">
      <c r="J174" s="1"/>
      <c r="K174" s="11"/>
    </row>
    <row r="175" spans="10:11" ht="25" customHeight="1" x14ac:dyDescent="0.35">
      <c r="J175" s="1"/>
      <c r="K175" s="11"/>
    </row>
    <row r="176" spans="10:11" ht="25" customHeight="1" x14ac:dyDescent="0.35">
      <c r="J176" s="1"/>
      <c r="K176" s="11"/>
    </row>
    <row r="177" spans="10:11" ht="25" customHeight="1" x14ac:dyDescent="0.35">
      <c r="J177" s="1"/>
      <c r="K177" s="11"/>
    </row>
    <row r="178" spans="10:11" ht="25" customHeight="1" x14ac:dyDescent="0.35">
      <c r="J178" s="1"/>
      <c r="K178" s="11"/>
    </row>
    <row r="179" spans="10:11" ht="25" customHeight="1" x14ac:dyDescent="0.35">
      <c r="J179" s="1"/>
      <c r="K179" s="11"/>
    </row>
    <row r="180" spans="10:11" ht="25" customHeight="1" x14ac:dyDescent="0.35">
      <c r="J180" s="1"/>
      <c r="K180" s="11"/>
    </row>
    <row r="181" spans="10:11" ht="25" customHeight="1" x14ac:dyDescent="0.35">
      <c r="J181" s="1"/>
      <c r="K181" s="11"/>
    </row>
    <row r="182" spans="10:11" ht="25" customHeight="1" x14ac:dyDescent="0.35">
      <c r="J182" s="1"/>
      <c r="K182" s="11"/>
    </row>
    <row r="183" spans="10:11" ht="25" customHeight="1" x14ac:dyDescent="0.35">
      <c r="J183" s="1"/>
      <c r="K183" s="11"/>
    </row>
    <row r="184" spans="10:11" ht="25" customHeight="1" x14ac:dyDescent="0.35">
      <c r="J184" s="1"/>
      <c r="K184" s="11"/>
    </row>
    <row r="185" spans="10:11" ht="25" customHeight="1" x14ac:dyDescent="0.35">
      <c r="J185" s="1"/>
      <c r="K185" s="11"/>
    </row>
    <row r="186" spans="10:11" ht="25" customHeight="1" x14ac:dyDescent="0.35">
      <c r="J186" s="1"/>
      <c r="K186" s="11"/>
    </row>
    <row r="187" spans="10:11" ht="25" customHeight="1" x14ac:dyDescent="0.35">
      <c r="J187" s="1"/>
      <c r="K187" s="11"/>
    </row>
    <row r="188" spans="10:11" ht="25" customHeight="1" x14ac:dyDescent="0.35">
      <c r="J188" s="1"/>
      <c r="K188" s="11"/>
    </row>
    <row r="189" spans="10:11" ht="25" customHeight="1" x14ac:dyDescent="0.35">
      <c r="J189" s="1"/>
      <c r="K189" s="11"/>
    </row>
    <row r="190" spans="10:11" ht="25" customHeight="1" x14ac:dyDescent="0.35">
      <c r="J190" s="1"/>
      <c r="K190" s="11"/>
    </row>
    <row r="191" spans="10:11" ht="25" customHeight="1" x14ac:dyDescent="0.35">
      <c r="J191" s="1"/>
      <c r="K191" s="11"/>
    </row>
    <row r="192" spans="10:11" ht="25" customHeight="1" x14ac:dyDescent="0.35">
      <c r="J192" s="1"/>
      <c r="K192" s="11"/>
    </row>
    <row r="193" spans="10:11" ht="25" customHeight="1" x14ac:dyDescent="0.35">
      <c r="J193" s="1"/>
      <c r="K193" s="11"/>
    </row>
    <row r="194" spans="10:11" ht="25" customHeight="1" x14ac:dyDescent="0.35">
      <c r="J194" s="1"/>
      <c r="K194" s="11"/>
    </row>
    <row r="195" spans="10:11" ht="25" customHeight="1" x14ac:dyDescent="0.35">
      <c r="J195" s="1"/>
      <c r="K195" s="11"/>
    </row>
    <row r="196" spans="10:11" ht="25" customHeight="1" x14ac:dyDescent="0.35">
      <c r="J196" s="1"/>
      <c r="K196" s="11"/>
    </row>
    <row r="197" spans="10:11" ht="25" customHeight="1" x14ac:dyDescent="0.35">
      <c r="J197" s="1"/>
      <c r="K197" s="11"/>
    </row>
    <row r="198" spans="10:11" ht="25" customHeight="1" x14ac:dyDescent="0.35">
      <c r="J198" s="1"/>
      <c r="K198" s="11"/>
    </row>
    <row r="199" spans="10:11" ht="25" customHeight="1" x14ac:dyDescent="0.35">
      <c r="J199" s="1"/>
      <c r="K199" s="11"/>
    </row>
    <row r="200" spans="10:11" ht="25" customHeight="1" x14ac:dyDescent="0.35">
      <c r="J200" s="1"/>
      <c r="K200" s="11"/>
    </row>
    <row r="201" spans="10:11" ht="25" customHeight="1" x14ac:dyDescent="0.35">
      <c r="J201" s="1"/>
      <c r="K201" s="11"/>
    </row>
    <row r="202" spans="10:11" ht="25" customHeight="1" x14ac:dyDescent="0.35">
      <c r="J202" s="1"/>
      <c r="K202" s="11"/>
    </row>
    <row r="203" spans="10:11" ht="25" customHeight="1" x14ac:dyDescent="0.35">
      <c r="J203" s="1"/>
      <c r="K203" s="11"/>
    </row>
    <row r="204" spans="10:11" ht="25" customHeight="1" x14ac:dyDescent="0.35">
      <c r="J204" s="1"/>
      <c r="K204" s="11"/>
    </row>
    <row r="205" spans="10:11" ht="25" customHeight="1" x14ac:dyDescent="0.35">
      <c r="J205" s="1"/>
      <c r="K205" s="11"/>
    </row>
    <row r="206" spans="10:11" ht="25" customHeight="1" x14ac:dyDescent="0.35">
      <c r="J206" s="1"/>
      <c r="K206" s="11"/>
    </row>
    <row r="207" spans="10:11" ht="25" customHeight="1" x14ac:dyDescent="0.35">
      <c r="J207" s="1"/>
      <c r="K207" s="11"/>
    </row>
    <row r="208" spans="10:11" ht="25" customHeight="1" x14ac:dyDescent="0.35">
      <c r="J208" s="1"/>
      <c r="K208" s="11"/>
    </row>
    <row r="209" spans="10:11" ht="25" customHeight="1" x14ac:dyDescent="0.35">
      <c r="J209" s="1"/>
      <c r="K209" s="11"/>
    </row>
    <row r="210" spans="10:11" ht="25" customHeight="1" x14ac:dyDescent="0.35">
      <c r="J210" s="1"/>
      <c r="K210" s="11"/>
    </row>
    <row r="211" spans="10:11" ht="25" customHeight="1" x14ac:dyDescent="0.35">
      <c r="J211" s="1"/>
      <c r="K211" s="11"/>
    </row>
    <row r="212" spans="10:11" ht="25" customHeight="1" x14ac:dyDescent="0.35">
      <c r="J212" s="1"/>
      <c r="K212" s="11"/>
    </row>
    <row r="213" spans="10:11" ht="25" customHeight="1" x14ac:dyDescent="0.35">
      <c r="J213" s="1"/>
      <c r="K213" s="11"/>
    </row>
    <row r="214" spans="10:11" ht="25" customHeight="1" x14ac:dyDescent="0.35">
      <c r="J214" s="1"/>
      <c r="K214" s="11"/>
    </row>
    <row r="215" spans="10:11" ht="25" customHeight="1" x14ac:dyDescent="0.35">
      <c r="J215" s="1"/>
      <c r="K215" s="11"/>
    </row>
    <row r="216" spans="10:11" ht="25" customHeight="1" x14ac:dyDescent="0.35">
      <c r="J216" s="1"/>
      <c r="K216" s="11"/>
    </row>
    <row r="217" spans="10:11" ht="25" customHeight="1" x14ac:dyDescent="0.35">
      <c r="J217" s="1"/>
      <c r="K217" s="11"/>
    </row>
    <row r="218" spans="10:11" ht="25" customHeight="1" x14ac:dyDescent="0.35">
      <c r="J218" s="1"/>
      <c r="K218" s="11"/>
    </row>
    <row r="219" spans="10:11" ht="25" customHeight="1" x14ac:dyDescent="0.35">
      <c r="J219" s="1"/>
      <c r="K219" s="11"/>
    </row>
    <row r="220" spans="10:11" ht="25" customHeight="1" x14ac:dyDescent="0.35">
      <c r="J220" s="1"/>
      <c r="K220" s="11"/>
    </row>
    <row r="221" spans="10:11" ht="25" customHeight="1" x14ac:dyDescent="0.35">
      <c r="J221" s="1"/>
      <c r="K221" s="11"/>
    </row>
    <row r="222" spans="10:11" ht="25" customHeight="1" x14ac:dyDescent="0.35">
      <c r="J222" s="1"/>
      <c r="K222" s="11"/>
    </row>
    <row r="223" spans="10:11" ht="25" customHeight="1" x14ac:dyDescent="0.35">
      <c r="J223" s="1"/>
      <c r="K223" s="11"/>
    </row>
    <row r="224" spans="10:11" ht="25" customHeight="1" x14ac:dyDescent="0.35">
      <c r="J224" s="1"/>
      <c r="K224" s="11"/>
    </row>
    <row r="225" spans="10:11" ht="25" customHeight="1" x14ac:dyDescent="0.35">
      <c r="J225" s="1"/>
      <c r="K225" s="11"/>
    </row>
    <row r="226" spans="10:11" ht="25" customHeight="1" x14ac:dyDescent="0.35">
      <c r="J226" s="1"/>
      <c r="K226" s="11"/>
    </row>
    <row r="227" spans="10:11" ht="25" customHeight="1" x14ac:dyDescent="0.35">
      <c r="J227" s="1"/>
      <c r="K227" s="11"/>
    </row>
    <row r="228" spans="10:11" ht="25" customHeight="1" x14ac:dyDescent="0.35">
      <c r="J228" s="1"/>
      <c r="K228" s="11"/>
    </row>
    <row r="229" spans="10:11" ht="25" customHeight="1" x14ac:dyDescent="0.35">
      <c r="J229" s="1"/>
      <c r="K229" s="11"/>
    </row>
    <row r="230" spans="10:11" ht="25" customHeight="1" x14ac:dyDescent="0.35">
      <c r="J230" s="1"/>
      <c r="K230" s="11"/>
    </row>
    <row r="231" spans="10:11" ht="25" customHeight="1" x14ac:dyDescent="0.35">
      <c r="J231" s="1"/>
      <c r="K231" s="11"/>
    </row>
    <row r="232" spans="10:11" ht="25" customHeight="1" x14ac:dyDescent="0.35">
      <c r="J232" s="1"/>
      <c r="K232" s="11"/>
    </row>
    <row r="233" spans="10:11" ht="25" customHeight="1" x14ac:dyDescent="0.35">
      <c r="J233" s="1"/>
      <c r="K233" s="11"/>
    </row>
    <row r="234" spans="10:11" ht="25" customHeight="1" x14ac:dyDescent="0.35">
      <c r="J234" s="1"/>
      <c r="K234" s="11"/>
    </row>
    <row r="235" spans="10:11" ht="25" customHeight="1" x14ac:dyDescent="0.35">
      <c r="J235" s="1"/>
      <c r="K235" s="11"/>
    </row>
    <row r="236" spans="10:11" ht="25" customHeight="1" x14ac:dyDescent="0.35">
      <c r="J236" s="1"/>
      <c r="K236" s="11"/>
    </row>
    <row r="237" spans="10:11" ht="25" customHeight="1" x14ac:dyDescent="0.35">
      <c r="J237" s="1"/>
      <c r="K237" s="11"/>
    </row>
    <row r="238" spans="10:11" ht="25" customHeight="1" x14ac:dyDescent="0.35">
      <c r="J238" s="1"/>
      <c r="K238" s="11"/>
    </row>
    <row r="239" spans="10:11" ht="25" customHeight="1" x14ac:dyDescent="0.35">
      <c r="J239" s="1"/>
      <c r="K239" s="11"/>
    </row>
    <row r="240" spans="10:11" ht="25" customHeight="1" x14ac:dyDescent="0.35">
      <c r="J240" s="1"/>
      <c r="K240" s="11"/>
    </row>
    <row r="241" spans="10:11" ht="25" customHeight="1" x14ac:dyDescent="0.35">
      <c r="J241" s="1"/>
      <c r="K241" s="11"/>
    </row>
    <row r="242" spans="10:11" ht="25" customHeight="1" x14ac:dyDescent="0.35">
      <c r="J242" s="1"/>
      <c r="K242" s="11"/>
    </row>
    <row r="243" spans="10:11" ht="25" customHeight="1" x14ac:dyDescent="0.35">
      <c r="J243" s="1"/>
      <c r="K243" s="11"/>
    </row>
    <row r="244" spans="10:11" ht="25" customHeight="1" x14ac:dyDescent="0.35">
      <c r="J244" s="1"/>
      <c r="K244" s="11"/>
    </row>
    <row r="245" spans="10:11" ht="25" customHeight="1" x14ac:dyDescent="0.35">
      <c r="J245" s="1"/>
      <c r="K245" s="11"/>
    </row>
    <row r="246" spans="10:11" ht="25" customHeight="1" x14ac:dyDescent="0.35">
      <c r="J246" s="1"/>
      <c r="K246" s="11"/>
    </row>
    <row r="247" spans="10:11" ht="25" customHeight="1" x14ac:dyDescent="0.35">
      <c r="J247" s="1"/>
      <c r="K247" s="11"/>
    </row>
    <row r="248" spans="10:11" ht="25" customHeight="1" x14ac:dyDescent="0.35">
      <c r="J248" s="1"/>
      <c r="K248" s="11"/>
    </row>
    <row r="249" spans="10:11" ht="25" customHeight="1" x14ac:dyDescent="0.35">
      <c r="J249" s="1"/>
      <c r="K249" s="11"/>
    </row>
    <row r="250" spans="10:11" ht="25" customHeight="1" x14ac:dyDescent="0.35">
      <c r="J250" s="1"/>
      <c r="K250" s="11"/>
    </row>
    <row r="251" spans="10:11" ht="25" customHeight="1" x14ac:dyDescent="0.35">
      <c r="J251" s="1"/>
      <c r="K251" s="11"/>
    </row>
    <row r="252" spans="10:11" ht="25" customHeight="1" x14ac:dyDescent="0.35">
      <c r="J252" s="1"/>
      <c r="K252" s="11"/>
    </row>
    <row r="253" spans="10:11" ht="25" customHeight="1" x14ac:dyDescent="0.35">
      <c r="J253" s="1"/>
      <c r="K253" s="11"/>
    </row>
  </sheetData>
  <autoFilter ref="H3:H124" xr:uid="{1B31D0BC-B50F-1543-AA57-7820A1FAD747}"/>
  <mergeCells count="1">
    <mergeCell ref="B3:Y3"/>
  </mergeCells>
  <conditionalFormatting sqref="G1:G2 G4:G1048576">
    <cfRule type="containsText" dxfId="23" priority="7" operator="containsText" text="Cancelled">
      <formula>NOT(ISERROR(SEARCH("Cancelled",G1)))</formula>
    </cfRule>
    <cfRule type="containsText" dxfId="22" priority="8" operator="containsText" text="Confirmed">
      <formula>NOT(ISERROR(SEARCH("Confirmed",G1)))</formula>
    </cfRule>
  </conditionalFormatting>
  <conditionalFormatting sqref="J4:L4 J5:K124">
    <cfRule type="containsBlanks" dxfId="21" priority="6">
      <formula>LEN(TRIM(J4))=0</formula>
    </cfRule>
  </conditionalFormatting>
  <conditionalFormatting sqref="K127">
    <cfRule type="containsBlanks" dxfId="20" priority="1">
      <formula>LEN(TRIM(K127))=0</formula>
    </cfRule>
  </conditionalFormatting>
  <conditionalFormatting sqref="X5:X125">
    <cfRule type="containsBlanks" dxfId="19" priority="2">
      <formula>LEN(TRIM(X5))=0</formula>
    </cfRule>
    <cfRule type="containsBlanks" dxfId="18" priority="3">
      <formula>LEN(TRIM(X5))=0</formula>
    </cfRule>
    <cfRule type="containsBlanks" dxfId="17" priority="4">
      <formula>LEN(TRIM(X5))=0</formula>
    </cfRule>
    <cfRule type="containsBlanks" dxfId="16" priority="5">
      <formula>LEN(TRIM(X5))=0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9162-C964-A648-8CBE-012E9875EAF0}">
  <sheetPr codeName="Sheet2">
    <tabColor theme="8" tint="0.39997558519241921"/>
  </sheetPr>
  <dimension ref="B3:P67"/>
  <sheetViews>
    <sheetView topLeftCell="A46" zoomScale="128" workbookViewId="0">
      <selection activeCell="D41" sqref="D41"/>
    </sheetView>
  </sheetViews>
  <sheetFormatPr defaultColWidth="10.6640625" defaultRowHeight="15.5" x14ac:dyDescent="0.35"/>
  <cols>
    <col min="2" max="2" width="39.5" bestFit="1" customWidth="1"/>
    <col min="3" max="3" width="10.83203125" style="6" customWidth="1"/>
    <col min="4" max="4" width="38.1640625" bestFit="1" customWidth="1"/>
    <col min="5" max="5" width="10.83203125" style="6"/>
    <col min="9" max="9" width="14.5" bestFit="1" customWidth="1"/>
    <col min="10" max="10" width="15.5" bestFit="1" customWidth="1"/>
  </cols>
  <sheetData>
    <row r="3" spans="2:16" x14ac:dyDescent="0.35">
      <c r="B3" s="257" t="s">
        <v>8</v>
      </c>
      <c r="C3" s="258"/>
      <c r="D3" s="258"/>
      <c r="E3" s="259"/>
      <c r="I3" s="254" t="s">
        <v>503</v>
      </c>
      <c r="J3" s="254"/>
      <c r="K3" s="254"/>
    </row>
    <row r="4" spans="2:16" x14ac:dyDescent="0.35">
      <c r="B4" s="254" t="s">
        <v>198</v>
      </c>
      <c r="C4" s="254"/>
      <c r="D4" s="254" t="s">
        <v>199</v>
      </c>
      <c r="E4" s="254"/>
      <c r="I4" s="10" t="s">
        <v>13</v>
      </c>
      <c r="J4" s="10" t="s">
        <v>504</v>
      </c>
      <c r="K4" s="10" t="s">
        <v>505</v>
      </c>
    </row>
    <row r="5" spans="2:16" x14ac:dyDescent="0.35">
      <c r="B5" s="8" t="s">
        <v>274</v>
      </c>
      <c r="C5" s="7" t="s">
        <v>247</v>
      </c>
      <c r="D5" s="8" t="s">
        <v>200</v>
      </c>
      <c r="E5" s="7" t="s">
        <v>211</v>
      </c>
      <c r="I5" s="7">
        <v>101</v>
      </c>
      <c r="J5" s="56" t="s">
        <v>506</v>
      </c>
      <c r="K5" s="57">
        <v>9</v>
      </c>
    </row>
    <row r="6" spans="2:16" x14ac:dyDescent="0.35">
      <c r="B6" s="51" t="s">
        <v>253</v>
      </c>
      <c r="C6" s="182" t="s">
        <v>248</v>
      </c>
      <c r="D6" s="8" t="s">
        <v>201</v>
      </c>
      <c r="E6" s="7" t="s">
        <v>212</v>
      </c>
      <c r="I6" s="7">
        <v>102</v>
      </c>
      <c r="J6" s="56" t="s">
        <v>507</v>
      </c>
      <c r="K6" s="58">
        <v>1</v>
      </c>
    </row>
    <row r="7" spans="2:16" x14ac:dyDescent="0.35">
      <c r="B7" s="51" t="s">
        <v>251</v>
      </c>
      <c r="C7" s="182" t="s">
        <v>252</v>
      </c>
      <c r="D7" s="8" t="s">
        <v>213</v>
      </c>
      <c r="E7" s="7" t="s">
        <v>214</v>
      </c>
      <c r="I7" s="7">
        <v>103</v>
      </c>
      <c r="J7" s="56" t="s">
        <v>508</v>
      </c>
      <c r="K7" s="58">
        <v>3</v>
      </c>
    </row>
    <row r="8" spans="2:16" x14ac:dyDescent="0.35">
      <c r="B8" s="8" t="s">
        <v>254</v>
      </c>
      <c r="C8" s="7" t="s">
        <v>255</v>
      </c>
      <c r="D8" s="8" t="s">
        <v>205</v>
      </c>
      <c r="E8" s="7" t="s">
        <v>215</v>
      </c>
      <c r="I8" s="7">
        <v>104</v>
      </c>
      <c r="J8" s="56" t="s">
        <v>509</v>
      </c>
      <c r="K8" s="58">
        <v>7</v>
      </c>
    </row>
    <row r="9" spans="2:16" x14ac:dyDescent="0.35">
      <c r="B9" s="51" t="s">
        <v>256</v>
      </c>
      <c r="C9" s="182" t="s">
        <v>257</v>
      </c>
      <c r="D9" s="8" t="s">
        <v>206</v>
      </c>
      <c r="E9" s="7" t="s">
        <v>216</v>
      </c>
      <c r="I9" s="7">
        <v>105</v>
      </c>
      <c r="J9" s="56" t="s">
        <v>510</v>
      </c>
      <c r="K9" s="58">
        <v>9</v>
      </c>
    </row>
    <row r="10" spans="2:16" x14ac:dyDescent="0.35">
      <c r="B10" s="8" t="s">
        <v>258</v>
      </c>
      <c r="C10" s="7" t="s">
        <v>259</v>
      </c>
      <c r="D10" s="8" t="s">
        <v>207</v>
      </c>
      <c r="E10" s="7" t="s">
        <v>217</v>
      </c>
      <c r="I10" s="7">
        <v>106</v>
      </c>
      <c r="J10" s="56" t="s">
        <v>511</v>
      </c>
      <c r="K10" s="58">
        <v>12</v>
      </c>
    </row>
    <row r="11" spans="2:16" x14ac:dyDescent="0.35">
      <c r="B11" s="8" t="s">
        <v>260</v>
      </c>
      <c r="C11" s="7" t="s">
        <v>261</v>
      </c>
      <c r="D11" s="8" t="s">
        <v>208</v>
      </c>
      <c r="E11" s="7" t="s">
        <v>218</v>
      </c>
      <c r="I11" s="7">
        <v>107</v>
      </c>
      <c r="J11" s="56" t="s">
        <v>512</v>
      </c>
      <c r="K11" s="57">
        <v>3</v>
      </c>
    </row>
    <row r="12" spans="2:16" x14ac:dyDescent="0.35">
      <c r="B12" s="8" t="s">
        <v>263</v>
      </c>
      <c r="C12" s="7" t="s">
        <v>262</v>
      </c>
      <c r="D12" s="8" t="s">
        <v>209</v>
      </c>
      <c r="E12" s="7" t="s">
        <v>210</v>
      </c>
    </row>
    <row r="13" spans="2:16" x14ac:dyDescent="0.35">
      <c r="B13" s="8" t="s">
        <v>264</v>
      </c>
      <c r="C13" s="7" t="s">
        <v>265</v>
      </c>
      <c r="D13" s="8" t="s">
        <v>219</v>
      </c>
      <c r="E13" s="7" t="s">
        <v>220</v>
      </c>
    </row>
    <row r="14" spans="2:16" x14ac:dyDescent="0.35">
      <c r="B14" s="8" t="s">
        <v>266</v>
      </c>
      <c r="C14" s="7" t="s">
        <v>267</v>
      </c>
      <c r="D14" s="8" t="s">
        <v>221</v>
      </c>
      <c r="E14" s="7" t="s">
        <v>222</v>
      </c>
      <c r="I14" s="254" t="s">
        <v>12</v>
      </c>
      <c r="J14" s="254"/>
      <c r="K14" s="254"/>
      <c r="L14" s="254"/>
      <c r="M14" s="254"/>
      <c r="N14" s="254"/>
      <c r="O14" s="254"/>
      <c r="P14" s="254"/>
    </row>
    <row r="15" spans="2:16" x14ac:dyDescent="0.35">
      <c r="B15" s="8" t="s">
        <v>268</v>
      </c>
      <c r="C15" s="7" t="s">
        <v>269</v>
      </c>
      <c r="D15" s="8" t="s">
        <v>223</v>
      </c>
      <c r="E15" s="7" t="s">
        <v>224</v>
      </c>
      <c r="I15" s="63" t="s">
        <v>13</v>
      </c>
      <c r="J15" s="7">
        <v>101</v>
      </c>
      <c r="K15" s="7">
        <v>102</v>
      </c>
      <c r="L15" s="7">
        <v>103</v>
      </c>
      <c r="M15" s="7">
        <v>104</v>
      </c>
      <c r="N15" s="7">
        <v>105</v>
      </c>
      <c r="O15" s="7">
        <v>106</v>
      </c>
      <c r="P15" s="7">
        <v>107</v>
      </c>
    </row>
    <row r="16" spans="2:16" x14ac:dyDescent="0.35">
      <c r="B16" s="8" t="s">
        <v>270</v>
      </c>
      <c r="C16" s="7" t="s">
        <v>271</v>
      </c>
      <c r="D16" s="8" t="s">
        <v>225</v>
      </c>
      <c r="E16" s="7" t="s">
        <v>226</v>
      </c>
      <c r="I16" s="63" t="s">
        <v>504</v>
      </c>
      <c r="J16" s="7" t="s">
        <v>506</v>
      </c>
      <c r="K16" s="7" t="s">
        <v>507</v>
      </c>
      <c r="L16" s="7" t="s">
        <v>508</v>
      </c>
      <c r="M16" s="7" t="s">
        <v>509</v>
      </c>
      <c r="N16" s="7" t="s">
        <v>510</v>
      </c>
      <c r="O16" s="7" t="s">
        <v>511</v>
      </c>
      <c r="P16" s="7" t="s">
        <v>512</v>
      </c>
    </row>
    <row r="17" spans="2:16" x14ac:dyDescent="0.35">
      <c r="B17" s="8" t="s">
        <v>272</v>
      </c>
      <c r="C17" s="7" t="s">
        <v>273</v>
      </c>
      <c r="D17" s="8" t="s">
        <v>227</v>
      </c>
      <c r="E17" s="7" t="s">
        <v>228</v>
      </c>
      <c r="I17" s="63" t="s">
        <v>505</v>
      </c>
      <c r="J17" s="61">
        <f>K5+2</f>
        <v>11</v>
      </c>
      <c r="K17" s="62">
        <f>K6+2</f>
        <v>3</v>
      </c>
      <c r="L17" s="62">
        <f>K7+2</f>
        <v>5</v>
      </c>
      <c r="M17" s="62">
        <f>K8+2</f>
        <v>9</v>
      </c>
      <c r="N17" s="62">
        <f>K9+2</f>
        <v>11</v>
      </c>
      <c r="O17" s="62">
        <f>K10+2</f>
        <v>14</v>
      </c>
      <c r="P17" s="61">
        <f>K11+2</f>
        <v>5</v>
      </c>
    </row>
    <row r="18" spans="2:16" x14ac:dyDescent="0.35">
      <c r="B18" s="8" t="s">
        <v>275</v>
      </c>
      <c r="C18" s="7" t="s">
        <v>276</v>
      </c>
      <c r="D18" s="8" t="s">
        <v>229</v>
      </c>
      <c r="E18" s="7" t="s">
        <v>230</v>
      </c>
    </row>
    <row r="19" spans="2:16" x14ac:dyDescent="0.35">
      <c r="B19" s="8" t="s">
        <v>277</v>
      </c>
      <c r="C19" s="7" t="s">
        <v>278</v>
      </c>
      <c r="D19" s="8" t="s">
        <v>231</v>
      </c>
      <c r="E19" s="7" t="s">
        <v>232</v>
      </c>
    </row>
    <row r="20" spans="2:16" x14ac:dyDescent="0.35">
      <c r="B20" s="8" t="s">
        <v>279</v>
      </c>
      <c r="C20" s="7" t="s">
        <v>280</v>
      </c>
      <c r="D20" s="8" t="s">
        <v>233</v>
      </c>
      <c r="E20" s="7" t="s">
        <v>234</v>
      </c>
      <c r="I20" s="254" t="s">
        <v>16</v>
      </c>
      <c r="J20" s="254"/>
      <c r="K20" s="254"/>
    </row>
    <row r="21" spans="2:16" ht="31" x14ac:dyDescent="0.35">
      <c r="B21" s="9" t="s">
        <v>281</v>
      </c>
      <c r="C21" s="7" t="s">
        <v>282</v>
      </c>
      <c r="D21" s="9" t="s">
        <v>235</v>
      </c>
      <c r="E21" s="7" t="s">
        <v>236</v>
      </c>
      <c r="I21" s="10" t="s">
        <v>342</v>
      </c>
      <c r="J21" s="64" t="s">
        <v>575</v>
      </c>
      <c r="K21" s="75" t="s">
        <v>576</v>
      </c>
    </row>
    <row r="22" spans="2:16" x14ac:dyDescent="0.35">
      <c r="B22" s="8" t="s">
        <v>283</v>
      </c>
      <c r="C22" s="7" t="s">
        <v>284</v>
      </c>
      <c r="D22" s="8" t="s">
        <v>237</v>
      </c>
      <c r="E22" s="7" t="s">
        <v>238</v>
      </c>
      <c r="I22" s="7" t="s">
        <v>247</v>
      </c>
      <c r="J22" s="76">
        <v>1950000</v>
      </c>
      <c r="K22" s="50">
        <f>J22/14947.9</f>
        <v>130.45310712541561</v>
      </c>
    </row>
    <row r="23" spans="2:16" x14ac:dyDescent="0.35">
      <c r="B23" s="8" t="s">
        <v>285</v>
      </c>
      <c r="C23" s="7" t="s">
        <v>286</v>
      </c>
      <c r="D23" s="8" t="s">
        <v>239</v>
      </c>
      <c r="E23" s="7" t="s">
        <v>240</v>
      </c>
      <c r="I23" s="7" t="s">
        <v>248</v>
      </c>
      <c r="J23" s="76">
        <v>2200000</v>
      </c>
      <c r="K23" s="50">
        <f t="shared" ref="K23:K67" si="0">J23/14947.9</f>
        <v>147.17786444918684</v>
      </c>
    </row>
    <row r="24" spans="2:16" x14ac:dyDescent="0.35">
      <c r="B24" s="8" t="s">
        <v>287</v>
      </c>
      <c r="C24" s="7" t="s">
        <v>288</v>
      </c>
      <c r="D24" s="8" t="s">
        <v>241</v>
      </c>
      <c r="E24" s="7" t="s">
        <v>242</v>
      </c>
      <c r="I24" s="7" t="s">
        <v>252</v>
      </c>
      <c r="J24" s="76">
        <v>1950000</v>
      </c>
      <c r="K24" s="50">
        <f t="shared" si="0"/>
        <v>130.45310712541561</v>
      </c>
    </row>
    <row r="25" spans="2:16" x14ac:dyDescent="0.35">
      <c r="B25" s="8" t="s">
        <v>289</v>
      </c>
      <c r="C25" s="7" t="s">
        <v>290</v>
      </c>
      <c r="D25" s="8" t="s">
        <v>243</v>
      </c>
      <c r="E25" s="7" t="s">
        <v>244</v>
      </c>
      <c r="I25" s="7" t="s">
        <v>255</v>
      </c>
      <c r="J25" s="76">
        <v>1950000</v>
      </c>
      <c r="K25" s="50">
        <f t="shared" si="0"/>
        <v>130.45310712541561</v>
      </c>
    </row>
    <row r="26" spans="2:16" x14ac:dyDescent="0.35">
      <c r="B26" s="8" t="s">
        <v>291</v>
      </c>
      <c r="C26" s="7" t="s">
        <v>292</v>
      </c>
      <c r="D26" s="8" t="s">
        <v>245</v>
      </c>
      <c r="E26" s="7" t="s">
        <v>246</v>
      </c>
      <c r="I26" s="7" t="s">
        <v>257</v>
      </c>
      <c r="J26" s="76">
        <v>2000000</v>
      </c>
      <c r="K26" s="50">
        <f t="shared" si="0"/>
        <v>133.79805859016986</v>
      </c>
    </row>
    <row r="27" spans="2:16" x14ac:dyDescent="0.35">
      <c r="B27" s="8" t="s">
        <v>293</v>
      </c>
      <c r="C27" s="7" t="s">
        <v>294</v>
      </c>
      <c r="D27" s="8" t="s">
        <v>249</v>
      </c>
      <c r="E27" s="7" t="s">
        <v>250</v>
      </c>
      <c r="I27" s="7" t="s">
        <v>259</v>
      </c>
      <c r="J27" s="76">
        <v>2350000</v>
      </c>
      <c r="K27" s="50">
        <f t="shared" si="0"/>
        <v>157.21271884344958</v>
      </c>
    </row>
    <row r="28" spans="2:16" x14ac:dyDescent="0.35">
      <c r="I28" s="7" t="s">
        <v>261</v>
      </c>
      <c r="J28" s="76">
        <v>3300000</v>
      </c>
      <c r="K28" s="50">
        <f t="shared" si="0"/>
        <v>220.76679667378028</v>
      </c>
    </row>
    <row r="29" spans="2:16" x14ac:dyDescent="0.35">
      <c r="I29" s="7" t="s">
        <v>262</v>
      </c>
      <c r="J29" s="76">
        <v>2200000</v>
      </c>
      <c r="K29" s="50">
        <f t="shared" si="0"/>
        <v>147.17786444918684</v>
      </c>
    </row>
    <row r="30" spans="2:16" x14ac:dyDescent="0.35">
      <c r="B30" s="255" t="s">
        <v>14</v>
      </c>
      <c r="C30" s="256"/>
      <c r="E30"/>
      <c r="I30" s="7" t="s">
        <v>265</v>
      </c>
      <c r="J30" s="76">
        <v>1900000</v>
      </c>
      <c r="K30" s="50">
        <f t="shared" si="0"/>
        <v>127.10815566066137</v>
      </c>
    </row>
    <row r="31" spans="2:16" x14ac:dyDescent="0.35">
      <c r="B31" s="253" t="s">
        <v>574</v>
      </c>
      <c r="C31" s="253"/>
      <c r="E31"/>
      <c r="I31" s="7" t="s">
        <v>267</v>
      </c>
      <c r="J31" s="76">
        <v>2150000</v>
      </c>
      <c r="K31" s="50">
        <f t="shared" si="0"/>
        <v>143.8329129844326</v>
      </c>
    </row>
    <row r="32" spans="2:16" x14ac:dyDescent="0.35">
      <c r="B32" s="8" t="s">
        <v>295</v>
      </c>
      <c r="C32" s="7" t="s">
        <v>322</v>
      </c>
      <c r="E32"/>
      <c r="I32" s="7" t="s">
        <v>269</v>
      </c>
      <c r="J32" s="76">
        <v>2350000</v>
      </c>
      <c r="K32" s="50">
        <f t="shared" si="0"/>
        <v>157.21271884344958</v>
      </c>
    </row>
    <row r="33" spans="2:11" x14ac:dyDescent="0.35">
      <c r="B33" s="51" t="s">
        <v>296</v>
      </c>
      <c r="C33" s="182" t="s">
        <v>324</v>
      </c>
      <c r="I33" s="7" t="s">
        <v>271</v>
      </c>
      <c r="J33" s="76">
        <v>2000000</v>
      </c>
      <c r="K33" s="50">
        <f t="shared" si="0"/>
        <v>133.79805859016986</v>
      </c>
    </row>
    <row r="34" spans="2:11" x14ac:dyDescent="0.35">
      <c r="B34" s="8" t="s">
        <v>297</v>
      </c>
      <c r="C34" s="7" t="s">
        <v>320</v>
      </c>
      <c r="I34" s="7" t="s">
        <v>273</v>
      </c>
      <c r="J34" s="76">
        <v>2200000</v>
      </c>
      <c r="K34" s="50">
        <f t="shared" si="0"/>
        <v>147.17786444918684</v>
      </c>
    </row>
    <row r="35" spans="2:11" x14ac:dyDescent="0.35">
      <c r="B35" s="8" t="s">
        <v>298</v>
      </c>
      <c r="C35" s="7" t="s">
        <v>325</v>
      </c>
      <c r="I35" s="7" t="s">
        <v>276</v>
      </c>
      <c r="J35" s="76">
        <v>1950000</v>
      </c>
      <c r="K35" s="50">
        <f t="shared" si="0"/>
        <v>130.45310712541561</v>
      </c>
    </row>
    <row r="36" spans="2:11" x14ac:dyDescent="0.35">
      <c r="B36" s="8" t="s">
        <v>299</v>
      </c>
      <c r="C36" s="7" t="s">
        <v>317</v>
      </c>
      <c r="I36" s="7" t="s">
        <v>278</v>
      </c>
      <c r="J36" s="76">
        <v>2500000</v>
      </c>
      <c r="K36" s="50">
        <f t="shared" si="0"/>
        <v>167.24757323771232</v>
      </c>
    </row>
    <row r="37" spans="2:11" x14ac:dyDescent="0.35">
      <c r="B37" s="8" t="s">
        <v>300</v>
      </c>
      <c r="C37" s="7" t="s">
        <v>318</v>
      </c>
      <c r="I37" s="7" t="s">
        <v>280</v>
      </c>
      <c r="J37" s="76">
        <v>2350000</v>
      </c>
      <c r="K37" s="50">
        <f t="shared" si="0"/>
        <v>157.21271884344958</v>
      </c>
    </row>
    <row r="38" spans="2:11" x14ac:dyDescent="0.35">
      <c r="B38" s="8" t="s">
        <v>301</v>
      </c>
      <c r="C38" s="7" t="s">
        <v>326</v>
      </c>
      <c r="I38" s="7" t="s">
        <v>282</v>
      </c>
      <c r="J38" s="76">
        <v>2750000</v>
      </c>
      <c r="K38" s="50">
        <f t="shared" si="0"/>
        <v>183.97233056148355</v>
      </c>
    </row>
    <row r="39" spans="2:11" x14ac:dyDescent="0.35">
      <c r="B39" s="8" t="s">
        <v>302</v>
      </c>
      <c r="C39" s="7" t="s">
        <v>321</v>
      </c>
      <c r="I39" s="7" t="s">
        <v>284</v>
      </c>
      <c r="J39" s="76">
        <v>2600000</v>
      </c>
      <c r="K39" s="50">
        <f t="shared" si="0"/>
        <v>173.93747616722081</v>
      </c>
    </row>
    <row r="40" spans="2:11" x14ac:dyDescent="0.35">
      <c r="B40" s="8" t="s">
        <v>303</v>
      </c>
      <c r="C40" s="7" t="s">
        <v>319</v>
      </c>
      <c r="I40" s="7" t="s">
        <v>286</v>
      </c>
      <c r="J40" s="76">
        <v>2355000</v>
      </c>
      <c r="K40" s="50">
        <f t="shared" si="0"/>
        <v>157.54721398992501</v>
      </c>
    </row>
    <row r="41" spans="2:11" x14ac:dyDescent="0.35">
      <c r="B41" s="8" t="s">
        <v>304</v>
      </c>
      <c r="C41" s="7" t="s">
        <v>327</v>
      </c>
      <c r="I41" s="7" t="s">
        <v>288</v>
      </c>
      <c r="J41" s="76">
        <v>3750000</v>
      </c>
      <c r="K41" s="50">
        <f t="shared" si="0"/>
        <v>250.87135985656849</v>
      </c>
    </row>
    <row r="42" spans="2:11" x14ac:dyDescent="0.35">
      <c r="B42" s="51" t="s">
        <v>305</v>
      </c>
      <c r="C42" s="182" t="s">
        <v>323</v>
      </c>
      <c r="I42" s="7" t="s">
        <v>290</v>
      </c>
      <c r="J42" s="76">
        <v>2200000</v>
      </c>
      <c r="K42" s="50">
        <f t="shared" si="0"/>
        <v>147.17786444918684</v>
      </c>
    </row>
    <row r="43" spans="2:11" x14ac:dyDescent="0.35">
      <c r="B43" s="8" t="s">
        <v>306</v>
      </c>
      <c r="C43" s="7" t="s">
        <v>328</v>
      </c>
      <c r="I43" s="7" t="s">
        <v>292</v>
      </c>
      <c r="J43" s="76">
        <v>2450000</v>
      </c>
      <c r="K43" s="50">
        <f t="shared" si="0"/>
        <v>163.90262177295807</v>
      </c>
    </row>
    <row r="44" spans="2:11" x14ac:dyDescent="0.35">
      <c r="B44" s="8" t="s">
        <v>307</v>
      </c>
      <c r="C44" s="7" t="s">
        <v>329</v>
      </c>
      <c r="I44" s="7" t="s">
        <v>294</v>
      </c>
      <c r="J44" s="76">
        <v>3850000</v>
      </c>
      <c r="K44" s="50">
        <f t="shared" si="0"/>
        <v>257.56126278607695</v>
      </c>
    </row>
    <row r="45" spans="2:11" x14ac:dyDescent="0.35">
      <c r="B45" s="8" t="s">
        <v>308</v>
      </c>
      <c r="C45" s="7" t="s">
        <v>330</v>
      </c>
      <c r="I45" s="7" t="s">
        <v>211</v>
      </c>
      <c r="J45" s="76">
        <v>8355000</v>
      </c>
      <c r="K45" s="50">
        <f t="shared" si="0"/>
        <v>558.94138976043462</v>
      </c>
    </row>
    <row r="46" spans="2:11" x14ac:dyDescent="0.35">
      <c r="B46" s="8" t="s">
        <v>309</v>
      </c>
      <c r="C46" s="7" t="s">
        <v>331</v>
      </c>
      <c r="I46" s="7" t="s">
        <v>212</v>
      </c>
      <c r="J46" s="76">
        <v>8250000</v>
      </c>
      <c r="K46" s="50">
        <f t="shared" si="0"/>
        <v>551.91699168445064</v>
      </c>
    </row>
    <row r="47" spans="2:11" x14ac:dyDescent="0.35">
      <c r="B47" s="8" t="s">
        <v>310</v>
      </c>
      <c r="C47" s="7" t="s">
        <v>332</v>
      </c>
      <c r="I47" s="7" t="s">
        <v>214</v>
      </c>
      <c r="J47" s="76">
        <v>12555000</v>
      </c>
      <c r="K47" s="50">
        <f t="shared" si="0"/>
        <v>839.91731279979126</v>
      </c>
    </row>
    <row r="48" spans="2:11" x14ac:dyDescent="0.35">
      <c r="B48" s="8" t="s">
        <v>311</v>
      </c>
      <c r="C48" s="7" t="s">
        <v>333</v>
      </c>
      <c r="I48" s="7" t="s">
        <v>215</v>
      </c>
      <c r="J48" s="76">
        <v>10455000</v>
      </c>
      <c r="K48" s="50">
        <f t="shared" si="0"/>
        <v>699.429351280113</v>
      </c>
    </row>
    <row r="49" spans="2:11" x14ac:dyDescent="0.35">
      <c r="B49" s="8" t="s">
        <v>312</v>
      </c>
      <c r="C49" s="7" t="s">
        <v>334</v>
      </c>
      <c r="I49" s="7" t="s">
        <v>216</v>
      </c>
      <c r="J49" s="76">
        <v>13750000</v>
      </c>
      <c r="K49" s="50">
        <f t="shared" si="0"/>
        <v>919.86165280741784</v>
      </c>
    </row>
    <row r="50" spans="2:11" x14ac:dyDescent="0.35">
      <c r="B50" s="8" t="s">
        <v>313</v>
      </c>
      <c r="C50" s="7" t="s">
        <v>335</v>
      </c>
      <c r="I50" s="7" t="s">
        <v>217</v>
      </c>
      <c r="J50" s="76">
        <v>11550000</v>
      </c>
      <c r="K50" s="50">
        <f t="shared" si="0"/>
        <v>772.68378835823091</v>
      </c>
    </row>
    <row r="51" spans="2:11" x14ac:dyDescent="0.35">
      <c r="B51" s="8" t="s">
        <v>314</v>
      </c>
      <c r="C51" s="7" t="s">
        <v>336</v>
      </c>
      <c r="I51" s="7" t="s">
        <v>218</v>
      </c>
      <c r="J51" s="76">
        <v>12500000</v>
      </c>
      <c r="K51" s="50">
        <f t="shared" si="0"/>
        <v>836.23786618856161</v>
      </c>
    </row>
    <row r="52" spans="2:11" x14ac:dyDescent="0.35">
      <c r="B52" s="8" t="s">
        <v>315</v>
      </c>
      <c r="C52" s="7" t="s">
        <v>337</v>
      </c>
      <c r="I52" s="7" t="s">
        <v>210</v>
      </c>
      <c r="J52" s="76">
        <v>11750000</v>
      </c>
      <c r="K52" s="50">
        <f t="shared" si="0"/>
        <v>786.0635942172479</v>
      </c>
    </row>
    <row r="53" spans="2:11" x14ac:dyDescent="0.35">
      <c r="B53" s="8" t="s">
        <v>316</v>
      </c>
      <c r="C53" s="7" t="s">
        <v>338</v>
      </c>
      <c r="I53" s="7" t="s">
        <v>220</v>
      </c>
      <c r="J53" s="76">
        <v>10500000</v>
      </c>
      <c r="K53" s="50">
        <f t="shared" si="0"/>
        <v>702.43980759839178</v>
      </c>
    </row>
    <row r="54" spans="2:11" x14ac:dyDescent="0.35">
      <c r="I54" s="7" t="s">
        <v>222</v>
      </c>
      <c r="J54" s="76">
        <v>2800000</v>
      </c>
      <c r="K54" s="50">
        <f t="shared" si="0"/>
        <v>187.31728202623779</v>
      </c>
    </row>
    <row r="55" spans="2:11" x14ac:dyDescent="0.35">
      <c r="I55" s="7" t="s">
        <v>224</v>
      </c>
      <c r="J55" s="76">
        <v>2550000</v>
      </c>
      <c r="K55" s="50">
        <f t="shared" si="0"/>
        <v>170.59252470246656</v>
      </c>
    </row>
    <row r="56" spans="2:11" x14ac:dyDescent="0.35">
      <c r="I56" s="7" t="s">
        <v>226</v>
      </c>
      <c r="J56" s="76">
        <v>11350000</v>
      </c>
      <c r="K56" s="50">
        <f t="shared" si="0"/>
        <v>759.30398249921393</v>
      </c>
    </row>
    <row r="57" spans="2:11" x14ac:dyDescent="0.35">
      <c r="I57" s="7" t="s">
        <v>228</v>
      </c>
      <c r="J57" s="76">
        <v>10550000</v>
      </c>
      <c r="K57" s="50">
        <f t="shared" si="0"/>
        <v>705.784759063146</v>
      </c>
    </row>
    <row r="58" spans="2:11" x14ac:dyDescent="0.35">
      <c r="I58" s="7" t="s">
        <v>230</v>
      </c>
      <c r="J58" s="76">
        <v>8700000</v>
      </c>
      <c r="K58" s="50">
        <f t="shared" si="0"/>
        <v>582.02155486723893</v>
      </c>
    </row>
    <row r="59" spans="2:11" x14ac:dyDescent="0.35">
      <c r="I59" s="7" t="s">
        <v>232</v>
      </c>
      <c r="J59" s="76">
        <v>12550000</v>
      </c>
      <c r="K59" s="50">
        <f t="shared" si="0"/>
        <v>839.58281765331583</v>
      </c>
    </row>
    <row r="60" spans="2:11" x14ac:dyDescent="0.35">
      <c r="I60" s="7" t="s">
        <v>234</v>
      </c>
      <c r="J60" s="76">
        <v>10350000</v>
      </c>
      <c r="K60" s="50">
        <f t="shared" si="0"/>
        <v>692.40495320412901</v>
      </c>
    </row>
    <row r="61" spans="2:11" x14ac:dyDescent="0.35">
      <c r="I61" s="7" t="s">
        <v>236</v>
      </c>
      <c r="J61" s="76">
        <v>11250000</v>
      </c>
      <c r="K61" s="50">
        <f t="shared" si="0"/>
        <v>752.6140795697055</v>
      </c>
    </row>
    <row r="62" spans="2:11" x14ac:dyDescent="0.35">
      <c r="I62" s="7" t="s">
        <v>238</v>
      </c>
      <c r="J62" s="76">
        <v>9850000</v>
      </c>
      <c r="K62" s="50">
        <f t="shared" si="0"/>
        <v>658.95543855658661</v>
      </c>
    </row>
    <row r="63" spans="2:11" x14ac:dyDescent="0.35">
      <c r="I63" s="7" t="s">
        <v>240</v>
      </c>
      <c r="J63" s="76">
        <v>10355000</v>
      </c>
      <c r="K63" s="50">
        <f t="shared" si="0"/>
        <v>692.73944835060445</v>
      </c>
    </row>
    <row r="64" spans="2:11" x14ac:dyDescent="0.35">
      <c r="I64" s="7" t="s">
        <v>242</v>
      </c>
      <c r="J64" s="76">
        <v>9550000</v>
      </c>
      <c r="K64" s="50">
        <f t="shared" si="0"/>
        <v>638.88572976806108</v>
      </c>
    </row>
    <row r="65" spans="9:11" x14ac:dyDescent="0.35">
      <c r="I65" s="7" t="s">
        <v>244</v>
      </c>
      <c r="J65" s="76">
        <v>8550000</v>
      </c>
      <c r="K65" s="50">
        <f t="shared" si="0"/>
        <v>571.98670047297617</v>
      </c>
    </row>
    <row r="66" spans="9:11" x14ac:dyDescent="0.35">
      <c r="I66" s="7" t="s">
        <v>246</v>
      </c>
      <c r="J66" s="76">
        <v>13650000</v>
      </c>
      <c r="K66" s="50">
        <f t="shared" si="0"/>
        <v>913.17174987790929</v>
      </c>
    </row>
    <row r="67" spans="9:11" x14ac:dyDescent="0.35">
      <c r="I67" s="7" t="s">
        <v>250</v>
      </c>
      <c r="J67" s="76">
        <v>14650000</v>
      </c>
      <c r="K67" s="50">
        <f t="shared" si="0"/>
        <v>980.07077917299421</v>
      </c>
    </row>
  </sheetData>
  <mergeCells count="8">
    <mergeCell ref="B31:C31"/>
    <mergeCell ref="I3:K3"/>
    <mergeCell ref="I14:P14"/>
    <mergeCell ref="B30:C30"/>
    <mergeCell ref="I20:K20"/>
    <mergeCell ref="D4:E4"/>
    <mergeCell ref="B4:C4"/>
    <mergeCell ref="B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C9C6-A8C9-ED4E-8D16-AF3119747308}">
  <sheetPr codeName="Sheet3">
    <tabColor theme="8" tint="0.39997558519241921"/>
  </sheetPr>
  <dimension ref="B3:V26"/>
  <sheetViews>
    <sheetView topLeftCell="A43" zoomScale="63" workbookViewId="0">
      <selection activeCell="D7" sqref="D7"/>
    </sheetView>
  </sheetViews>
  <sheetFormatPr defaultColWidth="10.6640625" defaultRowHeight="41" customHeight="1" x14ac:dyDescent="0.35"/>
  <cols>
    <col min="2" max="2" width="18.33203125" bestFit="1" customWidth="1"/>
    <col min="3" max="3" width="22.1640625" bestFit="1" customWidth="1"/>
    <col min="4" max="4" width="28.33203125" bestFit="1" customWidth="1"/>
    <col min="6" max="6" width="13.6640625" customWidth="1"/>
    <col min="7" max="7" width="30" bestFit="1" customWidth="1"/>
    <col min="10" max="10" width="20.5" style="80" customWidth="1"/>
    <col min="11" max="11" width="32.5" bestFit="1" customWidth="1"/>
    <col min="13" max="13" width="14" customWidth="1"/>
    <col min="14" max="14" width="14" bestFit="1" customWidth="1"/>
    <col min="17" max="17" width="11.33203125" bestFit="1" customWidth="1"/>
    <col min="18" max="18" width="11.33203125" customWidth="1"/>
    <col min="21" max="21" width="14.5" bestFit="1" customWidth="1"/>
  </cols>
  <sheetData>
    <row r="3" spans="2:22" ht="62" x14ac:dyDescent="0.35">
      <c r="B3" s="1"/>
      <c r="C3" s="1"/>
      <c r="D3" s="1"/>
      <c r="E3" s="13" t="s">
        <v>598</v>
      </c>
      <c r="F3" s="13" t="s">
        <v>599</v>
      </c>
      <c r="G3" s="1"/>
      <c r="H3" s="1"/>
      <c r="I3" s="1"/>
      <c r="L3" s="13" t="s">
        <v>600</v>
      </c>
      <c r="M3" s="13" t="s">
        <v>601</v>
      </c>
      <c r="S3" s="13" t="s">
        <v>603</v>
      </c>
      <c r="T3" s="13" t="s">
        <v>604</v>
      </c>
    </row>
    <row r="4" spans="2:22" ht="41" customHeight="1" x14ac:dyDescent="0.35">
      <c r="C4" s="88" t="s">
        <v>253</v>
      </c>
      <c r="D4" s="88" t="s">
        <v>201</v>
      </c>
      <c r="E4" s="1">
        <f>COUNTIF(Master!$J$5:$J$124,'ADD2'!C4)</f>
        <v>3</v>
      </c>
      <c r="F4" s="1">
        <f>COUNTIF(Master!$K$5:$K$124,'ADD2'!D4)</f>
        <v>4</v>
      </c>
      <c r="G4" s="60"/>
      <c r="H4" s="1"/>
      <c r="I4" s="1"/>
      <c r="J4" s="81" t="s">
        <v>295</v>
      </c>
      <c r="K4" s="81" t="s">
        <v>306</v>
      </c>
      <c r="L4" s="6">
        <f>COUNTIF(Master!$T$5:$T$124,'ADD2'!J4)</f>
        <v>7</v>
      </c>
      <c r="M4" s="6">
        <f>COUNTIF(Master!$T$5:$T$124,'ADD2'!K4)</f>
        <v>8</v>
      </c>
      <c r="Q4" s="81" t="s">
        <v>602</v>
      </c>
      <c r="R4" s="93" t="s">
        <v>590</v>
      </c>
      <c r="S4" s="6">
        <f>COUNTIF(Master!$M$5:$M$124,"Sunday")</f>
        <v>14</v>
      </c>
      <c r="T4" s="6">
        <f>COUNTIF(Master!$N$5:$N$124,"9")</f>
        <v>35</v>
      </c>
    </row>
    <row r="5" spans="2:22" ht="41" customHeight="1" x14ac:dyDescent="0.35">
      <c r="C5" s="88" t="s">
        <v>251</v>
      </c>
      <c r="D5" s="88" t="s">
        <v>207</v>
      </c>
      <c r="E5" s="1">
        <f>COUNTIF(Master!$J$5:$J$124,'ADD2'!C5)</f>
        <v>10</v>
      </c>
      <c r="F5" s="1">
        <f>COUNTIF(Master!$K$5:$K$124,'ADD2'!D5)</f>
        <v>4</v>
      </c>
      <c r="G5" s="60"/>
      <c r="H5" s="1"/>
      <c r="I5" s="1"/>
      <c r="J5" s="81" t="s">
        <v>296</v>
      </c>
      <c r="K5" s="81" t="s">
        <v>307</v>
      </c>
      <c r="L5" s="6">
        <f>COUNTIF(Master!$T$5:$T$124,'ADD2'!J5)</f>
        <v>4</v>
      </c>
      <c r="M5" s="6">
        <f>COUNTIF(Master!$T$5:$T$124,'ADD2'!K5)</f>
        <v>10</v>
      </c>
      <c r="Q5" s="81" t="s">
        <v>507</v>
      </c>
      <c r="R5" s="94" t="s">
        <v>606</v>
      </c>
      <c r="S5" s="6">
        <f>COUNTIF(Master!$M$5:$M$124,"Monday")</f>
        <v>18</v>
      </c>
      <c r="T5" s="6">
        <f>COUNTIF(Master!$N$5:$N$124,"1")</f>
        <v>18</v>
      </c>
    </row>
    <row r="6" spans="2:22" ht="41" customHeight="1" x14ac:dyDescent="0.35">
      <c r="C6" s="88" t="s">
        <v>256</v>
      </c>
      <c r="D6" s="88" t="s">
        <v>213</v>
      </c>
      <c r="E6" s="1">
        <f>COUNTIF(Master!$J$5:$J$124,'ADD2'!C6)</f>
        <v>4</v>
      </c>
      <c r="F6" s="1">
        <f>COUNTIF(Master!$K$5:$K$124,'ADD2'!D6)</f>
        <v>3</v>
      </c>
      <c r="G6" s="60"/>
      <c r="H6" s="1"/>
      <c r="I6" s="1"/>
      <c r="J6" s="81" t="s">
        <v>297</v>
      </c>
      <c r="K6" s="81" t="s">
        <v>308</v>
      </c>
      <c r="L6" s="6">
        <f>COUNTIF(Master!$T$5:$T$124,'ADD2'!J6)</f>
        <v>4</v>
      </c>
      <c r="M6" s="6">
        <f>COUNTIF(Master!$T$5:$T$124,'ADD2'!K6)</f>
        <v>5</v>
      </c>
      <c r="Q6" s="81" t="s">
        <v>508</v>
      </c>
      <c r="R6" s="94" t="s">
        <v>591</v>
      </c>
      <c r="S6" s="6">
        <f>COUNTIF(Master!$M$5:$M$124,"Tuesday")</f>
        <v>25</v>
      </c>
      <c r="T6" s="6">
        <f>COUNTIF(Master!$N$5:$N$124,"3")</f>
        <v>32</v>
      </c>
    </row>
    <row r="7" spans="2:22" ht="41" customHeight="1" x14ac:dyDescent="0.35">
      <c r="C7" s="88" t="s">
        <v>287</v>
      </c>
      <c r="D7" s="88" t="s">
        <v>206</v>
      </c>
      <c r="E7" s="1">
        <f>COUNTIF(Master!$J$5:$J$124,'ADD2'!C7)</f>
        <v>4</v>
      </c>
      <c r="F7" s="1">
        <f>COUNTIF(Master!$K$5:$K$124,'ADD2'!D7)</f>
        <v>3</v>
      </c>
      <c r="G7" s="60"/>
      <c r="H7" s="1"/>
      <c r="I7" s="1"/>
      <c r="J7" s="81" t="s">
        <v>298</v>
      </c>
      <c r="K7" s="81" t="s">
        <v>309</v>
      </c>
      <c r="L7" s="6">
        <f>COUNTIF(Master!$T$5:$T$124,'ADD2'!J7)</f>
        <v>3</v>
      </c>
      <c r="M7" s="6">
        <f>COUNTIF(Master!$T$5:$T$124,'ADD2'!K7)</f>
        <v>4</v>
      </c>
      <c r="Q7" s="81" t="s">
        <v>509</v>
      </c>
      <c r="R7" s="94" t="s">
        <v>607</v>
      </c>
      <c r="S7" s="6">
        <f>COUNTIF(Master!$M$5:$M$124,"Wednesday")</f>
        <v>23</v>
      </c>
      <c r="T7" s="6">
        <f>COUNTIF(Master!$N$5:$N$124,"7")</f>
        <v>23</v>
      </c>
    </row>
    <row r="8" spans="2:22" ht="41" customHeight="1" x14ac:dyDescent="0.35">
      <c r="C8" s="88" t="s">
        <v>254</v>
      </c>
      <c r="D8" s="88" t="s">
        <v>229</v>
      </c>
      <c r="E8" s="1">
        <f>COUNTIF(Master!$J$5:$J$124,'ADD2'!C8)</f>
        <v>4</v>
      </c>
      <c r="F8" s="1">
        <f>COUNTIF(Master!$K$5:$K$124,'ADD2'!D8)</f>
        <v>3</v>
      </c>
      <c r="G8" s="60"/>
      <c r="H8" s="1"/>
      <c r="I8" s="1"/>
      <c r="J8" s="81" t="s">
        <v>299</v>
      </c>
      <c r="K8" s="81" t="s">
        <v>310</v>
      </c>
      <c r="L8" s="6">
        <f>COUNTIF(Master!$T$5:$T$124,'ADD2'!J8)</f>
        <v>4</v>
      </c>
      <c r="M8" s="6">
        <f>COUNTIF(Master!$T$5:$T$124,'ADD2'!K8)</f>
        <v>7</v>
      </c>
      <c r="Q8" s="81" t="s">
        <v>510</v>
      </c>
      <c r="R8" s="94" t="s">
        <v>608</v>
      </c>
      <c r="S8" s="6">
        <f>COUNTIF(Master!$M$5:$M$124,"Thursday")</f>
        <v>21</v>
      </c>
      <c r="T8" s="6">
        <f>COUNTIF(Master!$N$5:$N$124,"9")</f>
        <v>35</v>
      </c>
    </row>
    <row r="9" spans="2:22" ht="47" customHeight="1" x14ac:dyDescent="0.35">
      <c r="C9" s="88" t="s">
        <v>263</v>
      </c>
      <c r="D9" s="88" t="s">
        <v>237</v>
      </c>
      <c r="E9" s="1">
        <f>COUNTIF(Master!$J$5:$J$124,'ADD2'!C9)</f>
        <v>3</v>
      </c>
      <c r="F9" s="1">
        <f>COUNTIF(Master!$K$5:$K$124,'ADD2'!D9)</f>
        <v>4</v>
      </c>
      <c r="G9" s="60"/>
      <c r="H9" s="1"/>
      <c r="I9" s="1"/>
      <c r="J9" s="81" t="s">
        <v>300</v>
      </c>
      <c r="K9" s="81" t="s">
        <v>311</v>
      </c>
      <c r="L9" s="6">
        <f>COUNTIF(Master!$T$5:$T$124,'ADD2'!J9)</f>
        <v>11</v>
      </c>
      <c r="M9" s="6">
        <f>COUNTIF(Master!$T$5:$T$124,'ADD2'!K9)</f>
        <v>2</v>
      </c>
      <c r="Q9" s="81" t="s">
        <v>511</v>
      </c>
      <c r="R9" s="94" t="s">
        <v>609</v>
      </c>
      <c r="S9" s="6">
        <f>COUNTIF(Master!$M$5:$M$124,"Friday")</f>
        <v>12</v>
      </c>
      <c r="T9" s="6">
        <f>COUNTIF(Master!$N$5:$N$124,"12")</f>
        <v>12</v>
      </c>
    </row>
    <row r="10" spans="2:22" ht="41" customHeight="1" x14ac:dyDescent="0.35">
      <c r="C10" s="88" t="s">
        <v>258</v>
      </c>
      <c r="D10" s="88" t="s">
        <v>205</v>
      </c>
      <c r="E10" s="1">
        <f>COUNTIF(Master!$J$5:$J$124,'ADD2'!C10)</f>
        <v>1</v>
      </c>
      <c r="F10" s="1">
        <f>COUNTIF(Master!$K$5:$K$124,'ADD2'!D10)</f>
        <v>5</v>
      </c>
      <c r="G10" s="60"/>
      <c r="H10" s="1"/>
      <c r="I10" s="1"/>
      <c r="J10" s="81" t="s">
        <v>301</v>
      </c>
      <c r="K10" s="81" t="s">
        <v>312</v>
      </c>
      <c r="L10" s="6">
        <f>COUNTIF(Master!$T$5:$T$124,'ADD2'!J10)</f>
        <v>8</v>
      </c>
      <c r="M10" s="6">
        <f>COUNTIF(Master!$T$5:$T$124,'ADD2'!K10)</f>
        <v>5</v>
      </c>
      <c r="Q10" s="81" t="s">
        <v>512</v>
      </c>
      <c r="R10" s="93" t="s">
        <v>610</v>
      </c>
      <c r="S10" s="6">
        <f>COUNTIF(Master!$M$5:$M$124,"Saturday")</f>
        <v>7</v>
      </c>
      <c r="T10" s="6">
        <f>COUNTIF(Master!$N$5:$N$124,"3")</f>
        <v>32</v>
      </c>
    </row>
    <row r="11" spans="2:22" ht="41" customHeight="1" x14ac:dyDescent="0.35">
      <c r="C11" s="88" t="s">
        <v>285</v>
      </c>
      <c r="D11" s="88" t="s">
        <v>233</v>
      </c>
      <c r="E11" s="1">
        <f>COUNTIF(Master!$J$5:$J$124,'ADD2'!C11)</f>
        <v>3</v>
      </c>
      <c r="F11" s="1">
        <f>COUNTIF(Master!$K$5:$K$124,'ADD2'!D11)</f>
        <v>2</v>
      </c>
      <c r="G11" s="60"/>
      <c r="H11" s="1"/>
      <c r="I11" s="1"/>
      <c r="J11" s="81" t="s">
        <v>302</v>
      </c>
      <c r="K11" s="81" t="s">
        <v>313</v>
      </c>
      <c r="L11" s="6">
        <f>COUNTIF(Master!$T$5:$T$124,'ADD2'!J11)</f>
        <v>12</v>
      </c>
      <c r="M11" s="6">
        <f>COUNTIF(Master!$T$5:$T$124,'ADD2'!K11)</f>
        <v>4</v>
      </c>
      <c r="R11" s="91" t="s">
        <v>508</v>
      </c>
      <c r="S11" s="92">
        <f>MAX(S4:S10)</f>
        <v>25</v>
      </c>
      <c r="T11" s="92">
        <f>MAX(T4:T10)</f>
        <v>35</v>
      </c>
      <c r="U11" s="95" t="s">
        <v>605</v>
      </c>
      <c r="V11" s="94"/>
    </row>
    <row r="12" spans="2:22" ht="41" customHeight="1" x14ac:dyDescent="0.35">
      <c r="C12" s="88" t="s">
        <v>272</v>
      </c>
      <c r="D12" s="88" t="s">
        <v>227</v>
      </c>
      <c r="E12" s="1">
        <f>COUNTIF(Master!$J$5:$J$124,'ADD2'!C12)</f>
        <v>4</v>
      </c>
      <c r="F12" s="1">
        <f>COUNTIF(Master!$K$5:$K$124,'ADD2'!D12)</f>
        <v>5</v>
      </c>
      <c r="G12" s="60"/>
      <c r="H12" s="1"/>
      <c r="I12" s="1"/>
      <c r="J12" s="81" t="s">
        <v>303</v>
      </c>
      <c r="K12" s="81" t="s">
        <v>314</v>
      </c>
      <c r="L12" s="6">
        <f>COUNTIF(Master!$T$5:$T$124,'ADD2'!J12)</f>
        <v>3</v>
      </c>
      <c r="M12" s="6">
        <f>COUNTIF(Master!$T$5:$T$124,'ADD2'!K12)</f>
        <v>7</v>
      </c>
      <c r="R12" s="91" t="s">
        <v>512</v>
      </c>
      <c r="S12" s="92">
        <f>MIN(S4:S10)</f>
        <v>7</v>
      </c>
      <c r="T12" s="92">
        <f>MIN(T4:T10)</f>
        <v>12</v>
      </c>
      <c r="U12" s="96">
        <v>12</v>
      </c>
    </row>
    <row r="13" spans="2:22" ht="41" customHeight="1" x14ac:dyDescent="0.35">
      <c r="C13" s="88" t="s">
        <v>283</v>
      </c>
      <c r="D13" s="89" t="s">
        <v>209</v>
      </c>
      <c r="E13" s="1">
        <f>COUNTIF(Master!$J$5:$J$124,'ADD2'!C13)</f>
        <v>2</v>
      </c>
      <c r="F13" s="1">
        <f>COUNTIF(Master!$K$5:$K$124,'ADD2'!D13)</f>
        <v>4</v>
      </c>
      <c r="G13" s="60"/>
      <c r="H13" s="1"/>
      <c r="I13" s="1"/>
      <c r="J13" s="81" t="s">
        <v>304</v>
      </c>
      <c r="K13" s="81" t="s">
        <v>315</v>
      </c>
      <c r="L13" s="6">
        <f>COUNTIF(Master!$T$5:$T$124,'ADD2'!J13)</f>
        <v>2</v>
      </c>
      <c r="M13" s="6">
        <f>COUNTIF(Master!$T$5:$T$124,'ADD2'!K13)</f>
        <v>5</v>
      </c>
    </row>
    <row r="14" spans="2:22" ht="41" customHeight="1" x14ac:dyDescent="0.35">
      <c r="C14" s="88" t="s">
        <v>289</v>
      </c>
      <c r="D14" s="89" t="s">
        <v>249</v>
      </c>
      <c r="E14" s="1">
        <f>COUNTIF(Master!$J$5:$J$124,'ADD2'!C14)</f>
        <v>3</v>
      </c>
      <c r="F14" s="1">
        <f>COUNTIF(Master!$K$5:$K$124,'ADD2'!D14)</f>
        <v>2</v>
      </c>
      <c r="G14" s="60"/>
      <c r="H14" s="1"/>
      <c r="I14" s="1"/>
      <c r="J14" s="81" t="s">
        <v>305</v>
      </c>
      <c r="K14" s="81" t="s">
        <v>316</v>
      </c>
      <c r="L14" s="6">
        <f>COUNTIF(Master!$T$5:$T$124,'ADD2'!J14)</f>
        <v>1</v>
      </c>
      <c r="M14" s="6">
        <f>COUNTIF(Master!$T$5:$T$124,'ADD2'!K14)</f>
        <v>4</v>
      </c>
    </row>
    <row r="15" spans="2:22" ht="41" customHeight="1" x14ac:dyDescent="0.35">
      <c r="C15" s="88" t="s">
        <v>268</v>
      </c>
      <c r="D15" s="89" t="s">
        <v>219</v>
      </c>
      <c r="E15" s="1">
        <f>COUNTIF(Master!$J$5:$J$124,'ADD2'!C15)</f>
        <v>3</v>
      </c>
      <c r="F15" s="1">
        <f>COUNTIF(Master!$K$5:$K$124,'ADD2'!D15)</f>
        <v>3</v>
      </c>
      <c r="G15" s="60"/>
      <c r="H15" s="1"/>
      <c r="I15" s="1"/>
      <c r="K15" s="91" t="s">
        <v>302</v>
      </c>
      <c r="L15" s="92">
        <f>MAX(L4:L14)</f>
        <v>12</v>
      </c>
      <c r="M15" s="92">
        <f>MAX(M4:M14)</f>
        <v>10</v>
      </c>
      <c r="N15" s="91" t="s">
        <v>307</v>
      </c>
    </row>
    <row r="16" spans="2:22" ht="41" customHeight="1" x14ac:dyDescent="0.35">
      <c r="C16" s="88" t="s">
        <v>279</v>
      </c>
      <c r="D16" s="89" t="s">
        <v>225</v>
      </c>
      <c r="E16" s="1">
        <f>COUNTIF(Master!$J$5:$J$124,'ADD2'!C16)</f>
        <v>2</v>
      </c>
      <c r="F16" s="1">
        <f>COUNTIF(Master!$K$5:$K$124,'ADD2'!D16)</f>
        <v>2</v>
      </c>
      <c r="G16" s="60"/>
      <c r="H16" s="1"/>
      <c r="I16" s="1"/>
      <c r="K16" s="91" t="s">
        <v>305</v>
      </c>
      <c r="L16" s="92">
        <f>MIN(L4:L14)</f>
        <v>1</v>
      </c>
      <c r="M16" s="92">
        <f>MIN(M4:M14)</f>
        <v>2</v>
      </c>
      <c r="N16" s="91" t="s">
        <v>311</v>
      </c>
    </row>
    <row r="17" spans="2:9" ht="41" customHeight="1" x14ac:dyDescent="0.35">
      <c r="C17" s="88" t="s">
        <v>270</v>
      </c>
      <c r="D17" s="88" t="s">
        <v>223</v>
      </c>
      <c r="E17" s="1">
        <f>COUNTIF(Master!$J$5:$J$124,'ADD2'!C17)</f>
        <v>2</v>
      </c>
      <c r="F17" s="1">
        <f>COUNTIF(Master!$K$5:$K$124,'ADD2'!D17)</f>
        <v>3</v>
      </c>
      <c r="G17" s="60"/>
      <c r="H17" s="1"/>
      <c r="I17" s="1"/>
    </row>
    <row r="18" spans="2:9" ht="41" customHeight="1" x14ac:dyDescent="0.35">
      <c r="C18" s="88" t="s">
        <v>291</v>
      </c>
      <c r="D18" s="88" t="s">
        <v>241</v>
      </c>
      <c r="E18" s="1">
        <f>COUNTIF(Master!$J$5:$J$124,'ADD2'!C18)</f>
        <v>3</v>
      </c>
      <c r="F18" s="1">
        <f>COUNTIF(Master!$K$5:$K$124,'ADD2'!D18)</f>
        <v>2</v>
      </c>
      <c r="G18" s="60"/>
      <c r="H18" s="1"/>
      <c r="I18" s="1"/>
    </row>
    <row r="19" spans="2:9" ht="41" customHeight="1" x14ac:dyDescent="0.35">
      <c r="C19" s="88" t="s">
        <v>266</v>
      </c>
      <c r="D19" s="89" t="s">
        <v>235</v>
      </c>
      <c r="E19" s="1">
        <f>COUNTIF(Master!$J$5:$J$124,'ADD2'!C19)</f>
        <v>5</v>
      </c>
      <c r="F19" s="1">
        <f>COUNTIF(Master!$K$5:$K$124,'ADD2'!D19)</f>
        <v>2</v>
      </c>
      <c r="G19" s="60"/>
      <c r="H19" s="1"/>
      <c r="I19" s="1"/>
    </row>
    <row r="20" spans="2:9" ht="41" customHeight="1" x14ac:dyDescent="0.35">
      <c r="C20" s="88" t="s">
        <v>264</v>
      </c>
      <c r="D20" s="88" t="s">
        <v>245</v>
      </c>
      <c r="E20" s="1">
        <f>COUNTIF(Master!$J$5:$J$124,'ADD2'!C20)</f>
        <v>1</v>
      </c>
      <c r="F20" s="1">
        <f>COUNTIF(Master!$K$5:$K$124,'ADD2'!D20)</f>
        <v>1</v>
      </c>
      <c r="G20" s="60"/>
      <c r="H20" s="1"/>
      <c r="I20" s="1"/>
    </row>
    <row r="21" spans="2:9" ht="41" customHeight="1" x14ac:dyDescent="0.35">
      <c r="C21" s="88" t="s">
        <v>260</v>
      </c>
      <c r="D21" s="88" t="s">
        <v>221</v>
      </c>
      <c r="E21" s="1">
        <f>COUNTIF(Master!$J$5:$J$124,'ADD2'!C21)</f>
        <v>1</v>
      </c>
      <c r="F21" s="1">
        <f>COUNTIF(Master!$K$5:$K$124,'ADD2'!D21)</f>
        <v>4</v>
      </c>
      <c r="G21" s="60"/>
      <c r="H21" s="1"/>
      <c r="I21" s="1"/>
    </row>
    <row r="22" spans="2:9" ht="41" customHeight="1" x14ac:dyDescent="0.35">
      <c r="C22" s="88"/>
      <c r="D22" s="88" t="s">
        <v>243</v>
      </c>
      <c r="E22" s="4"/>
      <c r="F22" s="1">
        <f>COUNTIF(Master!$K$5:$K$124,'ADD2'!D22)</f>
        <v>1</v>
      </c>
      <c r="G22" s="60"/>
      <c r="H22" s="1"/>
      <c r="I22" s="1"/>
    </row>
    <row r="23" spans="2:9" ht="41" customHeight="1" x14ac:dyDescent="0.35">
      <c r="B23" s="1"/>
      <c r="C23" s="1"/>
      <c r="D23" s="87" t="s">
        <v>251</v>
      </c>
      <c r="E23" s="90">
        <f>MAX(E4:E22)</f>
        <v>10</v>
      </c>
      <c r="F23" s="90">
        <f>MAX(F4:F22)</f>
        <v>5</v>
      </c>
      <c r="G23" s="91" t="s">
        <v>205</v>
      </c>
      <c r="H23" s="1"/>
      <c r="I23" s="1"/>
    </row>
    <row r="24" spans="2:9" ht="41" customHeight="1" x14ac:dyDescent="0.35">
      <c r="B24" s="1"/>
      <c r="C24" s="1"/>
      <c r="D24" s="87" t="s">
        <v>264</v>
      </c>
      <c r="E24" s="260">
        <f>MIN(E4:E22)</f>
        <v>1</v>
      </c>
      <c r="F24" s="260">
        <f>MIN(F4:F22)</f>
        <v>1</v>
      </c>
      <c r="G24" s="91" t="s">
        <v>245</v>
      </c>
      <c r="H24" s="1"/>
      <c r="I24" s="1"/>
    </row>
    <row r="25" spans="2:9" ht="41" customHeight="1" x14ac:dyDescent="0.35">
      <c r="B25" s="1"/>
      <c r="C25" s="1"/>
      <c r="D25" s="87" t="s">
        <v>260</v>
      </c>
      <c r="E25" s="260"/>
      <c r="F25" s="260"/>
      <c r="G25" s="91" t="s">
        <v>243</v>
      </c>
      <c r="H25" s="1"/>
      <c r="I25" s="1"/>
    </row>
    <row r="26" spans="2:9" ht="41" customHeight="1" x14ac:dyDescent="0.35">
      <c r="B26" s="1"/>
      <c r="C26" s="1"/>
      <c r="D26" s="4"/>
      <c r="E26" s="4"/>
      <c r="F26" s="4"/>
      <c r="G26" s="60"/>
      <c r="H26" s="1"/>
      <c r="I26" s="1"/>
    </row>
  </sheetData>
  <mergeCells count="2">
    <mergeCell ref="E24:E25"/>
    <mergeCell ref="F24:F25"/>
  </mergeCells>
  <conditionalFormatting sqref="E4:E21">
    <cfRule type="top10" dxfId="15" priority="8" rank="10"/>
  </conditionalFormatting>
  <conditionalFormatting sqref="E3:F3">
    <cfRule type="containsBlanks" dxfId="14" priority="11">
      <formula>LEN(TRIM(E3))=0</formula>
    </cfRule>
  </conditionalFormatting>
  <conditionalFormatting sqref="F4:F22">
    <cfRule type="top10" dxfId="13" priority="7" rank="10"/>
  </conditionalFormatting>
  <conditionalFormatting sqref="L4:L14">
    <cfRule type="top10" dxfId="12" priority="4" rank="5"/>
  </conditionalFormatting>
  <conditionalFormatting sqref="L3:M3">
    <cfRule type="containsBlanks" dxfId="11" priority="10">
      <formula>LEN(TRIM(L3))=0</formula>
    </cfRule>
  </conditionalFormatting>
  <conditionalFormatting sqref="M4:M14">
    <cfRule type="top10" dxfId="10" priority="3" rank="5"/>
  </conditionalFormatting>
  <conditionalFormatting sqref="S4:S10">
    <cfRule type="top10" dxfId="9" priority="2" rank="3"/>
  </conditionalFormatting>
  <conditionalFormatting sqref="S3:T3">
    <cfRule type="containsBlanks" dxfId="8" priority="9">
      <formula>LEN(TRIM(S3))=0</formula>
    </cfRule>
  </conditionalFormatting>
  <conditionalFormatting sqref="T4:T10">
    <cfRule type="top10" dxfId="7" priority="1" rank="3"/>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CE403-0940-9A44-88E2-4BD251A3B352}">
  <sheetPr codeName="Sheet4">
    <tabColor theme="8" tint="0.39997558519241921"/>
  </sheetPr>
  <dimension ref="A1:F79"/>
  <sheetViews>
    <sheetView topLeftCell="C9" workbookViewId="0">
      <selection activeCell="E40" sqref="E40"/>
    </sheetView>
  </sheetViews>
  <sheetFormatPr defaultColWidth="10.6640625" defaultRowHeight="15.5" x14ac:dyDescent="0.35"/>
  <cols>
    <col min="1" max="1" width="27.5" bestFit="1" customWidth="1"/>
    <col min="2" max="2" width="24.1640625" style="17" bestFit="1" customWidth="1"/>
    <col min="3" max="3" width="13.33203125" style="17" bestFit="1" customWidth="1"/>
    <col min="4" max="4" width="13.33203125" bestFit="1" customWidth="1"/>
    <col min="5" max="5" width="25.33203125" bestFit="1" customWidth="1"/>
    <col min="6" max="6" width="13.33203125" bestFit="1" customWidth="1"/>
    <col min="7" max="7" width="23" bestFit="1" customWidth="1"/>
    <col min="8" max="8" width="21.5" bestFit="1" customWidth="1"/>
    <col min="9" max="9" width="23.5" bestFit="1" customWidth="1"/>
    <col min="10" max="10" width="23" bestFit="1" customWidth="1"/>
    <col min="11" max="11" width="18.5" bestFit="1" customWidth="1"/>
    <col min="12" max="12" width="23.5" bestFit="1" customWidth="1"/>
    <col min="13" max="13" width="23" bestFit="1" customWidth="1"/>
    <col min="14" max="14" width="22.6640625" bestFit="1" customWidth="1"/>
    <col min="15" max="15" width="29.6640625" bestFit="1" customWidth="1"/>
    <col min="16" max="16" width="29.1640625" bestFit="1" customWidth="1"/>
  </cols>
  <sheetData>
    <row r="1" spans="1:6" x14ac:dyDescent="0.35">
      <c r="A1" s="111" t="s">
        <v>202</v>
      </c>
      <c r="B1" s="17" t="s">
        <v>873</v>
      </c>
    </row>
    <row r="3" spans="1:6" x14ac:dyDescent="0.35">
      <c r="B3" s="135" t="s">
        <v>863</v>
      </c>
      <c r="C3"/>
      <c r="D3" s="17"/>
      <c r="E3" s="17"/>
      <c r="F3" s="17"/>
    </row>
    <row r="4" spans="1:6" x14ac:dyDescent="0.35">
      <c r="B4" s="17" t="s">
        <v>519</v>
      </c>
      <c r="D4" s="17"/>
      <c r="E4" t="s">
        <v>930</v>
      </c>
      <c r="F4" s="17" t="s">
        <v>864</v>
      </c>
    </row>
    <row r="5" spans="1:6" x14ac:dyDescent="0.35">
      <c r="A5" s="111" t="s">
        <v>865</v>
      </c>
      <c r="B5" t="s">
        <v>22</v>
      </c>
      <c r="C5" t="s">
        <v>37</v>
      </c>
      <c r="D5" s="136">
        <v>45078</v>
      </c>
      <c r="F5" s="17"/>
    </row>
    <row r="6" spans="1:6" x14ac:dyDescent="0.35">
      <c r="A6" s="83" t="s">
        <v>152</v>
      </c>
      <c r="D6" s="17"/>
      <c r="E6" s="17"/>
      <c r="F6" s="17"/>
    </row>
    <row r="7" spans="1:6" x14ac:dyDescent="0.35">
      <c r="A7" s="112" t="s">
        <v>927</v>
      </c>
      <c r="C7" s="17">
        <v>2200000</v>
      </c>
      <c r="D7" s="17"/>
      <c r="E7" s="17">
        <v>2200000</v>
      </c>
      <c r="F7" s="17">
        <v>2200000</v>
      </c>
    </row>
    <row r="8" spans="1:6" x14ac:dyDescent="0.35">
      <c r="A8" s="112" t="s">
        <v>928</v>
      </c>
      <c r="D8" s="17"/>
      <c r="E8" s="17"/>
      <c r="F8" s="17"/>
    </row>
    <row r="9" spans="1:6" x14ac:dyDescent="0.35">
      <c r="A9" s="112" t="s">
        <v>929</v>
      </c>
      <c r="C9" s="17">
        <v>2420000</v>
      </c>
      <c r="D9" s="17"/>
      <c r="E9" s="17">
        <v>2420000</v>
      </c>
      <c r="F9" s="17">
        <v>2420000</v>
      </c>
    </row>
    <row r="10" spans="1:6" x14ac:dyDescent="0.35">
      <c r="A10" s="83"/>
      <c r="D10" s="17"/>
      <c r="E10" s="17"/>
      <c r="F10" s="17"/>
    </row>
    <row r="11" spans="1:6" x14ac:dyDescent="0.35">
      <c r="A11" s="83" t="s">
        <v>64</v>
      </c>
      <c r="D11" s="17"/>
      <c r="E11" s="17"/>
      <c r="F11" s="17"/>
    </row>
    <row r="12" spans="1:6" x14ac:dyDescent="0.35">
      <c r="A12" s="112" t="s">
        <v>927</v>
      </c>
      <c r="D12" s="17">
        <v>2200000</v>
      </c>
      <c r="E12" s="17">
        <v>2200000</v>
      </c>
      <c r="F12" s="17">
        <v>2200000</v>
      </c>
    </row>
    <row r="13" spans="1:6" x14ac:dyDescent="0.35">
      <c r="A13" s="112" t="s">
        <v>928</v>
      </c>
      <c r="D13" s="17"/>
      <c r="E13" s="17"/>
      <c r="F13" s="17"/>
    </row>
    <row r="14" spans="1:6" x14ac:dyDescent="0.35">
      <c r="A14" s="112" t="s">
        <v>929</v>
      </c>
      <c r="D14" s="17">
        <v>2420000</v>
      </c>
      <c r="E14" s="17">
        <v>2420000</v>
      </c>
      <c r="F14" s="17">
        <v>2420000</v>
      </c>
    </row>
    <row r="15" spans="1:6" x14ac:dyDescent="0.35">
      <c r="A15" s="83"/>
      <c r="D15" s="17"/>
      <c r="E15" s="17"/>
      <c r="F15" s="17"/>
    </row>
    <row r="16" spans="1:6" x14ac:dyDescent="0.35">
      <c r="A16" s="83" t="s">
        <v>65</v>
      </c>
      <c r="D16" s="17"/>
      <c r="E16" s="17"/>
      <c r="F16" s="17"/>
    </row>
    <row r="17" spans="1:6" x14ac:dyDescent="0.35">
      <c r="A17" s="112" t="s">
        <v>927</v>
      </c>
      <c r="D17" s="17">
        <v>2200000</v>
      </c>
      <c r="E17" s="17">
        <v>2200000</v>
      </c>
      <c r="F17" s="17">
        <v>2200000</v>
      </c>
    </row>
    <row r="18" spans="1:6" x14ac:dyDescent="0.35">
      <c r="A18" s="112" t="s">
        <v>928</v>
      </c>
      <c r="D18" s="17"/>
      <c r="E18" s="17"/>
      <c r="F18" s="17"/>
    </row>
    <row r="19" spans="1:6" x14ac:dyDescent="0.35">
      <c r="A19" s="112" t="s">
        <v>929</v>
      </c>
      <c r="D19" s="17">
        <v>2420000</v>
      </c>
      <c r="E19" s="17">
        <v>2420000</v>
      </c>
      <c r="F19" s="17">
        <v>2420000</v>
      </c>
    </row>
    <row r="20" spans="1:6" x14ac:dyDescent="0.35">
      <c r="A20" s="83"/>
      <c r="D20" s="17"/>
      <c r="E20" s="17"/>
      <c r="F20" s="17"/>
    </row>
    <row r="21" spans="1:6" x14ac:dyDescent="0.35">
      <c r="A21" s="83" t="s">
        <v>103</v>
      </c>
      <c r="D21" s="17"/>
      <c r="E21" s="17"/>
      <c r="F21" s="17"/>
    </row>
    <row r="22" spans="1:6" x14ac:dyDescent="0.35">
      <c r="A22" s="112" t="s">
        <v>927</v>
      </c>
      <c r="B22" s="17">
        <v>2200000</v>
      </c>
      <c r="D22" s="17"/>
      <c r="E22" s="17">
        <v>2200000</v>
      </c>
      <c r="F22" s="17">
        <v>2200000</v>
      </c>
    </row>
    <row r="23" spans="1:6" x14ac:dyDescent="0.35">
      <c r="A23" s="112" t="s">
        <v>928</v>
      </c>
      <c r="D23" s="17"/>
      <c r="E23" s="17"/>
      <c r="F23" s="17"/>
    </row>
    <row r="24" spans="1:6" x14ac:dyDescent="0.35">
      <c r="A24" s="112" t="s">
        <v>929</v>
      </c>
      <c r="B24" s="17">
        <v>2420000</v>
      </c>
      <c r="D24" s="17"/>
      <c r="E24" s="17">
        <v>2420000</v>
      </c>
      <c r="F24" s="17">
        <v>2420000</v>
      </c>
    </row>
    <row r="25" spans="1:6" x14ac:dyDescent="0.35">
      <c r="A25" s="83"/>
      <c r="D25" s="17"/>
      <c r="E25" s="17"/>
      <c r="F25" s="17"/>
    </row>
    <row r="26" spans="1:6" x14ac:dyDescent="0.35">
      <c r="B26"/>
      <c r="C26"/>
    </row>
    <row r="27" spans="1:6" x14ac:dyDescent="0.35">
      <c r="B27"/>
      <c r="C27"/>
    </row>
    <row r="28" spans="1:6" x14ac:dyDescent="0.35">
      <c r="B28"/>
      <c r="C28"/>
    </row>
    <row r="29" spans="1:6" x14ac:dyDescent="0.35">
      <c r="B29"/>
      <c r="C29"/>
    </row>
    <row r="30" spans="1:6" x14ac:dyDescent="0.35">
      <c r="B30"/>
      <c r="C30"/>
    </row>
    <row r="31" spans="1:6" x14ac:dyDescent="0.35">
      <c r="B31"/>
      <c r="C31"/>
    </row>
    <row r="32" spans="1:6"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row r="44" spans="2:3" x14ac:dyDescent="0.35">
      <c r="B44"/>
      <c r="C44"/>
    </row>
    <row r="45" spans="2:3" x14ac:dyDescent="0.35">
      <c r="B45"/>
      <c r="C45"/>
    </row>
    <row r="46" spans="2:3" x14ac:dyDescent="0.35">
      <c r="B46"/>
      <c r="C46"/>
    </row>
    <row r="47" spans="2:3" x14ac:dyDescent="0.35">
      <c r="B47"/>
      <c r="C47"/>
    </row>
    <row r="48" spans="2:3" x14ac:dyDescent="0.35">
      <c r="B48"/>
      <c r="C48"/>
    </row>
    <row r="49" spans="2:3" x14ac:dyDescent="0.35">
      <c r="B49"/>
      <c r="C49"/>
    </row>
    <row r="50" spans="2:3" x14ac:dyDescent="0.35">
      <c r="B50"/>
      <c r="C50"/>
    </row>
    <row r="51" spans="2:3" x14ac:dyDescent="0.35">
      <c r="B51"/>
      <c r="C51"/>
    </row>
    <row r="52" spans="2:3" x14ac:dyDescent="0.35">
      <c r="B52"/>
      <c r="C52"/>
    </row>
    <row r="53" spans="2:3" x14ac:dyDescent="0.35">
      <c r="B53"/>
      <c r="C53"/>
    </row>
    <row r="54" spans="2:3" x14ac:dyDescent="0.35">
      <c r="B54"/>
      <c r="C54"/>
    </row>
    <row r="55" spans="2:3" x14ac:dyDescent="0.35">
      <c r="B55"/>
      <c r="C55"/>
    </row>
    <row r="56" spans="2:3" x14ac:dyDescent="0.35">
      <c r="B56"/>
      <c r="C56"/>
    </row>
    <row r="57" spans="2:3" x14ac:dyDescent="0.35">
      <c r="B57"/>
      <c r="C57"/>
    </row>
    <row r="58" spans="2:3" x14ac:dyDescent="0.35">
      <c r="B58"/>
      <c r="C58"/>
    </row>
    <row r="59" spans="2:3" x14ac:dyDescent="0.35">
      <c r="B59"/>
      <c r="C59"/>
    </row>
    <row r="60" spans="2:3" x14ac:dyDescent="0.35">
      <c r="B60"/>
      <c r="C60"/>
    </row>
    <row r="61" spans="2:3" x14ac:dyDescent="0.35">
      <c r="B61"/>
      <c r="C61"/>
    </row>
    <row r="62" spans="2:3" x14ac:dyDescent="0.35">
      <c r="B62"/>
      <c r="C62"/>
    </row>
    <row r="63" spans="2:3" x14ac:dyDescent="0.35">
      <c r="B63"/>
      <c r="C63"/>
    </row>
    <row r="64" spans="2:3" x14ac:dyDescent="0.35">
      <c r="B64"/>
      <c r="C64"/>
    </row>
    <row r="65" spans="2:3" x14ac:dyDescent="0.35">
      <c r="B65"/>
      <c r="C65"/>
    </row>
    <row r="66" spans="2:3" x14ac:dyDescent="0.35">
      <c r="B66"/>
      <c r="C66"/>
    </row>
    <row r="67" spans="2:3" x14ac:dyDescent="0.35">
      <c r="B67"/>
      <c r="C67"/>
    </row>
    <row r="68" spans="2:3" x14ac:dyDescent="0.35">
      <c r="B68"/>
      <c r="C68"/>
    </row>
    <row r="69" spans="2:3" x14ac:dyDescent="0.35">
      <c r="B69"/>
      <c r="C69"/>
    </row>
    <row r="70" spans="2:3" x14ac:dyDescent="0.35">
      <c r="B70"/>
      <c r="C70"/>
    </row>
    <row r="71" spans="2:3" x14ac:dyDescent="0.35">
      <c r="B71"/>
      <c r="C71"/>
    </row>
    <row r="72" spans="2:3" x14ac:dyDescent="0.35">
      <c r="B72"/>
      <c r="C72"/>
    </row>
    <row r="73" spans="2:3" x14ac:dyDescent="0.35">
      <c r="B73"/>
      <c r="C73"/>
    </row>
    <row r="74" spans="2:3" x14ac:dyDescent="0.35">
      <c r="B74"/>
      <c r="C74"/>
    </row>
    <row r="75" spans="2:3" x14ac:dyDescent="0.35">
      <c r="B75"/>
      <c r="C75"/>
    </row>
    <row r="76" spans="2:3" x14ac:dyDescent="0.35">
      <c r="B76"/>
      <c r="C76"/>
    </row>
    <row r="77" spans="2:3" x14ac:dyDescent="0.35">
      <c r="B77"/>
      <c r="C77"/>
    </row>
    <row r="78" spans="2:3" x14ac:dyDescent="0.35">
      <c r="B78"/>
      <c r="C78"/>
    </row>
    <row r="79" spans="2:3" x14ac:dyDescent="0.35">
      <c r="B79"/>
      <c r="C7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126C-7920-E949-A7E9-3185F8CBAB2D}">
  <sheetPr codeName="Sheet6">
    <tabColor theme="8" tint="0.39997558519241921"/>
  </sheetPr>
  <dimension ref="A1:G34"/>
  <sheetViews>
    <sheetView showGridLines="0" topLeftCell="A21" zoomScale="125" workbookViewId="0">
      <selection activeCell="G47" sqref="G47"/>
    </sheetView>
  </sheetViews>
  <sheetFormatPr defaultColWidth="10.6640625" defaultRowHeight="15.5" outlineLevelRow="1" x14ac:dyDescent="0.35"/>
  <cols>
    <col min="1" max="1" width="2.33203125" customWidth="1"/>
    <col min="2" max="2" width="6.33203125" bestFit="1" customWidth="1"/>
    <col min="3" max="3" width="36" bestFit="1" customWidth="1"/>
    <col min="4" max="5" width="19.1640625" bestFit="1" customWidth="1"/>
    <col min="6" max="6" width="10.83203125" bestFit="1" customWidth="1"/>
    <col min="7" max="7" width="7.1640625" bestFit="1" customWidth="1"/>
  </cols>
  <sheetData>
    <row r="1" spans="1:5" x14ac:dyDescent="0.35">
      <c r="A1" s="14" t="s">
        <v>526</v>
      </c>
    </row>
    <row r="2" spans="1:5" x14ac:dyDescent="0.35">
      <c r="A2" s="14" t="s">
        <v>527</v>
      </c>
    </row>
    <row r="3" spans="1:5" x14ac:dyDescent="0.35">
      <c r="A3" s="14" t="s">
        <v>528</v>
      </c>
    </row>
    <row r="4" spans="1:5" x14ac:dyDescent="0.35">
      <c r="A4" s="14" t="s">
        <v>529</v>
      </c>
    </row>
    <row r="5" spans="1:5" x14ac:dyDescent="0.35">
      <c r="A5" s="14" t="s">
        <v>530</v>
      </c>
    </row>
    <row r="6" spans="1:5" hidden="1" outlineLevel="1" x14ac:dyDescent="0.35">
      <c r="A6" s="14"/>
      <c r="B6" t="s">
        <v>531</v>
      </c>
    </row>
    <row r="7" spans="1:5" hidden="1" outlineLevel="1" x14ac:dyDescent="0.35">
      <c r="A7" s="14"/>
      <c r="B7" t="s">
        <v>532</v>
      </c>
    </row>
    <row r="8" spans="1:5" hidden="1" outlineLevel="1" x14ac:dyDescent="0.35">
      <c r="A8" s="14"/>
      <c r="B8" t="s">
        <v>533</v>
      </c>
    </row>
    <row r="9" spans="1:5" collapsed="1" x14ac:dyDescent="0.35">
      <c r="A9" s="14" t="s">
        <v>534</v>
      </c>
    </row>
    <row r="10" spans="1:5" hidden="1" outlineLevel="1" x14ac:dyDescent="0.35">
      <c r="B10" t="s">
        <v>535</v>
      </c>
    </row>
    <row r="11" spans="1:5" hidden="1" outlineLevel="1" x14ac:dyDescent="0.35">
      <c r="B11" t="s">
        <v>536</v>
      </c>
    </row>
    <row r="12" spans="1:5" collapsed="1" x14ac:dyDescent="0.35"/>
    <row r="14" spans="1:5" ht="16" thickBot="1" x14ac:dyDescent="0.4">
      <c r="A14" t="s">
        <v>537</v>
      </c>
    </row>
    <row r="15" spans="1:5" ht="16" thickBot="1" x14ac:dyDescent="0.4">
      <c r="B15" s="68" t="s">
        <v>538</v>
      </c>
      <c r="C15" s="68" t="s">
        <v>539</v>
      </c>
      <c r="D15" s="68" t="s">
        <v>540</v>
      </c>
      <c r="E15" s="68" t="s">
        <v>541</v>
      </c>
    </row>
    <row r="16" spans="1:5" ht="16" thickBot="1" x14ac:dyDescent="0.4">
      <c r="B16" s="67" t="s">
        <v>548</v>
      </c>
      <c r="C16" s="67" t="s">
        <v>549</v>
      </c>
      <c r="D16" s="70">
        <v>12500000000</v>
      </c>
      <c r="E16" s="70">
        <v>12500000000</v>
      </c>
    </row>
    <row r="19" spans="1:7" ht="16" thickBot="1" x14ac:dyDescent="0.4">
      <c r="A19" t="s">
        <v>542</v>
      </c>
    </row>
    <row r="20" spans="1:7" ht="16" thickBot="1" x14ac:dyDescent="0.4">
      <c r="B20" s="68" t="s">
        <v>538</v>
      </c>
      <c r="C20" s="68" t="s">
        <v>539</v>
      </c>
      <c r="D20" s="68" t="s">
        <v>540</v>
      </c>
      <c r="E20" s="68" t="s">
        <v>541</v>
      </c>
      <c r="F20" s="68" t="s">
        <v>543</v>
      </c>
    </row>
    <row r="21" spans="1:7" x14ac:dyDescent="0.35">
      <c r="B21" s="73" t="s">
        <v>572</v>
      </c>
      <c r="C21" s="72"/>
      <c r="D21" s="72"/>
      <c r="E21" s="72"/>
      <c r="F21" s="72"/>
    </row>
    <row r="22" spans="1:7" hidden="1" outlineLevel="1" x14ac:dyDescent="0.35">
      <c r="B22" s="69" t="s">
        <v>550</v>
      </c>
      <c r="C22" s="69" t="s">
        <v>551</v>
      </c>
      <c r="D22" s="71">
        <v>50000</v>
      </c>
      <c r="E22" s="71">
        <v>50000</v>
      </c>
      <c r="F22" s="69" t="s">
        <v>552</v>
      </c>
    </row>
    <row r="23" spans="1:7" hidden="1" outlineLevel="1" x14ac:dyDescent="0.35">
      <c r="B23" s="69" t="s">
        <v>553</v>
      </c>
      <c r="C23" s="69" t="s">
        <v>554</v>
      </c>
      <c r="D23" s="71">
        <v>0</v>
      </c>
      <c r="E23" s="71">
        <v>0</v>
      </c>
      <c r="F23" s="69" t="s">
        <v>552</v>
      </c>
    </row>
    <row r="24" spans="1:7" hidden="1" outlineLevel="1" x14ac:dyDescent="0.35">
      <c r="B24" s="69" t="s">
        <v>555</v>
      </c>
      <c r="C24" s="69" t="s">
        <v>556</v>
      </c>
      <c r="D24" s="71">
        <v>150000</v>
      </c>
      <c r="E24" s="71">
        <v>150000</v>
      </c>
      <c r="F24" s="69" t="s">
        <v>552</v>
      </c>
    </row>
    <row r="25" spans="1:7" ht="16" hidden="1" outlineLevel="1" thickBot="1" x14ac:dyDescent="0.4">
      <c r="B25" s="67" t="s">
        <v>557</v>
      </c>
      <c r="C25" s="67" t="s">
        <v>558</v>
      </c>
      <c r="D25" s="70">
        <v>0</v>
      </c>
      <c r="E25" s="70">
        <v>0</v>
      </c>
      <c r="F25" s="67" t="s">
        <v>552</v>
      </c>
    </row>
    <row r="26" spans="1:7" collapsed="1" x14ac:dyDescent="0.35">
      <c r="D26" s="18"/>
      <c r="E26" s="18"/>
    </row>
    <row r="29" spans="1:7" ht="16" thickBot="1" x14ac:dyDescent="0.4">
      <c r="A29" t="s">
        <v>544</v>
      </c>
    </row>
    <row r="30" spans="1:7" ht="16" thickBot="1" x14ac:dyDescent="0.4">
      <c r="B30" s="68" t="s">
        <v>538</v>
      </c>
      <c r="C30" s="68" t="s">
        <v>539</v>
      </c>
      <c r="D30" s="68" t="s">
        <v>545</v>
      </c>
      <c r="E30" s="68" t="s">
        <v>546</v>
      </c>
      <c r="F30" s="68" t="s">
        <v>6</v>
      </c>
      <c r="G30" s="68" t="s">
        <v>547</v>
      </c>
    </row>
    <row r="31" spans="1:7" x14ac:dyDescent="0.35">
      <c r="B31" s="69" t="s">
        <v>559</v>
      </c>
      <c r="C31" s="69" t="s">
        <v>560</v>
      </c>
      <c r="D31" s="71">
        <v>200000</v>
      </c>
      <c r="E31" s="69" t="s">
        <v>561</v>
      </c>
      <c r="F31" s="69" t="s">
        <v>562</v>
      </c>
      <c r="G31" s="69">
        <v>0</v>
      </c>
    </row>
    <row r="32" spans="1:7" x14ac:dyDescent="0.35">
      <c r="B32" s="69" t="s">
        <v>563</v>
      </c>
      <c r="C32" s="69" t="s">
        <v>198</v>
      </c>
      <c r="D32" s="71">
        <v>350000</v>
      </c>
      <c r="E32" s="69" t="s">
        <v>564</v>
      </c>
      <c r="F32" s="69" t="s">
        <v>562</v>
      </c>
      <c r="G32" s="69">
        <v>0</v>
      </c>
    </row>
    <row r="33" spans="2:7" x14ac:dyDescent="0.35">
      <c r="B33" s="69" t="s">
        <v>565</v>
      </c>
      <c r="C33" s="69" t="s">
        <v>566</v>
      </c>
      <c r="D33" s="71">
        <v>50000</v>
      </c>
      <c r="E33" s="69" t="s">
        <v>567</v>
      </c>
      <c r="F33" s="69" t="s">
        <v>568</v>
      </c>
      <c r="G33" s="69">
        <v>250000</v>
      </c>
    </row>
    <row r="34" spans="2:7" ht="16" thickBot="1" x14ac:dyDescent="0.4">
      <c r="B34" s="67" t="s">
        <v>569</v>
      </c>
      <c r="C34" s="67" t="s">
        <v>570</v>
      </c>
      <c r="D34" s="70">
        <v>150000</v>
      </c>
      <c r="E34" s="67" t="s">
        <v>571</v>
      </c>
      <c r="F34" s="67" t="s">
        <v>562</v>
      </c>
      <c r="G34" s="67">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4BD52-E6B0-4343-AAE0-7F7F67607DC3}">
  <sheetPr codeName="Sheet7">
    <tabColor theme="8" tint="0.39997558519241921"/>
  </sheetPr>
  <dimension ref="A1:G9"/>
  <sheetViews>
    <sheetView showGridLines="0" tabSelected="1" topLeftCell="A5" zoomScale="150" workbookViewId="0"/>
  </sheetViews>
  <sheetFormatPr defaultColWidth="10.6640625" defaultRowHeight="15.5" x14ac:dyDescent="0.35"/>
  <cols>
    <col min="1" max="1" width="2.33203125" customWidth="1"/>
    <col min="2" max="2" width="6.1640625" bestFit="1" customWidth="1"/>
    <col min="3" max="3" width="36" bestFit="1" customWidth="1"/>
    <col min="4" max="4" width="9.33203125" bestFit="1" customWidth="1"/>
    <col min="5" max="5" width="13.5" bestFit="1" customWidth="1"/>
    <col min="6" max="6" width="7.33203125" bestFit="1" customWidth="1"/>
    <col min="7" max="7" width="5.5" bestFit="1" customWidth="1"/>
  </cols>
  <sheetData>
    <row r="1" spans="1:7" x14ac:dyDescent="0.35">
      <c r="A1" s="14" t="s">
        <v>936</v>
      </c>
    </row>
    <row r="2" spans="1:7" x14ac:dyDescent="0.35">
      <c r="A2" s="14" t="s">
        <v>527</v>
      </c>
    </row>
    <row r="3" spans="1:7" x14ac:dyDescent="0.35">
      <c r="A3" s="14" t="s">
        <v>944</v>
      </c>
    </row>
    <row r="6" spans="1:7" ht="16" thickBot="1" x14ac:dyDescent="0.4">
      <c r="A6" t="s">
        <v>937</v>
      </c>
    </row>
    <row r="7" spans="1:7" ht="16" thickBot="1" x14ac:dyDescent="0.4">
      <c r="B7" s="68" t="s">
        <v>538</v>
      </c>
      <c r="C7" s="68" t="s">
        <v>539</v>
      </c>
      <c r="D7" s="68" t="s">
        <v>545</v>
      </c>
      <c r="E7" s="68" t="s">
        <v>546</v>
      </c>
      <c r="F7" s="68" t="s">
        <v>6</v>
      </c>
      <c r="G7" s="68" t="s">
        <v>547</v>
      </c>
    </row>
    <row r="8" spans="1:7" x14ac:dyDescent="0.35">
      <c r="B8" t="s">
        <v>938</v>
      </c>
      <c r="C8" t="s">
        <v>566</v>
      </c>
      <c r="D8" s="32">
        <v>300000</v>
      </c>
      <c r="E8" t="s">
        <v>939</v>
      </c>
      <c r="F8" t="s">
        <v>562</v>
      </c>
      <c r="G8">
        <v>0</v>
      </c>
    </row>
    <row r="9" spans="1:7" x14ac:dyDescent="0.35">
      <c r="B9" t="s">
        <v>940</v>
      </c>
      <c r="C9" t="s">
        <v>570</v>
      </c>
      <c r="D9" s="32">
        <v>150000</v>
      </c>
      <c r="E9" t="s">
        <v>941</v>
      </c>
      <c r="F9" t="s">
        <v>562</v>
      </c>
      <c r="G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93A98-1738-9B46-8224-57BE60903D61}">
  <sheetPr codeName="Sheet8">
    <tabColor theme="8" tint="0.39997558519241921"/>
  </sheetPr>
  <dimension ref="A1:G9"/>
  <sheetViews>
    <sheetView showGridLines="0" topLeftCell="A5" zoomScale="139" workbookViewId="0"/>
  </sheetViews>
  <sheetFormatPr defaultColWidth="10.6640625" defaultRowHeight="15.5" x14ac:dyDescent="0.35"/>
  <cols>
    <col min="1" max="1" width="2.33203125" customWidth="1"/>
    <col min="2" max="2" width="6.1640625" bestFit="1" customWidth="1"/>
    <col min="3" max="3" width="36" bestFit="1" customWidth="1"/>
    <col min="4" max="4" width="9.33203125" bestFit="1" customWidth="1"/>
    <col min="5" max="5" width="13.5" bestFit="1" customWidth="1"/>
    <col min="6" max="6" width="7.33203125" bestFit="1" customWidth="1"/>
    <col min="7" max="7" width="5.5" bestFit="1" customWidth="1"/>
  </cols>
  <sheetData>
    <row r="1" spans="1:7" x14ac:dyDescent="0.35">
      <c r="A1" s="14" t="s">
        <v>936</v>
      </c>
    </row>
    <row r="2" spans="1:7" x14ac:dyDescent="0.35">
      <c r="A2" s="14" t="s">
        <v>527</v>
      </c>
    </row>
    <row r="3" spans="1:7" x14ac:dyDescent="0.35">
      <c r="A3" s="14" t="s">
        <v>945</v>
      </c>
    </row>
    <row r="6" spans="1:7" ht="16" thickBot="1" x14ac:dyDescent="0.4">
      <c r="A6" t="s">
        <v>937</v>
      </c>
    </row>
    <row r="7" spans="1:7" ht="16" thickBot="1" x14ac:dyDescent="0.4">
      <c r="B7" s="68" t="s">
        <v>538</v>
      </c>
      <c r="C7" s="68" t="s">
        <v>539</v>
      </c>
      <c r="D7" s="68" t="s">
        <v>545</v>
      </c>
      <c r="E7" s="68" t="s">
        <v>546</v>
      </c>
      <c r="F7" s="68" t="s">
        <v>6</v>
      </c>
      <c r="G7" s="68" t="s">
        <v>547</v>
      </c>
    </row>
    <row r="8" spans="1:7" x14ac:dyDescent="0.35">
      <c r="B8" t="s">
        <v>938</v>
      </c>
      <c r="C8" t="s">
        <v>566</v>
      </c>
      <c r="D8" s="32">
        <v>300000</v>
      </c>
      <c r="E8" t="s">
        <v>939</v>
      </c>
      <c r="F8" t="s">
        <v>562</v>
      </c>
      <c r="G8">
        <v>0</v>
      </c>
    </row>
    <row r="9" spans="1:7" x14ac:dyDescent="0.35">
      <c r="B9" t="s">
        <v>940</v>
      </c>
      <c r="C9" t="s">
        <v>570</v>
      </c>
      <c r="D9" s="32">
        <v>150000</v>
      </c>
      <c r="E9" t="s">
        <v>941</v>
      </c>
      <c r="F9" t="s">
        <v>562</v>
      </c>
      <c r="G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2ED6D-151D-0B42-B4D5-034BAEC6FFA8}">
  <sheetPr codeName="Sheet9">
    <tabColor theme="8" tint="0.39997558519241921"/>
  </sheetPr>
  <dimension ref="C4:K64"/>
  <sheetViews>
    <sheetView topLeftCell="B41" zoomScale="150" workbookViewId="0">
      <selection activeCell="D65" sqref="D65"/>
    </sheetView>
  </sheetViews>
  <sheetFormatPr defaultColWidth="10.6640625" defaultRowHeight="15.5" x14ac:dyDescent="0.35"/>
  <cols>
    <col min="2" max="2" width="19" bestFit="1" customWidth="1"/>
    <col min="3" max="3" width="24.6640625" bestFit="1" customWidth="1"/>
    <col min="4" max="4" width="20.6640625" bestFit="1" customWidth="1"/>
    <col min="5" max="5" width="16.6640625" bestFit="1" customWidth="1"/>
    <col min="6" max="6" width="14.6640625" bestFit="1" customWidth="1"/>
    <col min="7" max="7" width="16" bestFit="1" customWidth="1"/>
    <col min="8" max="9" width="16.6640625" bestFit="1" customWidth="1"/>
    <col min="10" max="10" width="13.33203125" bestFit="1" customWidth="1"/>
  </cols>
  <sheetData>
    <row r="4" spans="3:11" ht="16" thickBot="1" x14ac:dyDescent="0.4"/>
    <row r="5" spans="3:11" x14ac:dyDescent="0.35">
      <c r="C5" s="33" t="s">
        <v>621</v>
      </c>
      <c r="D5" s="20" t="s">
        <v>622</v>
      </c>
      <c r="E5" s="20" t="s">
        <v>479</v>
      </c>
      <c r="F5" s="20" t="s">
        <v>623</v>
      </c>
      <c r="G5" s="20" t="s">
        <v>624</v>
      </c>
      <c r="H5" s="20" t="s">
        <v>625</v>
      </c>
      <c r="I5" s="20" t="s">
        <v>626</v>
      </c>
      <c r="J5" s="20" t="s">
        <v>627</v>
      </c>
      <c r="K5" s="21" t="s">
        <v>628</v>
      </c>
    </row>
    <row r="6" spans="3:11" x14ac:dyDescent="0.35">
      <c r="C6" s="24" t="s">
        <v>629</v>
      </c>
      <c r="D6" s="261" t="s">
        <v>630</v>
      </c>
      <c r="E6" s="261"/>
      <c r="F6" s="261"/>
      <c r="G6" s="261"/>
      <c r="H6" s="261"/>
      <c r="I6" s="261"/>
      <c r="J6" s="261"/>
      <c r="K6" s="263"/>
    </row>
    <row r="7" spans="3:11" x14ac:dyDescent="0.35">
      <c r="C7" s="24" t="s">
        <v>631</v>
      </c>
      <c r="D7" s="6" t="s">
        <v>632</v>
      </c>
      <c r="E7" s="6" t="s">
        <v>633</v>
      </c>
      <c r="F7" s="6" t="s">
        <v>634</v>
      </c>
      <c r="G7" s="6" t="s">
        <v>635</v>
      </c>
      <c r="H7" s="6" t="s">
        <v>636</v>
      </c>
      <c r="I7" s="6" t="s">
        <v>637</v>
      </c>
      <c r="J7" s="6" t="s">
        <v>638</v>
      </c>
      <c r="K7" s="99" t="s">
        <v>639</v>
      </c>
    </row>
    <row r="8" spans="3:11" x14ac:dyDescent="0.35">
      <c r="C8" s="24" t="s">
        <v>640</v>
      </c>
      <c r="D8" s="6" t="s">
        <v>641</v>
      </c>
      <c r="E8" s="6" t="s">
        <v>642</v>
      </c>
      <c r="F8" s="6" t="s">
        <v>643</v>
      </c>
      <c r="G8" s="6" t="s">
        <v>644</v>
      </c>
      <c r="H8" s="6" t="s">
        <v>645</v>
      </c>
      <c r="I8" s="6" t="s">
        <v>646</v>
      </c>
      <c r="J8" s="6" t="s">
        <v>647</v>
      </c>
      <c r="K8" s="99" t="s">
        <v>648</v>
      </c>
    </row>
    <row r="9" spans="3:11" x14ac:dyDescent="0.35">
      <c r="C9" s="24" t="s">
        <v>649</v>
      </c>
      <c r="D9" s="6" t="s">
        <v>650</v>
      </c>
      <c r="E9" s="6" t="s">
        <v>651</v>
      </c>
      <c r="F9" s="6" t="s">
        <v>652</v>
      </c>
      <c r="G9" s="6" t="s">
        <v>653</v>
      </c>
      <c r="H9" s="6" t="s">
        <v>654</v>
      </c>
      <c r="I9" s="6" t="s">
        <v>655</v>
      </c>
      <c r="J9" s="6" t="s">
        <v>656</v>
      </c>
      <c r="K9" s="99" t="s">
        <v>657</v>
      </c>
    </row>
    <row r="10" spans="3:11" x14ac:dyDescent="0.35">
      <c r="C10" s="24" t="s">
        <v>658</v>
      </c>
      <c r="D10" s="6" t="s">
        <v>659</v>
      </c>
      <c r="E10" s="6" t="s">
        <v>660</v>
      </c>
      <c r="F10" s="6" t="s">
        <v>661</v>
      </c>
      <c r="G10" s="6" t="s">
        <v>662</v>
      </c>
      <c r="H10" s="6" t="s">
        <v>663</v>
      </c>
      <c r="I10" s="6" t="s">
        <v>664</v>
      </c>
      <c r="J10" s="6" t="s">
        <v>665</v>
      </c>
      <c r="K10" s="99" t="s">
        <v>666</v>
      </c>
    </row>
    <row r="11" spans="3:11" x14ac:dyDescent="0.35">
      <c r="C11" s="24" t="s">
        <v>442</v>
      </c>
      <c r="D11" s="6" t="s">
        <v>667</v>
      </c>
      <c r="E11" s="6" t="s">
        <v>668</v>
      </c>
      <c r="F11" s="6" t="s">
        <v>669</v>
      </c>
      <c r="G11" s="6" t="s">
        <v>670</v>
      </c>
      <c r="H11" s="6" t="s">
        <v>671</v>
      </c>
      <c r="I11" s="6" t="s">
        <v>672</v>
      </c>
      <c r="J11" s="6" t="s">
        <v>673</v>
      </c>
      <c r="K11" s="99" t="s">
        <v>674</v>
      </c>
    </row>
    <row r="12" spans="3:11" x14ac:dyDescent="0.35">
      <c r="C12" s="24" t="s">
        <v>675</v>
      </c>
      <c r="D12" s="6" t="s">
        <v>676</v>
      </c>
      <c r="E12" s="6" t="s">
        <v>677</v>
      </c>
      <c r="F12" s="6" t="s">
        <v>678</v>
      </c>
      <c r="G12" s="6" t="s">
        <v>679</v>
      </c>
      <c r="H12" s="6" t="s">
        <v>680</v>
      </c>
      <c r="I12" s="6" t="s">
        <v>681</v>
      </c>
      <c r="J12" s="6" t="s">
        <v>682</v>
      </c>
      <c r="K12" s="99" t="s">
        <v>683</v>
      </c>
    </row>
    <row r="13" spans="3:11" x14ac:dyDescent="0.35">
      <c r="C13" s="24" t="s">
        <v>684</v>
      </c>
      <c r="D13" s="6" t="s">
        <v>685</v>
      </c>
      <c r="E13" s="6" t="s">
        <v>686</v>
      </c>
      <c r="F13" s="6" t="s">
        <v>687</v>
      </c>
      <c r="G13" s="6" t="s">
        <v>688</v>
      </c>
      <c r="H13" s="6" t="s">
        <v>689</v>
      </c>
      <c r="I13" s="6" t="s">
        <v>690</v>
      </c>
      <c r="J13" s="6" t="s">
        <v>691</v>
      </c>
      <c r="K13" s="99" t="s">
        <v>692</v>
      </c>
    </row>
    <row r="14" spans="3:11" x14ac:dyDescent="0.35">
      <c r="C14" s="24" t="s">
        <v>693</v>
      </c>
      <c r="D14" s="6" t="s">
        <v>694</v>
      </c>
      <c r="E14" s="6" t="s">
        <v>695</v>
      </c>
      <c r="F14" s="6" t="s">
        <v>696</v>
      </c>
      <c r="G14" s="6" t="s">
        <v>697</v>
      </c>
      <c r="H14" s="6" t="s">
        <v>698</v>
      </c>
      <c r="I14" s="6" t="s">
        <v>699</v>
      </c>
      <c r="J14" s="6" t="s">
        <v>700</v>
      </c>
      <c r="K14" s="99" t="s">
        <v>701</v>
      </c>
    </row>
    <row r="15" spans="3:11" x14ac:dyDescent="0.35">
      <c r="C15" s="24" t="s">
        <v>702</v>
      </c>
      <c r="D15" s="6" t="s">
        <v>703</v>
      </c>
      <c r="E15" s="6" t="s">
        <v>704</v>
      </c>
      <c r="F15" s="6" t="s">
        <v>705</v>
      </c>
      <c r="G15" s="6" t="s">
        <v>706</v>
      </c>
      <c r="H15" s="6" t="s">
        <v>707</v>
      </c>
      <c r="I15" s="6" t="s">
        <v>708</v>
      </c>
      <c r="J15" s="6" t="s">
        <v>709</v>
      </c>
      <c r="K15" s="99" t="s">
        <v>710</v>
      </c>
    </row>
    <row r="16" spans="3:11" x14ac:dyDescent="0.35">
      <c r="C16" s="24" t="s">
        <v>711</v>
      </c>
      <c r="D16" s="6" t="s">
        <v>712</v>
      </c>
      <c r="E16" s="6" t="s">
        <v>662</v>
      </c>
      <c r="F16" s="6" t="s">
        <v>713</v>
      </c>
      <c r="G16" s="6" t="s">
        <v>714</v>
      </c>
      <c r="H16" s="6" t="s">
        <v>715</v>
      </c>
      <c r="I16" s="6" t="s">
        <v>716</v>
      </c>
      <c r="J16" s="6" t="s">
        <v>717</v>
      </c>
      <c r="K16" s="99" t="s">
        <v>718</v>
      </c>
    </row>
    <row r="17" spans="3:11" x14ac:dyDescent="0.35">
      <c r="C17" s="24" t="s">
        <v>455</v>
      </c>
      <c r="D17" s="6" t="s">
        <v>719</v>
      </c>
      <c r="E17" s="6" t="s">
        <v>720</v>
      </c>
      <c r="F17" s="6" t="s">
        <v>721</v>
      </c>
      <c r="G17" s="6" t="s">
        <v>722</v>
      </c>
      <c r="H17" s="6" t="s">
        <v>723</v>
      </c>
      <c r="I17" s="6" t="s">
        <v>724</v>
      </c>
      <c r="J17" s="6" t="s">
        <v>725</v>
      </c>
      <c r="K17" s="99" t="s">
        <v>726</v>
      </c>
    </row>
    <row r="18" spans="3:11" ht="16" thickBot="1" x14ac:dyDescent="0.4">
      <c r="C18" s="102" t="s">
        <v>727</v>
      </c>
      <c r="D18" s="100" t="s">
        <v>728</v>
      </c>
      <c r="E18" s="100" t="s">
        <v>729</v>
      </c>
      <c r="F18" s="100" t="s">
        <v>730</v>
      </c>
      <c r="G18" s="100" t="s">
        <v>731</v>
      </c>
      <c r="H18" s="100" t="s">
        <v>732</v>
      </c>
      <c r="I18" s="100" t="s">
        <v>733</v>
      </c>
      <c r="J18" s="100" t="s">
        <v>734</v>
      </c>
      <c r="K18" s="101" t="s">
        <v>735</v>
      </c>
    </row>
    <row r="21" spans="3:11" ht="16" thickBot="1" x14ac:dyDescent="0.4"/>
    <row r="22" spans="3:11" x14ac:dyDescent="0.35">
      <c r="C22" s="103" t="s">
        <v>621</v>
      </c>
      <c r="D22" s="104" t="s">
        <v>736</v>
      </c>
      <c r="E22" s="104" t="s">
        <v>479</v>
      </c>
      <c r="F22" s="104" t="s">
        <v>625</v>
      </c>
      <c r="G22" s="104" t="s">
        <v>624</v>
      </c>
      <c r="H22" s="104" t="s">
        <v>737</v>
      </c>
      <c r="I22" s="104" t="s">
        <v>738</v>
      </c>
      <c r="J22" s="104" t="s">
        <v>739</v>
      </c>
      <c r="K22" s="105" t="s">
        <v>628</v>
      </c>
    </row>
    <row r="23" spans="3:11" x14ac:dyDescent="0.35">
      <c r="C23" s="24" t="s">
        <v>629</v>
      </c>
      <c r="D23" s="262" t="s">
        <v>630</v>
      </c>
      <c r="E23" s="262"/>
      <c r="F23" s="262"/>
      <c r="G23" s="262"/>
      <c r="H23" s="262"/>
      <c r="I23" s="262"/>
      <c r="J23" s="262"/>
      <c r="K23" s="264"/>
    </row>
    <row r="24" spans="3:11" x14ac:dyDescent="0.35">
      <c r="C24" s="24" t="s">
        <v>631</v>
      </c>
      <c r="D24" s="6" t="s">
        <v>740</v>
      </c>
      <c r="E24" s="6" t="s">
        <v>741</v>
      </c>
      <c r="F24" s="153" t="s">
        <v>636</v>
      </c>
      <c r="G24" s="6" t="s">
        <v>742</v>
      </c>
      <c r="H24" s="6" t="s">
        <v>743</v>
      </c>
      <c r="I24" s="6" t="s">
        <v>744</v>
      </c>
      <c r="J24" s="6" t="s">
        <v>745</v>
      </c>
      <c r="K24" s="99" t="s">
        <v>746</v>
      </c>
    </row>
    <row r="25" spans="3:11" x14ac:dyDescent="0.35">
      <c r="C25" s="24" t="s">
        <v>640</v>
      </c>
      <c r="D25" s="6" t="s">
        <v>747</v>
      </c>
      <c r="E25" s="6" t="s">
        <v>748</v>
      </c>
      <c r="F25" s="6" t="s">
        <v>645</v>
      </c>
      <c r="G25" s="6" t="s">
        <v>749</v>
      </c>
      <c r="H25" s="6" t="s">
        <v>750</v>
      </c>
      <c r="I25" s="6" t="s">
        <v>751</v>
      </c>
      <c r="J25" s="6" t="s">
        <v>752</v>
      </c>
      <c r="K25" s="99" t="s">
        <v>753</v>
      </c>
    </row>
    <row r="26" spans="3:11" x14ac:dyDescent="0.35">
      <c r="C26" s="24" t="s">
        <v>649</v>
      </c>
      <c r="D26" s="6" t="s">
        <v>754</v>
      </c>
      <c r="E26" s="6" t="s">
        <v>755</v>
      </c>
      <c r="F26" s="6" t="s">
        <v>654</v>
      </c>
      <c r="G26" s="6" t="s">
        <v>756</v>
      </c>
      <c r="H26" s="6" t="s">
        <v>757</v>
      </c>
      <c r="I26" s="6" t="s">
        <v>655</v>
      </c>
      <c r="J26" s="6" t="s">
        <v>656</v>
      </c>
      <c r="K26" s="99" t="s">
        <v>657</v>
      </c>
    </row>
    <row r="27" spans="3:11" x14ac:dyDescent="0.35">
      <c r="C27" s="24" t="s">
        <v>658</v>
      </c>
      <c r="D27" s="6" t="s">
        <v>758</v>
      </c>
      <c r="E27" s="6" t="s">
        <v>759</v>
      </c>
      <c r="F27" s="6" t="s">
        <v>663</v>
      </c>
      <c r="G27" s="6" t="s">
        <v>760</v>
      </c>
      <c r="H27" s="6" t="s">
        <v>761</v>
      </c>
      <c r="I27" s="6" t="s">
        <v>762</v>
      </c>
      <c r="J27" s="6" t="s">
        <v>763</v>
      </c>
      <c r="K27" s="99" t="s">
        <v>764</v>
      </c>
    </row>
    <row r="28" spans="3:11" x14ac:dyDescent="0.35">
      <c r="C28" s="24" t="s">
        <v>442</v>
      </c>
      <c r="D28" s="6" t="s">
        <v>765</v>
      </c>
      <c r="E28" s="6" t="s">
        <v>766</v>
      </c>
      <c r="F28" s="6" t="s">
        <v>671</v>
      </c>
      <c r="G28" s="6" t="s">
        <v>767</v>
      </c>
      <c r="H28" s="6" t="s">
        <v>768</v>
      </c>
      <c r="I28" s="6" t="s">
        <v>769</v>
      </c>
      <c r="J28" s="6" t="s">
        <v>770</v>
      </c>
      <c r="K28" s="99" t="s">
        <v>771</v>
      </c>
    </row>
    <row r="29" spans="3:11" x14ac:dyDescent="0.35">
      <c r="C29" s="24" t="s">
        <v>675</v>
      </c>
      <c r="D29" s="6" t="s">
        <v>772</v>
      </c>
      <c r="E29" s="6" t="s">
        <v>773</v>
      </c>
      <c r="F29" s="6" t="s">
        <v>680</v>
      </c>
      <c r="G29" s="6" t="s">
        <v>774</v>
      </c>
      <c r="H29" s="6" t="s">
        <v>775</v>
      </c>
      <c r="I29" s="6" t="s">
        <v>776</v>
      </c>
      <c r="J29" s="6" t="s">
        <v>777</v>
      </c>
      <c r="K29" s="99" t="s">
        <v>778</v>
      </c>
    </row>
    <row r="30" spans="3:11" x14ac:dyDescent="0.35">
      <c r="C30" s="24" t="s">
        <v>684</v>
      </c>
      <c r="D30" s="6" t="s">
        <v>779</v>
      </c>
      <c r="E30" s="6" t="s">
        <v>780</v>
      </c>
      <c r="F30" s="6" t="s">
        <v>689</v>
      </c>
      <c r="G30" s="6" t="s">
        <v>781</v>
      </c>
      <c r="H30" s="6" t="s">
        <v>782</v>
      </c>
      <c r="I30" s="6" t="s">
        <v>783</v>
      </c>
      <c r="J30" s="6" t="s">
        <v>784</v>
      </c>
      <c r="K30" s="99" t="s">
        <v>785</v>
      </c>
    </row>
    <row r="31" spans="3:11" x14ac:dyDescent="0.35">
      <c r="C31" s="24" t="s">
        <v>693</v>
      </c>
      <c r="D31" s="6" t="s">
        <v>786</v>
      </c>
      <c r="E31" s="6" t="s">
        <v>787</v>
      </c>
      <c r="F31" s="6" t="s">
        <v>698</v>
      </c>
      <c r="G31" s="6" t="s">
        <v>788</v>
      </c>
      <c r="H31" s="6" t="s">
        <v>789</v>
      </c>
      <c r="I31" s="6" t="s">
        <v>790</v>
      </c>
      <c r="J31" s="6" t="s">
        <v>791</v>
      </c>
      <c r="K31" s="99" t="s">
        <v>792</v>
      </c>
    </row>
    <row r="32" spans="3:11" x14ac:dyDescent="0.35">
      <c r="C32" s="24" t="s">
        <v>702</v>
      </c>
      <c r="D32" s="6" t="s">
        <v>793</v>
      </c>
      <c r="E32" s="6" t="s">
        <v>794</v>
      </c>
      <c r="F32" s="6" t="s">
        <v>707</v>
      </c>
      <c r="G32" s="6" t="s">
        <v>795</v>
      </c>
      <c r="H32" s="6" t="s">
        <v>796</v>
      </c>
      <c r="I32" s="6" t="s">
        <v>723</v>
      </c>
      <c r="J32" s="6" t="s">
        <v>797</v>
      </c>
      <c r="K32" s="99" t="s">
        <v>798</v>
      </c>
    </row>
    <row r="33" spans="3:11" x14ac:dyDescent="0.35">
      <c r="C33" s="24" t="s">
        <v>711</v>
      </c>
      <c r="D33" s="6" t="s">
        <v>799</v>
      </c>
      <c r="E33" s="6" t="s">
        <v>800</v>
      </c>
      <c r="F33" s="6" t="s">
        <v>715</v>
      </c>
      <c r="G33" s="6" t="s">
        <v>801</v>
      </c>
      <c r="H33" s="6" t="s">
        <v>802</v>
      </c>
      <c r="I33" s="6" t="s">
        <v>803</v>
      </c>
      <c r="J33" s="6" t="s">
        <v>804</v>
      </c>
      <c r="K33" s="99" t="s">
        <v>805</v>
      </c>
    </row>
    <row r="34" spans="3:11" x14ac:dyDescent="0.35">
      <c r="C34" s="24" t="s">
        <v>455</v>
      </c>
      <c r="D34" s="6" t="s">
        <v>806</v>
      </c>
      <c r="E34" s="6" t="s">
        <v>807</v>
      </c>
      <c r="F34" s="153" t="s">
        <v>723</v>
      </c>
      <c r="G34" s="6" t="s">
        <v>808</v>
      </c>
      <c r="H34" s="6" t="s">
        <v>809</v>
      </c>
      <c r="I34" s="6" t="s">
        <v>810</v>
      </c>
      <c r="J34" s="6" t="s">
        <v>811</v>
      </c>
      <c r="K34" s="99" t="s">
        <v>812</v>
      </c>
    </row>
    <row r="35" spans="3:11" ht="16" thickBot="1" x14ac:dyDescent="0.4">
      <c r="C35" s="102" t="s">
        <v>727</v>
      </c>
      <c r="D35" s="100" t="s">
        <v>813</v>
      </c>
      <c r="E35" s="100" t="s">
        <v>814</v>
      </c>
      <c r="F35" s="100" t="s">
        <v>732</v>
      </c>
      <c r="G35" s="100" t="s">
        <v>815</v>
      </c>
      <c r="H35" s="100" t="s">
        <v>816</v>
      </c>
      <c r="I35" s="100" t="s">
        <v>817</v>
      </c>
      <c r="J35" s="100" t="s">
        <v>730</v>
      </c>
      <c r="K35" s="101" t="s">
        <v>818</v>
      </c>
    </row>
    <row r="40" spans="3:11" x14ac:dyDescent="0.35">
      <c r="C40" t="s">
        <v>514</v>
      </c>
    </row>
    <row r="41" spans="3:11" x14ac:dyDescent="0.35">
      <c r="C41" s="261" t="s">
        <v>521</v>
      </c>
      <c r="D41" s="261"/>
      <c r="E41" s="261"/>
      <c r="G41" s="261" t="s">
        <v>515</v>
      </c>
      <c r="H41" s="261"/>
      <c r="I41" s="261"/>
    </row>
    <row r="42" spans="3:11" x14ac:dyDescent="0.35">
      <c r="D42" s="45">
        <v>44774</v>
      </c>
      <c r="E42" s="45">
        <v>44805</v>
      </c>
      <c r="H42" s="45">
        <v>44774</v>
      </c>
      <c r="I42" s="45">
        <v>44805</v>
      </c>
    </row>
    <row r="43" spans="3:11" x14ac:dyDescent="0.35">
      <c r="C43" t="s">
        <v>516</v>
      </c>
      <c r="D43" s="65">
        <v>76109</v>
      </c>
      <c r="E43" s="65">
        <v>114556</v>
      </c>
      <c r="G43" t="s">
        <v>516</v>
      </c>
      <c r="H43" s="65">
        <v>418253</v>
      </c>
      <c r="I43" s="65">
        <v>442863</v>
      </c>
    </row>
    <row r="44" spans="3:11" x14ac:dyDescent="0.35">
      <c r="C44" t="s">
        <v>441</v>
      </c>
      <c r="D44" s="65">
        <v>345840.81</v>
      </c>
      <c r="E44" s="65">
        <v>584033.76</v>
      </c>
      <c r="G44" t="s">
        <v>441</v>
      </c>
      <c r="H44" s="65">
        <v>452300.64</v>
      </c>
      <c r="I44" s="65">
        <v>467046.49</v>
      </c>
    </row>
    <row r="45" spans="3:11" x14ac:dyDescent="0.35">
      <c r="C45" s="14" t="s">
        <v>517</v>
      </c>
      <c r="D45" s="66">
        <f>D44/D43</f>
        <v>4.5440198925225666</v>
      </c>
      <c r="E45" s="66">
        <f>E44/E43</f>
        <v>5.0982380669716125</v>
      </c>
      <c r="G45" s="14" t="s">
        <v>517</v>
      </c>
      <c r="H45" s="66">
        <f>H44/H43</f>
        <v>1.0814044131183758</v>
      </c>
      <c r="I45" s="66">
        <f>I44/I43</f>
        <v>1.0546071584214531</v>
      </c>
    </row>
    <row r="47" spans="3:11" x14ac:dyDescent="0.35">
      <c r="C47" t="s">
        <v>465</v>
      </c>
      <c r="D47" s="65">
        <f>7.46*10000</f>
        <v>74600</v>
      </c>
      <c r="E47" s="65">
        <f>6.64*10000</f>
        <v>66400</v>
      </c>
      <c r="G47" t="s">
        <v>465</v>
      </c>
      <c r="H47" s="65">
        <f>9.69*10000</f>
        <v>96900</v>
      </c>
      <c r="I47" s="65">
        <f>9.32*10000</f>
        <v>93200</v>
      </c>
    </row>
    <row r="48" spans="3:11" x14ac:dyDescent="0.35">
      <c r="C48" s="14" t="s">
        <v>485</v>
      </c>
      <c r="D48" s="43">
        <f>D44-D47</f>
        <v>271240.81</v>
      </c>
      <c r="E48" s="43">
        <f>E44-E47</f>
        <v>517633.76</v>
      </c>
      <c r="G48" s="14" t="s">
        <v>485</v>
      </c>
      <c r="H48" s="43">
        <f>H44-H47</f>
        <v>355400.64</v>
      </c>
      <c r="I48" s="43">
        <f>I44-I47</f>
        <v>373846.49</v>
      </c>
    </row>
    <row r="51" spans="3:7" x14ac:dyDescent="0.35">
      <c r="C51" s="262" t="s">
        <v>518</v>
      </c>
      <c r="D51" s="262"/>
      <c r="E51" s="262"/>
      <c r="F51" s="262"/>
    </row>
    <row r="52" spans="3:7" x14ac:dyDescent="0.35">
      <c r="D52" s="15" t="s">
        <v>199</v>
      </c>
      <c r="E52" s="15" t="s">
        <v>198</v>
      </c>
      <c r="F52" s="15" t="s">
        <v>522</v>
      </c>
    </row>
    <row r="53" spans="3:7" x14ac:dyDescent="0.35">
      <c r="C53" t="s">
        <v>519</v>
      </c>
      <c r="D53" s="32">
        <v>100000</v>
      </c>
      <c r="E53" s="32">
        <v>80000</v>
      </c>
      <c r="F53" s="110">
        <v>300000</v>
      </c>
      <c r="G53" t="s">
        <v>942</v>
      </c>
    </row>
    <row r="54" spans="3:7" x14ac:dyDescent="0.35">
      <c r="C54" t="s">
        <v>520</v>
      </c>
      <c r="D54" s="32">
        <v>50000</v>
      </c>
      <c r="E54" s="32">
        <v>50000</v>
      </c>
      <c r="F54" s="110">
        <v>150000</v>
      </c>
      <c r="G54" t="s">
        <v>942</v>
      </c>
    </row>
    <row r="55" spans="3:7" x14ac:dyDescent="0.35">
      <c r="C55" t="s">
        <v>943</v>
      </c>
      <c r="D55" s="110">
        <v>200000</v>
      </c>
      <c r="E55" s="110">
        <v>350000</v>
      </c>
      <c r="F55" s="32"/>
    </row>
    <row r="58" spans="3:7" x14ac:dyDescent="0.35">
      <c r="D58" s="6"/>
      <c r="E58" s="6"/>
      <c r="F58" s="6"/>
      <c r="G58" s="6"/>
    </row>
    <row r="59" spans="3:7" x14ac:dyDescent="0.35">
      <c r="D59" s="6" t="s">
        <v>199</v>
      </c>
      <c r="E59" s="6" t="s">
        <v>198</v>
      </c>
      <c r="F59" s="15" t="s">
        <v>523</v>
      </c>
      <c r="G59" s="15" t="s">
        <v>522</v>
      </c>
    </row>
    <row r="60" spans="3:7" x14ac:dyDescent="0.35">
      <c r="C60" t="s">
        <v>519</v>
      </c>
      <c r="D60" s="32">
        <v>200000</v>
      </c>
      <c r="E60" s="32">
        <v>100000</v>
      </c>
      <c r="F60" s="154">
        <f>SUM(D60:E60)</f>
        <v>300000</v>
      </c>
      <c r="G60" s="110">
        <v>300000</v>
      </c>
    </row>
    <row r="61" spans="3:7" x14ac:dyDescent="0.35">
      <c r="C61" t="s">
        <v>520</v>
      </c>
      <c r="D61" s="32">
        <v>0</v>
      </c>
      <c r="E61" s="32">
        <v>150000</v>
      </c>
      <c r="F61" s="154">
        <f>SUM(D61:E61)</f>
        <v>150000</v>
      </c>
      <c r="G61" s="110">
        <v>150000</v>
      </c>
    </row>
    <row r="62" spans="3:7" x14ac:dyDescent="0.35">
      <c r="C62" s="14" t="s">
        <v>524</v>
      </c>
      <c r="D62" s="154">
        <f>SUM(D60:D61)</f>
        <v>200000</v>
      </c>
      <c r="E62" s="154">
        <f>SUM(E60:E61)</f>
        <v>250000</v>
      </c>
      <c r="F62" s="32"/>
      <c r="G62" s="32"/>
    </row>
    <row r="63" spans="3:7" x14ac:dyDescent="0.35">
      <c r="D63" s="110">
        <v>200000</v>
      </c>
      <c r="E63" s="110">
        <v>350000</v>
      </c>
      <c r="F63" s="32"/>
      <c r="G63" s="32"/>
    </row>
    <row r="64" spans="3:7" x14ac:dyDescent="0.35">
      <c r="C64" s="155" t="s">
        <v>525</v>
      </c>
      <c r="D64" s="156">
        <f>SUMPRODUCT(D60:E61,D53:E54)</f>
        <v>35500000000</v>
      </c>
      <c r="E64" s="32"/>
      <c r="F64" s="32"/>
      <c r="G64" s="32"/>
    </row>
  </sheetData>
  <mergeCells count="5">
    <mergeCell ref="C41:E41"/>
    <mergeCell ref="G41:I41"/>
    <mergeCell ref="C51:F51"/>
    <mergeCell ref="D6:K6"/>
    <mergeCell ref="D23:K23"/>
  </mergeCells>
  <pageMargins left="0.7" right="0.7" top="0.75" bottom="0.75" header="0.3" footer="0.3"/>
  <ignoredErrors>
    <ignoredError sqref="D7:K18 D24:K3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726FD-AEA4-5E44-BC2B-61D1F3B6604D}">
  <sheetPr codeName="Sheet10">
    <tabColor theme="8" tint="0.39997558519241921"/>
    <outlinePr summaryBelow="0"/>
  </sheetPr>
  <dimension ref="B1:F16"/>
  <sheetViews>
    <sheetView showGridLines="0" zoomScale="150" workbookViewId="0">
      <selection activeCell="E18" sqref="E18"/>
    </sheetView>
  </sheetViews>
  <sheetFormatPr defaultColWidth="10.6640625" defaultRowHeight="15.5" outlineLevelRow="1" outlineLevelCol="1" x14ac:dyDescent="0.35"/>
  <cols>
    <col min="3" max="3" width="6.83203125" bestFit="1" customWidth="1"/>
    <col min="4" max="6" width="15.5" bestFit="1" customWidth="1" outlineLevel="1"/>
  </cols>
  <sheetData>
    <row r="1" spans="2:6" ht="16" thickBot="1" x14ac:dyDescent="0.4"/>
    <row r="2" spans="2:6" ht="18.5" x14ac:dyDescent="0.45">
      <c r="B2" s="160" t="s">
        <v>947</v>
      </c>
      <c r="C2" s="160"/>
      <c r="D2" s="165"/>
      <c r="E2" s="165"/>
      <c r="F2" s="165"/>
    </row>
    <row r="3" spans="2:6" ht="18.5" collapsed="1" x14ac:dyDescent="0.45">
      <c r="B3" s="159"/>
      <c r="C3" s="159"/>
      <c r="D3" s="166" t="s">
        <v>949</v>
      </c>
      <c r="E3" s="174">
        <v>44531</v>
      </c>
      <c r="F3" s="174">
        <v>44896</v>
      </c>
    </row>
    <row r="4" spans="2:6" ht="21" hidden="1" outlineLevel="1" x14ac:dyDescent="0.35">
      <c r="B4" s="162"/>
      <c r="C4" s="162"/>
      <c r="E4" s="168" t="s">
        <v>958</v>
      </c>
      <c r="F4" s="168" t="s">
        <v>958</v>
      </c>
    </row>
    <row r="5" spans="2:6" x14ac:dyDescent="0.35">
      <c r="B5" s="163" t="s">
        <v>948</v>
      </c>
      <c r="C5" s="163"/>
      <c r="D5" s="161"/>
      <c r="E5" s="161"/>
      <c r="F5" s="161"/>
    </row>
    <row r="6" spans="2:6" outlineLevel="1" x14ac:dyDescent="0.35">
      <c r="B6" s="162"/>
      <c r="C6" s="162" t="s">
        <v>956</v>
      </c>
      <c r="D6" s="18">
        <v>26850000</v>
      </c>
      <c r="E6" s="169">
        <v>26850000</v>
      </c>
      <c r="F6" s="18">
        <v>26850000</v>
      </c>
    </row>
    <row r="7" spans="2:6" outlineLevel="1" x14ac:dyDescent="0.35">
      <c r="B7" s="162"/>
      <c r="C7" s="162" t="s">
        <v>957</v>
      </c>
      <c r="D7" s="18">
        <v>7906562</v>
      </c>
      <c r="E7" s="169">
        <v>7906562</v>
      </c>
      <c r="F7" s="18">
        <v>7906562</v>
      </c>
    </row>
    <row r="8" spans="2:6" outlineLevel="1" x14ac:dyDescent="0.35">
      <c r="B8" s="162"/>
      <c r="C8" s="162" t="s">
        <v>965</v>
      </c>
      <c r="D8" s="18">
        <v>1124542</v>
      </c>
      <c r="E8" s="169">
        <v>1124542</v>
      </c>
      <c r="F8" s="18">
        <v>1124542</v>
      </c>
    </row>
    <row r="9" spans="2:6" outlineLevel="1" x14ac:dyDescent="0.35">
      <c r="B9" s="162"/>
      <c r="C9" s="162" t="s">
        <v>954</v>
      </c>
      <c r="D9" s="18">
        <v>12900000</v>
      </c>
      <c r="E9" s="18">
        <v>12900000</v>
      </c>
      <c r="F9" s="169">
        <v>12900000</v>
      </c>
    </row>
    <row r="10" spans="2:6" outlineLevel="1" x14ac:dyDescent="0.35">
      <c r="B10" s="162"/>
      <c r="C10" s="162" t="s">
        <v>955</v>
      </c>
      <c r="D10" s="18">
        <v>8994310</v>
      </c>
      <c r="E10" s="18">
        <v>8994310</v>
      </c>
      <c r="F10" s="169">
        <v>8994310</v>
      </c>
    </row>
    <row r="11" spans="2:6" outlineLevel="1" x14ac:dyDescent="0.35">
      <c r="B11" s="162"/>
      <c r="C11" s="162" t="s">
        <v>964</v>
      </c>
      <c r="D11" s="18">
        <v>891621</v>
      </c>
      <c r="E11" s="18">
        <v>891621</v>
      </c>
      <c r="F11" s="169">
        <v>891621</v>
      </c>
    </row>
    <row r="12" spans="2:6" x14ac:dyDescent="0.35">
      <c r="B12" s="163" t="s">
        <v>950</v>
      </c>
      <c r="C12" s="163"/>
      <c r="D12" s="161"/>
      <c r="E12" s="161"/>
      <c r="F12" s="161"/>
    </row>
    <row r="13" spans="2:6" ht="16" outlineLevel="1" thickBot="1" x14ac:dyDescent="0.4">
      <c r="B13" s="164"/>
      <c r="C13" s="164" t="s">
        <v>966</v>
      </c>
      <c r="D13" s="131">
        <v>3014069</v>
      </c>
      <c r="E13" s="131">
        <v>3014069</v>
      </c>
      <c r="F13" s="131">
        <v>3014069</v>
      </c>
    </row>
    <row r="14" spans="2:6" x14ac:dyDescent="0.35">
      <c r="B14" t="s">
        <v>951</v>
      </c>
    </row>
    <row r="15" spans="2:6" x14ac:dyDescent="0.35">
      <c r="B15" t="s">
        <v>952</v>
      </c>
    </row>
    <row r="16" spans="2:6" x14ac:dyDescent="0.35">
      <c r="B16" t="s">
        <v>953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15E46-8097-3446-B96B-875D24A54AC5}">
  <sheetPr codeName="Sheet11">
    <tabColor theme="8" tint="0.39997558519241921"/>
    <outlinePr summaryBelow="0"/>
  </sheetPr>
  <dimension ref="B1:F16"/>
  <sheetViews>
    <sheetView showGridLines="0" zoomScale="191" workbookViewId="0">
      <selection activeCell="C6" sqref="C6:C11"/>
    </sheetView>
  </sheetViews>
  <sheetFormatPr defaultColWidth="10.6640625" defaultRowHeight="15.5" outlineLevelRow="1" outlineLevelCol="1" x14ac:dyDescent="0.35"/>
  <cols>
    <col min="3" max="3" width="6.83203125" bestFit="1" customWidth="1"/>
    <col min="4" max="6" width="15.5" bestFit="1" customWidth="1" outlineLevel="1"/>
  </cols>
  <sheetData>
    <row r="1" spans="2:6" ht="16" thickBot="1" x14ac:dyDescent="0.4"/>
    <row r="2" spans="2:6" ht="18.5" x14ac:dyDescent="0.45">
      <c r="B2" s="160" t="s">
        <v>947</v>
      </c>
      <c r="C2" s="160"/>
      <c r="D2" s="165"/>
      <c r="E2" s="165"/>
      <c r="F2" s="165"/>
    </row>
    <row r="3" spans="2:6" ht="18.5" collapsed="1" x14ac:dyDescent="0.45">
      <c r="B3" s="159"/>
      <c r="C3" s="159"/>
      <c r="D3" s="166" t="s">
        <v>949</v>
      </c>
      <c r="E3" s="174">
        <v>44531</v>
      </c>
      <c r="F3" s="174">
        <v>44896</v>
      </c>
    </row>
    <row r="4" spans="2:6" ht="21" hidden="1" outlineLevel="1" x14ac:dyDescent="0.35">
      <c r="B4" s="162"/>
      <c r="C4" s="162"/>
      <c r="E4" s="168" t="s">
        <v>958</v>
      </c>
      <c r="F4" s="168" t="s">
        <v>958</v>
      </c>
    </row>
    <row r="5" spans="2:6" x14ac:dyDescent="0.35">
      <c r="B5" s="163" t="s">
        <v>948</v>
      </c>
      <c r="C5" s="163"/>
      <c r="D5" s="161"/>
      <c r="E5" s="161"/>
      <c r="F5" s="161"/>
    </row>
    <row r="6" spans="2:6" outlineLevel="1" x14ac:dyDescent="0.35">
      <c r="B6" s="162"/>
      <c r="C6" s="162" t="s">
        <v>956</v>
      </c>
      <c r="D6" s="18">
        <v>26850000</v>
      </c>
      <c r="E6" s="169">
        <v>26850000</v>
      </c>
      <c r="F6" s="18">
        <v>26850000</v>
      </c>
    </row>
    <row r="7" spans="2:6" outlineLevel="1" x14ac:dyDescent="0.35">
      <c r="B7" s="162"/>
      <c r="C7" s="162" t="s">
        <v>957</v>
      </c>
      <c r="D7" s="18">
        <v>7906562</v>
      </c>
      <c r="E7" s="169">
        <v>7906562</v>
      </c>
      <c r="F7" s="18">
        <v>7906562</v>
      </c>
    </row>
    <row r="8" spans="2:6" outlineLevel="1" x14ac:dyDescent="0.35">
      <c r="B8" s="162"/>
      <c r="C8" s="162" t="s">
        <v>965</v>
      </c>
      <c r="D8" s="18">
        <v>1124542</v>
      </c>
      <c r="E8" s="169">
        <v>1124542</v>
      </c>
      <c r="F8" s="18">
        <v>1124542</v>
      </c>
    </row>
    <row r="9" spans="2:6" outlineLevel="1" x14ac:dyDescent="0.35">
      <c r="B9" s="162"/>
      <c r="C9" s="162" t="s">
        <v>954</v>
      </c>
      <c r="D9" s="18">
        <v>12900000</v>
      </c>
      <c r="E9" s="18">
        <v>12900000</v>
      </c>
      <c r="F9" s="169">
        <v>12900000</v>
      </c>
    </row>
    <row r="10" spans="2:6" outlineLevel="1" x14ac:dyDescent="0.35">
      <c r="B10" s="162"/>
      <c r="C10" s="162" t="s">
        <v>955</v>
      </c>
      <c r="D10" s="18">
        <v>8994310</v>
      </c>
      <c r="E10" s="18">
        <v>8994310</v>
      </c>
      <c r="F10" s="169">
        <v>8994310</v>
      </c>
    </row>
    <row r="11" spans="2:6" outlineLevel="1" x14ac:dyDescent="0.35">
      <c r="B11" s="162"/>
      <c r="C11" s="162" t="s">
        <v>964</v>
      </c>
      <c r="D11" s="18">
        <v>891621</v>
      </c>
      <c r="E11" s="18">
        <v>891621</v>
      </c>
      <c r="F11" s="169">
        <v>891621</v>
      </c>
    </row>
    <row r="12" spans="2:6" x14ac:dyDescent="0.35">
      <c r="B12" s="163" t="s">
        <v>950</v>
      </c>
      <c r="C12" s="163"/>
      <c r="D12" s="161"/>
      <c r="E12" s="161"/>
      <c r="F12" s="161"/>
    </row>
    <row r="13" spans="2:6" ht="16" outlineLevel="1" thickBot="1" x14ac:dyDescent="0.4">
      <c r="B13" s="164"/>
      <c r="C13" s="164" t="s">
        <v>969</v>
      </c>
      <c r="D13" s="131">
        <v>17818896</v>
      </c>
      <c r="E13" s="131">
        <v>17818896</v>
      </c>
      <c r="F13" s="131">
        <v>17818896</v>
      </c>
    </row>
    <row r="14" spans="2:6" x14ac:dyDescent="0.35">
      <c r="B14" t="s">
        <v>951</v>
      </c>
    </row>
    <row r="15" spans="2:6" x14ac:dyDescent="0.35">
      <c r="B15" t="s">
        <v>952</v>
      </c>
    </row>
    <row r="16" spans="2:6" x14ac:dyDescent="0.35">
      <c r="B16" t="s">
        <v>953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92F24-77D6-3143-8AD4-663E623D71D0}">
  <sheetPr codeName="Sheet12">
    <tabColor theme="8" tint="0.39997558519241921"/>
    <outlinePr summaryBelow="0"/>
  </sheetPr>
  <dimension ref="B1:E13"/>
  <sheetViews>
    <sheetView showGridLines="0" zoomScale="240" workbookViewId="0"/>
  </sheetViews>
  <sheetFormatPr defaultColWidth="10.6640625" defaultRowHeight="15.5" outlineLevelRow="1" outlineLevelCol="1" x14ac:dyDescent="0.35"/>
  <cols>
    <col min="3" max="3" width="10.5" bestFit="1" customWidth="1"/>
    <col min="4" max="5" width="15.5" bestFit="1" customWidth="1" outlineLevel="1"/>
  </cols>
  <sheetData>
    <row r="1" spans="2:5" ht="16" thickBot="1" x14ac:dyDescent="0.4"/>
    <row r="2" spans="2:5" ht="18.5" x14ac:dyDescent="0.45">
      <c r="B2" s="160" t="s">
        <v>947</v>
      </c>
      <c r="C2" s="160"/>
      <c r="D2" s="165"/>
      <c r="E2" s="165"/>
    </row>
    <row r="3" spans="2:5" ht="18.5" collapsed="1" x14ac:dyDescent="0.45">
      <c r="B3" s="159"/>
      <c r="C3" s="159"/>
      <c r="D3" s="166" t="s">
        <v>949</v>
      </c>
      <c r="E3" s="174">
        <v>44896</v>
      </c>
    </row>
    <row r="4" spans="2:5" ht="42" hidden="1" outlineLevel="1" x14ac:dyDescent="0.35">
      <c r="B4" s="162"/>
      <c r="C4" s="162"/>
      <c r="E4" s="168" t="s">
        <v>967</v>
      </c>
    </row>
    <row r="5" spans="2:5" x14ac:dyDescent="0.35">
      <c r="B5" s="163" t="s">
        <v>948</v>
      </c>
      <c r="C5" s="163"/>
      <c r="D5" s="161"/>
      <c r="E5" s="161"/>
    </row>
    <row r="6" spans="2:5" outlineLevel="1" x14ac:dyDescent="0.35">
      <c r="B6" s="162"/>
      <c r="C6" s="162" t="s">
        <v>970</v>
      </c>
      <c r="D6" s="18">
        <v>12900000</v>
      </c>
      <c r="E6" s="169">
        <v>12900000</v>
      </c>
    </row>
    <row r="7" spans="2:5" outlineLevel="1" x14ac:dyDescent="0.35">
      <c r="B7" s="162"/>
      <c r="C7" s="162" t="s">
        <v>971</v>
      </c>
      <c r="D7" s="18">
        <v>8994310</v>
      </c>
      <c r="E7" s="169">
        <v>8994310</v>
      </c>
    </row>
    <row r="8" spans="2:5" outlineLevel="1" x14ac:dyDescent="0.35">
      <c r="B8" s="162"/>
      <c r="C8" s="162" t="s">
        <v>972</v>
      </c>
      <c r="D8" s="18">
        <v>891621</v>
      </c>
      <c r="E8" s="169">
        <v>891621</v>
      </c>
    </row>
    <row r="9" spans="2:5" x14ac:dyDescent="0.35">
      <c r="B9" s="163" t="s">
        <v>950</v>
      </c>
      <c r="C9" s="163"/>
      <c r="D9" s="161"/>
      <c r="E9" s="161"/>
    </row>
    <row r="10" spans="2:5" ht="16" outlineLevel="1" thickBot="1" x14ac:dyDescent="0.4">
      <c r="B10" s="164"/>
      <c r="C10" s="164" t="s">
        <v>973</v>
      </c>
      <c r="D10" s="131">
        <v>3014069</v>
      </c>
      <c r="E10" s="131">
        <v>3014069</v>
      </c>
    </row>
    <row r="11" spans="2:5" x14ac:dyDescent="0.35">
      <c r="B11" t="s">
        <v>951</v>
      </c>
    </row>
    <row r="12" spans="2:5" x14ac:dyDescent="0.35">
      <c r="B12" t="s">
        <v>952</v>
      </c>
    </row>
    <row r="13" spans="2:5" x14ac:dyDescent="0.35">
      <c r="B13" t="s">
        <v>953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382B9-53AA-B14A-B339-409BEC841269}">
  <sheetPr codeName="Sheet13">
    <tabColor theme="8" tint="0.39997558519241921"/>
  </sheetPr>
  <dimension ref="B1:Q116"/>
  <sheetViews>
    <sheetView topLeftCell="D45" zoomScaleNormal="132" workbookViewId="0">
      <selection activeCell="K77" sqref="K77"/>
    </sheetView>
  </sheetViews>
  <sheetFormatPr defaultColWidth="10.6640625" defaultRowHeight="15.5" x14ac:dyDescent="0.35"/>
  <cols>
    <col min="2" max="2" width="34.83203125" bestFit="1" customWidth="1"/>
    <col min="3" max="3" width="22.6640625" customWidth="1"/>
    <col min="4" max="5" width="21.6640625" customWidth="1"/>
    <col min="8" max="8" width="35" bestFit="1" customWidth="1"/>
    <col min="9" max="9" width="19.83203125" customWidth="1"/>
    <col min="10" max="10" width="18.5" customWidth="1"/>
    <col min="11" max="11" width="19.33203125" customWidth="1"/>
    <col min="12" max="12" width="19.5" bestFit="1" customWidth="1"/>
    <col min="13" max="13" width="24.83203125" customWidth="1"/>
    <col min="14" max="14" width="20.33203125" customWidth="1"/>
    <col min="15" max="16" width="19.5" bestFit="1" customWidth="1"/>
    <col min="17" max="17" width="24.83203125" bestFit="1" customWidth="1"/>
    <col min="18" max="18" width="15.5" bestFit="1" customWidth="1"/>
  </cols>
  <sheetData>
    <row r="1" spans="2:10" ht="16" thickBot="1" x14ac:dyDescent="0.4"/>
    <row r="2" spans="2:10" x14ac:dyDescent="0.35">
      <c r="B2" s="265" t="s">
        <v>421</v>
      </c>
      <c r="C2" s="266"/>
      <c r="D2" s="266"/>
      <c r="E2" s="267"/>
      <c r="I2" s="15">
        <v>2022</v>
      </c>
    </row>
    <row r="3" spans="2:10" x14ac:dyDescent="0.35">
      <c r="B3" s="22" t="s">
        <v>431</v>
      </c>
      <c r="C3" s="15">
        <v>2020</v>
      </c>
      <c r="D3" s="15">
        <v>2021</v>
      </c>
      <c r="E3" s="23">
        <v>2022</v>
      </c>
      <c r="H3" s="14" t="s">
        <v>483</v>
      </c>
      <c r="I3" s="42">
        <v>129.26</v>
      </c>
      <c r="J3" t="s">
        <v>484</v>
      </c>
    </row>
    <row r="4" spans="2:10" x14ac:dyDescent="0.35">
      <c r="B4" s="24" t="s">
        <v>425</v>
      </c>
      <c r="E4" s="25"/>
      <c r="H4" s="14" t="s">
        <v>437</v>
      </c>
      <c r="I4">
        <f>(14.85*1000000)/12</f>
        <v>1237500</v>
      </c>
      <c r="J4" t="s">
        <v>480</v>
      </c>
    </row>
    <row r="5" spans="2:10" x14ac:dyDescent="0.35">
      <c r="B5" s="26" t="s">
        <v>422</v>
      </c>
      <c r="C5" s="18">
        <v>1200671828</v>
      </c>
      <c r="D5" s="18">
        <v>1041146408</v>
      </c>
      <c r="E5" s="27">
        <v>1689971348</v>
      </c>
      <c r="H5" s="14" t="s">
        <v>440</v>
      </c>
      <c r="I5" s="32">
        <f>I4*E23</f>
        <v>286976.25</v>
      </c>
      <c r="J5" t="s">
        <v>481</v>
      </c>
    </row>
    <row r="6" spans="2:10" x14ac:dyDescent="0.35">
      <c r="B6" s="26" t="s">
        <v>423</v>
      </c>
      <c r="C6" s="18">
        <v>77242260</v>
      </c>
      <c r="D6" s="18">
        <v>88053843</v>
      </c>
      <c r="E6" s="27">
        <v>174812244</v>
      </c>
      <c r="H6" s="14" t="s">
        <v>438</v>
      </c>
      <c r="I6" s="32">
        <f>105361/12</f>
        <v>8780.0833333333339</v>
      </c>
      <c r="J6" t="s">
        <v>480</v>
      </c>
    </row>
    <row r="7" spans="2:10" x14ac:dyDescent="0.35">
      <c r="B7" s="26" t="s">
        <v>424</v>
      </c>
      <c r="C7" s="18">
        <v>214417011</v>
      </c>
      <c r="D7" s="18">
        <v>207478219</v>
      </c>
      <c r="E7" s="27">
        <v>235295576</v>
      </c>
      <c r="H7" s="14" t="s">
        <v>461</v>
      </c>
      <c r="I7" s="43">
        <f>I3*I4</f>
        <v>159959250</v>
      </c>
    </row>
    <row r="8" spans="2:10" x14ac:dyDescent="0.35">
      <c r="B8" s="26"/>
      <c r="C8" s="19">
        <f>SUM(C5:C7)</f>
        <v>1492331099</v>
      </c>
      <c r="D8" s="19">
        <f>SUM(D5:D7)</f>
        <v>1336678470</v>
      </c>
      <c r="E8" s="28">
        <f>SUM(E5:E7)</f>
        <v>2100079168</v>
      </c>
      <c r="H8" s="14"/>
    </row>
    <row r="9" spans="2:10" x14ac:dyDescent="0.35">
      <c r="B9" s="24" t="s">
        <v>426</v>
      </c>
      <c r="C9" s="18"/>
      <c r="D9" s="18"/>
      <c r="E9" s="27"/>
      <c r="H9" s="14" t="s">
        <v>476</v>
      </c>
    </row>
    <row r="10" spans="2:10" x14ac:dyDescent="0.35">
      <c r="B10" s="26" t="s">
        <v>427</v>
      </c>
      <c r="C10" s="18">
        <v>1653741214</v>
      </c>
      <c r="D10" s="18">
        <v>1484323240</v>
      </c>
      <c r="E10" s="27">
        <v>-1490352099</v>
      </c>
      <c r="H10" s="14" t="s">
        <v>477</v>
      </c>
      <c r="I10" s="18">
        <f>E10</f>
        <v>-1490352099</v>
      </c>
    </row>
    <row r="11" spans="2:10" x14ac:dyDescent="0.35">
      <c r="B11" s="26" t="s">
        <v>428</v>
      </c>
      <c r="C11" s="18">
        <v>800558373</v>
      </c>
      <c r="D11" s="18">
        <v>-559241814</v>
      </c>
      <c r="E11" s="27">
        <v>-407471304</v>
      </c>
      <c r="H11" s="14" t="s">
        <v>429</v>
      </c>
      <c r="I11" s="18">
        <f>E12</f>
        <v>-236781145</v>
      </c>
    </row>
    <row r="12" spans="2:10" x14ac:dyDescent="0.35">
      <c r="B12" s="26" t="s">
        <v>429</v>
      </c>
      <c r="C12" s="18">
        <v>350253350</v>
      </c>
      <c r="D12" s="18">
        <v>-192180422</v>
      </c>
      <c r="E12" s="27">
        <v>-236781145</v>
      </c>
      <c r="H12" s="14" t="s">
        <v>433</v>
      </c>
      <c r="I12" s="18">
        <f>E15</f>
        <v>-96645016</v>
      </c>
    </row>
    <row r="13" spans="2:10" x14ac:dyDescent="0.35">
      <c r="B13" s="26" t="s">
        <v>430</v>
      </c>
      <c r="C13" s="18">
        <v>184974225</v>
      </c>
      <c r="D13" s="18">
        <v>-153719394</v>
      </c>
      <c r="E13" s="27">
        <v>-145754891</v>
      </c>
      <c r="H13" s="14" t="s">
        <v>478</v>
      </c>
      <c r="I13" s="18">
        <f>E17</f>
        <v>-10699453</v>
      </c>
    </row>
    <row r="14" spans="2:10" x14ac:dyDescent="0.35">
      <c r="B14" s="26" t="s">
        <v>432</v>
      </c>
      <c r="C14" s="18">
        <v>129234980</v>
      </c>
      <c r="D14" s="18">
        <v>-94878738</v>
      </c>
      <c r="E14" s="27">
        <v>-107931719</v>
      </c>
      <c r="I14" s="18">
        <f>SUM(I10:I13)</f>
        <v>-1834477713</v>
      </c>
      <c r="J14" t="s">
        <v>479</v>
      </c>
    </row>
    <row r="15" spans="2:10" x14ac:dyDescent="0.35">
      <c r="B15" s="26" t="s">
        <v>433</v>
      </c>
      <c r="C15" s="18">
        <v>133279727</v>
      </c>
      <c r="D15" s="18">
        <v>-81741861</v>
      </c>
      <c r="E15" s="27">
        <v>-96645016</v>
      </c>
      <c r="I15" s="18">
        <f>I14/12</f>
        <v>-152873142.75</v>
      </c>
      <c r="J15" t="s">
        <v>482</v>
      </c>
    </row>
    <row r="16" spans="2:10" x14ac:dyDescent="0.35">
      <c r="B16" s="26" t="s">
        <v>434</v>
      </c>
      <c r="C16" s="18">
        <v>23416387</v>
      </c>
      <c r="D16" s="18">
        <v>-22215692</v>
      </c>
      <c r="E16" s="27">
        <v>-19832325</v>
      </c>
    </row>
    <row r="17" spans="2:13" x14ac:dyDescent="0.35">
      <c r="B17" s="26" t="s">
        <v>435</v>
      </c>
      <c r="C17" s="18">
        <v>20205283</v>
      </c>
      <c r="D17" s="18">
        <v>-13494498</v>
      </c>
      <c r="E17" s="27">
        <v>-10699453</v>
      </c>
      <c r="H17" s="14" t="s">
        <v>485</v>
      </c>
      <c r="I17" s="43">
        <f>I7-I15</f>
        <v>312832392.75</v>
      </c>
    </row>
    <row r="18" spans="2:13" x14ac:dyDescent="0.35">
      <c r="B18" s="26" t="s">
        <v>436</v>
      </c>
      <c r="C18" s="18">
        <v>8163104</v>
      </c>
      <c r="D18" s="18">
        <v>-7226631</v>
      </c>
      <c r="E18" s="27">
        <v>-4069433</v>
      </c>
    </row>
    <row r="19" spans="2:13" ht="16" thickBot="1" x14ac:dyDescent="0.4">
      <c r="B19" s="29"/>
      <c r="C19" s="30">
        <f>SUM(C10:C18)</f>
        <v>3303826643</v>
      </c>
      <c r="D19" s="30">
        <f>SUM(D10:D18)</f>
        <v>359624190</v>
      </c>
      <c r="E19" s="31">
        <f>SUM(E10:E18)</f>
        <v>-2519537385</v>
      </c>
      <c r="M19" t="s">
        <v>489</v>
      </c>
    </row>
    <row r="20" spans="2:13" ht="16" thickBot="1" x14ac:dyDescent="0.4">
      <c r="C20" s="19"/>
      <c r="D20" s="19"/>
      <c r="E20" s="19"/>
    </row>
    <row r="21" spans="2:13" x14ac:dyDescent="0.35">
      <c r="B21" s="33" t="s">
        <v>437</v>
      </c>
      <c r="C21" s="34">
        <v>10.81</v>
      </c>
      <c r="D21" s="34">
        <v>10.96</v>
      </c>
      <c r="E21" s="35">
        <v>14.85</v>
      </c>
      <c r="H21" t="s">
        <v>483</v>
      </c>
      <c r="I21" s="42">
        <v>129.26</v>
      </c>
    </row>
    <row r="22" spans="2:13" x14ac:dyDescent="0.35">
      <c r="B22" s="26" t="s">
        <v>459</v>
      </c>
      <c r="C22">
        <v>235400</v>
      </c>
      <c r="D22">
        <v>283636</v>
      </c>
      <c r="E22" s="25">
        <v>187305</v>
      </c>
      <c r="H22" t="s">
        <v>437</v>
      </c>
    </row>
    <row r="23" spans="2:13" x14ac:dyDescent="0.35">
      <c r="B23" s="26" t="s">
        <v>444</v>
      </c>
      <c r="C23" s="36">
        <v>0.27660000000000001</v>
      </c>
      <c r="D23" s="36">
        <v>0.25280000000000002</v>
      </c>
      <c r="E23" s="37">
        <v>0.2319</v>
      </c>
      <c r="H23" s="14" t="s">
        <v>420</v>
      </c>
      <c r="I23" s="43">
        <f>I21*I22</f>
        <v>0</v>
      </c>
    </row>
    <row r="24" spans="2:13" x14ac:dyDescent="0.35">
      <c r="B24" s="26" t="s">
        <v>445</v>
      </c>
      <c r="C24">
        <v>12.49</v>
      </c>
      <c r="D24">
        <v>10.98</v>
      </c>
      <c r="E24" s="25">
        <v>16.920000000000002</v>
      </c>
    </row>
    <row r="25" spans="2:13" x14ac:dyDescent="0.35">
      <c r="B25" s="26" t="s">
        <v>442</v>
      </c>
      <c r="C25" s="36">
        <v>0.45169999999999999</v>
      </c>
      <c r="D25" s="36">
        <v>0.43419999999999997</v>
      </c>
      <c r="E25" s="37">
        <v>0.72940000000000005</v>
      </c>
      <c r="H25" t="s">
        <v>477</v>
      </c>
      <c r="I25" s="18">
        <f>I10/12</f>
        <v>-124196008.25</v>
      </c>
    </row>
    <row r="26" spans="2:13" x14ac:dyDescent="0.35">
      <c r="B26" s="26" t="s">
        <v>443</v>
      </c>
      <c r="C26">
        <v>890.55</v>
      </c>
      <c r="D26">
        <v>933.74</v>
      </c>
      <c r="E26" s="25">
        <v>803.69</v>
      </c>
      <c r="H26" t="s">
        <v>429</v>
      </c>
      <c r="I26" s="18">
        <f>I11/12</f>
        <v>-19731762.083333332</v>
      </c>
    </row>
    <row r="27" spans="2:13" x14ac:dyDescent="0.35">
      <c r="B27" s="26" t="s">
        <v>446</v>
      </c>
      <c r="C27">
        <v>460.58</v>
      </c>
      <c r="D27">
        <v>577.95000000000005</v>
      </c>
      <c r="E27" s="25">
        <v>339.58</v>
      </c>
      <c r="H27" t="s">
        <v>433</v>
      </c>
      <c r="I27" s="18">
        <f>I12/12</f>
        <v>-8053751.333333333</v>
      </c>
    </row>
    <row r="28" spans="2:13" x14ac:dyDescent="0.35">
      <c r="B28" s="26" t="s">
        <v>447</v>
      </c>
      <c r="C28" s="36">
        <v>0.51719999999999999</v>
      </c>
      <c r="D28" s="36">
        <v>0.61899999999999999</v>
      </c>
      <c r="E28" s="37">
        <v>0.42249999999999999</v>
      </c>
      <c r="H28" t="s">
        <v>478</v>
      </c>
      <c r="I28" s="18">
        <f>I13/12</f>
        <v>-891621.08333333337</v>
      </c>
    </row>
    <row r="29" spans="2:13" x14ac:dyDescent="0.35">
      <c r="B29" s="26" t="s">
        <v>448</v>
      </c>
      <c r="C29" s="38">
        <v>0.17291666666666669</v>
      </c>
      <c r="D29" s="38">
        <v>0.20902777777777778</v>
      </c>
      <c r="E29" s="39">
        <v>0.30277777777777776</v>
      </c>
      <c r="H29" s="14" t="s">
        <v>487</v>
      </c>
      <c r="I29" s="19">
        <f>-SUM(I25:I28)</f>
        <v>152873142.75000003</v>
      </c>
    </row>
    <row r="30" spans="2:13" x14ac:dyDescent="0.35">
      <c r="B30" s="26" t="s">
        <v>449</v>
      </c>
      <c r="C30">
        <v>130362</v>
      </c>
      <c r="D30">
        <v>117156</v>
      </c>
      <c r="E30" s="25">
        <v>105361</v>
      </c>
      <c r="M30" t="s">
        <v>486</v>
      </c>
    </row>
    <row r="31" spans="2:13" x14ac:dyDescent="0.35">
      <c r="B31" s="26" t="s">
        <v>450</v>
      </c>
      <c r="C31" s="36">
        <v>0.91200000000000003</v>
      </c>
      <c r="D31" s="36">
        <v>0.93799999999999994</v>
      </c>
      <c r="E31" s="37">
        <v>0.83699999999999997</v>
      </c>
      <c r="H31" s="14" t="s">
        <v>485</v>
      </c>
      <c r="I31" s="43">
        <f>I23-I29</f>
        <v>-152873142.75000003</v>
      </c>
      <c r="M31" t="s">
        <v>488</v>
      </c>
    </row>
    <row r="32" spans="2:13" x14ac:dyDescent="0.35">
      <c r="B32" s="26" t="s">
        <v>451</v>
      </c>
      <c r="C32">
        <v>864.6</v>
      </c>
      <c r="D32">
        <v>773.89</v>
      </c>
      <c r="E32" s="25">
        <v>755.38</v>
      </c>
    </row>
    <row r="33" spans="2:11" x14ac:dyDescent="0.35">
      <c r="B33" s="26" t="s">
        <v>452</v>
      </c>
      <c r="C33">
        <v>261092.12</v>
      </c>
      <c r="D33">
        <v>237752.05</v>
      </c>
      <c r="E33" s="25">
        <v>218138.38</v>
      </c>
    </row>
    <row r="34" spans="2:11" x14ac:dyDescent="0.35">
      <c r="B34" s="26" t="s">
        <v>453</v>
      </c>
      <c r="C34">
        <v>7.28</v>
      </c>
      <c r="D34">
        <v>6.31</v>
      </c>
      <c r="E34" s="25">
        <v>8.41</v>
      </c>
      <c r="I34" s="45">
        <v>44531</v>
      </c>
      <c r="J34" s="45">
        <v>44896</v>
      </c>
      <c r="K34" s="45"/>
    </row>
    <row r="35" spans="2:11" x14ac:dyDescent="0.35">
      <c r="B35" s="26" t="s">
        <v>454</v>
      </c>
      <c r="C35">
        <v>57.64</v>
      </c>
      <c r="D35">
        <v>57.36</v>
      </c>
      <c r="E35" s="25">
        <v>65.819999999999993</v>
      </c>
      <c r="H35" s="84" t="s">
        <v>491</v>
      </c>
      <c r="I35" s="151">
        <v>1215868</v>
      </c>
      <c r="J35" s="151">
        <v>1620064</v>
      </c>
      <c r="K35" s="18"/>
    </row>
    <row r="36" spans="2:11" x14ac:dyDescent="0.35">
      <c r="B36" s="26" t="s">
        <v>455</v>
      </c>
      <c r="C36">
        <v>6.63</v>
      </c>
      <c r="D36">
        <v>6.03</v>
      </c>
      <c r="E36" s="25">
        <v>6.89</v>
      </c>
      <c r="H36" s="84" t="s">
        <v>490</v>
      </c>
      <c r="I36" s="114">
        <f>1921100/14947.9</f>
        <v>128.51972517878767</v>
      </c>
      <c r="J36" s="114">
        <f>1921100/14947.9</f>
        <v>128.51972517878767</v>
      </c>
      <c r="K36" s="18"/>
    </row>
    <row r="37" spans="2:11" x14ac:dyDescent="0.35">
      <c r="B37" s="26" t="s">
        <v>456</v>
      </c>
      <c r="C37">
        <v>5.18</v>
      </c>
      <c r="D37">
        <v>4.43</v>
      </c>
      <c r="E37" s="25">
        <v>3.92</v>
      </c>
      <c r="H37" s="14" t="s">
        <v>492</v>
      </c>
      <c r="I37" s="19">
        <f>I35*I36</f>
        <v>156263021.2136822</v>
      </c>
      <c r="J37" s="19">
        <f>J35*J36</f>
        <v>208210180.05204746</v>
      </c>
      <c r="K37" s="19"/>
    </row>
    <row r="38" spans="2:11" x14ac:dyDescent="0.35">
      <c r="B38" s="26" t="s">
        <v>457</v>
      </c>
      <c r="C38">
        <v>46.38</v>
      </c>
      <c r="D38">
        <v>52.41</v>
      </c>
      <c r="E38" s="25">
        <v>91.01</v>
      </c>
    </row>
    <row r="39" spans="2:11" ht="16" thickBot="1" x14ac:dyDescent="0.4">
      <c r="B39" s="29" t="s">
        <v>458</v>
      </c>
      <c r="C39" s="40">
        <v>14105</v>
      </c>
      <c r="D39" s="40">
        <v>14269</v>
      </c>
      <c r="E39" s="41">
        <v>15731</v>
      </c>
      <c r="H39" t="s">
        <v>429</v>
      </c>
      <c r="I39" s="18">
        <f>-192180422/12</f>
        <v>-16015035.166666666</v>
      </c>
      <c r="J39" s="18">
        <f>-236781145/12</f>
        <v>-19731762.083333332</v>
      </c>
      <c r="K39" s="18"/>
    </row>
    <row r="40" spans="2:11" x14ac:dyDescent="0.35">
      <c r="H40" t="s">
        <v>432</v>
      </c>
      <c r="I40" s="18">
        <f>-94878738/12</f>
        <v>-7906561.5</v>
      </c>
      <c r="J40" s="18">
        <f>-107931719/12</f>
        <v>-8994309.916666666</v>
      </c>
      <c r="K40" s="18"/>
    </row>
    <row r="41" spans="2:11" x14ac:dyDescent="0.35">
      <c r="H41" t="s">
        <v>436</v>
      </c>
      <c r="I41" s="18">
        <f>-7226631/12</f>
        <v>-602219.25</v>
      </c>
      <c r="J41" s="18">
        <f>-4069433/12</f>
        <v>-339119.41666666669</v>
      </c>
      <c r="K41" s="18"/>
    </row>
    <row r="42" spans="2:11" x14ac:dyDescent="0.35">
      <c r="B42" s="14" t="s">
        <v>462</v>
      </c>
      <c r="H42" t="s">
        <v>435</v>
      </c>
      <c r="I42" s="18">
        <f>-13494498/12</f>
        <v>-1124541.5</v>
      </c>
      <c r="J42" s="18">
        <f>-10699453/12</f>
        <v>-891621.08333333337</v>
      </c>
      <c r="K42" s="18"/>
    </row>
    <row r="43" spans="2:11" x14ac:dyDescent="0.35">
      <c r="B43" t="s">
        <v>440</v>
      </c>
      <c r="C43" t="s">
        <v>463</v>
      </c>
      <c r="H43" s="14" t="s">
        <v>493</v>
      </c>
      <c r="I43" s="18">
        <f>-SUM(I39:I42)</f>
        <v>25648357.416666664</v>
      </c>
      <c r="J43" s="18">
        <f>-SUM(J39:J42)</f>
        <v>29956812.5</v>
      </c>
      <c r="K43" s="18"/>
    </row>
    <row r="44" spans="2:11" x14ac:dyDescent="0.35">
      <c r="B44" t="s">
        <v>441</v>
      </c>
      <c r="C44" t="s">
        <v>464</v>
      </c>
    </row>
    <row r="45" spans="2:11" x14ac:dyDescent="0.35">
      <c r="B45" t="s">
        <v>465</v>
      </c>
      <c r="C45" t="s">
        <v>466</v>
      </c>
      <c r="H45" s="14" t="s">
        <v>495</v>
      </c>
      <c r="I45" s="19">
        <f>I37-I43</f>
        <v>130614663.79701555</v>
      </c>
      <c r="J45" s="19">
        <f>J37-J43</f>
        <v>178253367.55204746</v>
      </c>
      <c r="K45" s="19"/>
    </row>
    <row r="46" spans="2:11" x14ac:dyDescent="0.35">
      <c r="B46" t="s">
        <v>467</v>
      </c>
      <c r="C46" t="s">
        <v>471</v>
      </c>
    </row>
    <row r="47" spans="2:11" x14ac:dyDescent="0.35">
      <c r="B47" t="s">
        <v>468</v>
      </c>
      <c r="C47" t="s">
        <v>474</v>
      </c>
    </row>
    <row r="48" spans="2:11" x14ac:dyDescent="0.35">
      <c r="B48" t="s">
        <v>469</v>
      </c>
      <c r="C48" t="s">
        <v>475</v>
      </c>
      <c r="H48" t="s">
        <v>496</v>
      </c>
    </row>
    <row r="49" spans="2:15" x14ac:dyDescent="0.35">
      <c r="B49" t="s">
        <v>470</v>
      </c>
      <c r="C49" t="s">
        <v>472</v>
      </c>
      <c r="H49" t="s">
        <v>497</v>
      </c>
    </row>
    <row r="50" spans="2:15" ht="16" thickBot="1" x14ac:dyDescent="0.4">
      <c r="B50" t="s">
        <v>439</v>
      </c>
      <c r="C50" t="s">
        <v>473</v>
      </c>
    </row>
    <row r="51" spans="2:15" x14ac:dyDescent="0.35">
      <c r="H51" s="46" t="s">
        <v>498</v>
      </c>
    </row>
    <row r="52" spans="2:15" x14ac:dyDescent="0.35">
      <c r="H52" s="157">
        <f>I35+500</f>
        <v>1216368</v>
      </c>
    </row>
    <row r="53" spans="2:15" x14ac:dyDescent="0.35">
      <c r="H53" s="157">
        <f>H52+500</f>
        <v>1216868</v>
      </c>
    </row>
    <row r="54" spans="2:15" ht="16" thickBot="1" x14ac:dyDescent="0.4">
      <c r="H54" s="158">
        <f>H53+500</f>
        <v>1217368</v>
      </c>
    </row>
    <row r="59" spans="2:15" x14ac:dyDescent="0.35">
      <c r="M59" s="44" t="s">
        <v>494</v>
      </c>
    </row>
    <row r="60" spans="2:15" ht="16" thickBot="1" x14ac:dyDescent="0.4">
      <c r="H60" s="14" t="s">
        <v>501</v>
      </c>
    </row>
    <row r="61" spans="2:15" ht="16" thickBot="1" x14ac:dyDescent="0.4">
      <c r="H61" s="265" t="s">
        <v>499</v>
      </c>
      <c r="I61" s="266"/>
      <c r="J61" s="267"/>
      <c r="L61" s="14" t="s">
        <v>502</v>
      </c>
    </row>
    <row r="62" spans="2:15" x14ac:dyDescent="0.35">
      <c r="H62" s="22" t="s">
        <v>500</v>
      </c>
      <c r="I62" s="15" t="s">
        <v>934</v>
      </c>
      <c r="J62" s="23" t="s">
        <v>935</v>
      </c>
      <c r="L62" s="143"/>
      <c r="M62" s="53">
        <f>I45</f>
        <v>130614663.79701555</v>
      </c>
      <c r="N62" s="143"/>
      <c r="O62" s="54">
        <f>J37</f>
        <v>208210180.05204746</v>
      </c>
    </row>
    <row r="63" spans="2:15" x14ac:dyDescent="0.35">
      <c r="H63" s="48">
        <v>5000</v>
      </c>
      <c r="I63" s="18">
        <f>(I36*5%)+I36</f>
        <v>134.94571143772706</v>
      </c>
      <c r="J63" s="138">
        <f>I63*14497.8</f>
        <v>1956415.9352818793</v>
      </c>
      <c r="K63" s="18"/>
      <c r="L63" s="149">
        <v>135</v>
      </c>
      <c r="M63" s="18">
        <f t="dataTable" ref="M63:M66" dt2D="0" dtr="0" r1="I36"/>
        <v>138493822.58333334</v>
      </c>
      <c r="N63" s="149">
        <v>15000</v>
      </c>
      <c r="O63" s="27">
        <f t="dataTable" ref="O63:O66" dt2D="0" dtr="0" r1="J35"/>
        <v>1927795.8776818151</v>
      </c>
    </row>
    <row r="64" spans="2:15" x14ac:dyDescent="0.35">
      <c r="H64" s="48">
        <v>10000</v>
      </c>
      <c r="I64" s="18">
        <f t="shared" ref="I64:I71" si="0">(I63*5%)+I63</f>
        <v>141.69299700961341</v>
      </c>
      <c r="J64" s="138">
        <f t="shared" ref="J64:J71" si="1">I64*14497.8</f>
        <v>2054236.7320459732</v>
      </c>
      <c r="K64" s="18"/>
      <c r="L64" s="149">
        <v>142</v>
      </c>
      <c r="M64" s="18">
        <v>147004898.58333334</v>
      </c>
      <c r="N64" s="149">
        <v>20000</v>
      </c>
      <c r="O64" s="27">
        <v>2570394.5035757534</v>
      </c>
    </row>
    <row r="65" spans="8:17" x14ac:dyDescent="0.35">
      <c r="H65" s="48">
        <v>15000</v>
      </c>
      <c r="I65" s="18">
        <f t="shared" si="0"/>
        <v>148.77764686009408</v>
      </c>
      <c r="J65" s="138">
        <f t="shared" si="1"/>
        <v>2156948.5686482717</v>
      </c>
      <c r="K65" s="18"/>
      <c r="L65" s="149">
        <v>149</v>
      </c>
      <c r="M65" s="18">
        <v>155515974.58333334</v>
      </c>
      <c r="N65" s="149">
        <v>25000</v>
      </c>
      <c r="O65" s="27">
        <v>3212993.1294696918</v>
      </c>
    </row>
    <row r="66" spans="8:17" ht="16" thickBot="1" x14ac:dyDescent="0.4">
      <c r="H66" s="48">
        <v>20000</v>
      </c>
      <c r="I66" s="18">
        <f t="shared" si="0"/>
        <v>156.21652920309879</v>
      </c>
      <c r="J66" s="138">
        <f t="shared" si="1"/>
        <v>2264795.9970806856</v>
      </c>
      <c r="K66" s="18"/>
      <c r="L66" s="150">
        <v>156</v>
      </c>
      <c r="M66" s="131">
        <v>164027050.58333334</v>
      </c>
      <c r="N66" s="150">
        <v>30000</v>
      </c>
      <c r="O66" s="52">
        <v>3855591.7553636301</v>
      </c>
    </row>
    <row r="67" spans="8:17" x14ac:dyDescent="0.35">
      <c r="H67" s="48">
        <v>25000</v>
      </c>
      <c r="I67" s="18">
        <f t="shared" si="0"/>
        <v>164.02735566325373</v>
      </c>
      <c r="J67" s="138">
        <f t="shared" si="1"/>
        <v>2378035.7969347197</v>
      </c>
      <c r="K67" s="18"/>
    </row>
    <row r="68" spans="8:17" x14ac:dyDescent="0.35">
      <c r="H68" s="48">
        <v>30000</v>
      </c>
      <c r="I68" s="18">
        <f t="shared" si="0"/>
        <v>172.22872344641641</v>
      </c>
      <c r="J68" s="138">
        <f t="shared" si="1"/>
        <v>2496937.5867814557</v>
      </c>
      <c r="K68" s="18"/>
      <c r="L68" t="s">
        <v>931</v>
      </c>
      <c r="M68" s="32">
        <v>1620064</v>
      </c>
    </row>
    <row r="69" spans="8:17" x14ac:dyDescent="0.35">
      <c r="H69" s="48">
        <v>35000</v>
      </c>
      <c r="I69" s="18">
        <f t="shared" si="0"/>
        <v>180.84015961873723</v>
      </c>
      <c r="J69" s="138">
        <f t="shared" si="1"/>
        <v>2621784.4661205285</v>
      </c>
      <c r="K69" s="18"/>
      <c r="L69" t="s">
        <v>932</v>
      </c>
      <c r="M69" s="17">
        <v>1870229</v>
      </c>
      <c r="N69" s="32"/>
    </row>
    <row r="70" spans="8:17" x14ac:dyDescent="0.35">
      <c r="H70" s="48">
        <v>40000</v>
      </c>
      <c r="I70" s="18">
        <f t="shared" si="0"/>
        <v>189.88216759967409</v>
      </c>
      <c r="J70" s="138">
        <f t="shared" si="1"/>
        <v>2752873.6894265548</v>
      </c>
      <c r="K70" s="18"/>
      <c r="L70" s="137" t="s">
        <v>933</v>
      </c>
      <c r="M70" s="152">
        <f>M69*M68</f>
        <v>3029890674656</v>
      </c>
    </row>
    <row r="71" spans="8:17" ht="16" thickBot="1" x14ac:dyDescent="0.4">
      <c r="H71" s="49">
        <v>45000</v>
      </c>
      <c r="I71" s="131">
        <f t="shared" si="0"/>
        <v>199.37627597965781</v>
      </c>
      <c r="J71" s="139">
        <f t="shared" si="1"/>
        <v>2890517.3738978826</v>
      </c>
      <c r="K71" s="18"/>
    </row>
    <row r="73" spans="8:17" x14ac:dyDescent="0.35">
      <c r="H73" s="144">
        <f>M70</f>
        <v>3029890674656</v>
      </c>
      <c r="I73" s="145">
        <f>J63</f>
        <v>1956415.9352818793</v>
      </c>
      <c r="J73" s="145">
        <f>J64</f>
        <v>2054236.7320459732</v>
      </c>
      <c r="K73" s="145">
        <f>J65</f>
        <v>2156948.5686482717</v>
      </c>
      <c r="L73" s="145">
        <f>J66</f>
        <v>2264795.9970806856</v>
      </c>
      <c r="M73" s="145">
        <f>J67</f>
        <v>2378035.7969347197</v>
      </c>
      <c r="N73" s="145">
        <f>J68</f>
        <v>2496937.5867814557</v>
      </c>
      <c r="O73" s="145">
        <f>J69</f>
        <v>2621784.4661205285</v>
      </c>
      <c r="P73" s="145">
        <f>J70</f>
        <v>2752873.6894265548</v>
      </c>
      <c r="Q73" s="146">
        <f>J71</f>
        <v>2890517.3738978826</v>
      </c>
    </row>
    <row r="74" spans="8:17" x14ac:dyDescent="0.35">
      <c r="H74" s="147">
        <v>5000</v>
      </c>
      <c r="I74" s="17">
        <f t="dataTable" ref="I74:Q82" dt2D="1" dtr="1" r1="M68" r2="M69"/>
        <v>9782079676.4093971</v>
      </c>
      <c r="J74" s="17">
        <v>10271183660.229866</v>
      </c>
      <c r="K74" s="17">
        <v>10784742843.241358</v>
      </c>
      <c r="L74" s="17">
        <v>11323979985.403427</v>
      </c>
      <c r="M74" s="17">
        <v>11890178984.673599</v>
      </c>
      <c r="N74" s="17">
        <v>12484687933.907278</v>
      </c>
      <c r="O74" s="17">
        <v>13108922330.602642</v>
      </c>
      <c r="P74" s="17">
        <v>13764368447.132774</v>
      </c>
      <c r="Q74" s="140">
        <v>14452586869.489412</v>
      </c>
    </row>
    <row r="75" spans="8:17" x14ac:dyDescent="0.35">
      <c r="H75" s="147">
        <v>10000</v>
      </c>
      <c r="I75" s="17">
        <v>19564159352.818794</v>
      </c>
      <c r="J75" s="17">
        <v>20542367320.459732</v>
      </c>
      <c r="K75" s="17">
        <v>21569485686.482716</v>
      </c>
      <c r="L75" s="17">
        <v>22647959970.806854</v>
      </c>
      <c r="M75" s="17">
        <v>23780357969.347198</v>
      </c>
      <c r="N75" s="17">
        <v>24969375867.814556</v>
      </c>
      <c r="O75" s="17">
        <v>26217844661.205284</v>
      </c>
      <c r="P75" s="17">
        <v>27528736894.265549</v>
      </c>
      <c r="Q75" s="140">
        <v>28905173738.978825</v>
      </c>
    </row>
    <row r="76" spans="8:17" x14ac:dyDescent="0.35">
      <c r="H76" s="147">
        <v>15000</v>
      </c>
      <c r="I76" s="17">
        <v>29346239029.228188</v>
      </c>
      <c r="J76" s="17">
        <v>30813550980.689598</v>
      </c>
      <c r="K76" s="17">
        <v>32354228529.724075</v>
      </c>
      <c r="L76" s="17">
        <v>33971939956.210285</v>
      </c>
      <c r="M76" s="17">
        <v>35670536954.020798</v>
      </c>
      <c r="N76" s="17">
        <v>37454063801.721832</v>
      </c>
      <c r="O76" s="17">
        <v>39326766991.80793</v>
      </c>
      <c r="P76" s="17">
        <v>41293105341.398323</v>
      </c>
      <c r="Q76" s="140">
        <v>43357760608.468239</v>
      </c>
    </row>
    <row r="77" spans="8:17" x14ac:dyDescent="0.35">
      <c r="H77" s="147">
        <v>20000</v>
      </c>
      <c r="I77" s="17">
        <v>39128318705.637589</v>
      </c>
      <c r="J77" s="17">
        <v>41084734640.919464</v>
      </c>
      <c r="K77" s="17">
        <v>43138971372.965431</v>
      </c>
      <c r="L77" s="17">
        <v>45295919941.613708</v>
      </c>
      <c r="M77" s="17">
        <v>47560715938.694397</v>
      </c>
      <c r="N77" s="17">
        <v>49938751735.629112</v>
      </c>
      <c r="O77" s="17">
        <v>52435689322.410568</v>
      </c>
      <c r="P77" s="17">
        <v>55057473788.531097</v>
      </c>
      <c r="Q77" s="140">
        <v>57810347477.957649</v>
      </c>
    </row>
    <row r="78" spans="8:17" x14ac:dyDescent="0.35">
      <c r="H78" s="147">
        <v>25000</v>
      </c>
      <c r="I78" s="17">
        <v>48910398382.046982</v>
      </c>
      <c r="J78" s="17">
        <v>51355918301.14933</v>
      </c>
      <c r="K78" s="17">
        <v>53923714216.206795</v>
      </c>
      <c r="L78" s="17">
        <v>56619899927.017136</v>
      </c>
      <c r="M78" s="17">
        <v>59450894923.367989</v>
      </c>
      <c r="N78" s="17">
        <v>62423439669.536392</v>
      </c>
      <c r="O78" s="17">
        <v>65544611653.013214</v>
      </c>
      <c r="P78" s="17">
        <v>68821842235.663864</v>
      </c>
      <c r="Q78" s="140">
        <v>72262934347.447067</v>
      </c>
    </row>
    <row r="79" spans="8:17" x14ac:dyDescent="0.35">
      <c r="H79" s="147">
        <v>30000</v>
      </c>
      <c r="I79" s="17">
        <v>58692478058.456375</v>
      </c>
      <c r="J79" s="17">
        <v>61627101961.379196</v>
      </c>
      <c r="K79" s="17">
        <v>64708457059.448151</v>
      </c>
      <c r="L79" s="17">
        <v>67943879912.42057</v>
      </c>
      <c r="M79" s="17">
        <v>71341073908.041595</v>
      </c>
      <c r="N79" s="17">
        <v>74908127603.443665</v>
      </c>
      <c r="O79" s="17">
        <v>78653533983.61586</v>
      </c>
      <c r="P79" s="17">
        <v>82586210682.796646</v>
      </c>
      <c r="Q79" s="140">
        <v>86715521216.936478</v>
      </c>
    </row>
    <row r="80" spans="8:17" x14ac:dyDescent="0.35">
      <c r="H80" s="147">
        <v>35000</v>
      </c>
      <c r="I80" s="17">
        <v>68474557734.865776</v>
      </c>
      <c r="J80" s="17">
        <v>71898285621.609055</v>
      </c>
      <c r="K80" s="17">
        <v>75493199902.689514</v>
      </c>
      <c r="L80" s="17">
        <v>79267859897.82399</v>
      </c>
      <c r="M80" s="17">
        <v>83231252892.715195</v>
      </c>
      <c r="N80" s="17">
        <v>87392815537.350952</v>
      </c>
      <c r="O80" s="17">
        <v>91762456314.218506</v>
      </c>
      <c r="P80" s="17">
        <v>96350579129.929413</v>
      </c>
      <c r="Q80" s="140">
        <v>101168108086.42589</v>
      </c>
    </row>
    <row r="81" spans="8:17" x14ac:dyDescent="0.35">
      <c r="H81" s="147">
        <v>40000</v>
      </c>
      <c r="I81" s="17">
        <v>78256637411.275177</v>
      </c>
      <c r="J81" s="17">
        <v>82169469281.838928</v>
      </c>
      <c r="K81" s="17">
        <v>86277942745.930862</v>
      </c>
      <c r="L81" s="17">
        <v>90591839883.227417</v>
      </c>
      <c r="M81" s="17">
        <v>95121431877.388794</v>
      </c>
      <c r="N81" s="17">
        <v>99877503471.258224</v>
      </c>
      <c r="O81" s="17">
        <v>104871378644.82114</v>
      </c>
      <c r="P81" s="17">
        <v>110114947577.06219</v>
      </c>
      <c r="Q81" s="140">
        <v>115620694955.9153</v>
      </c>
    </row>
    <row r="82" spans="8:17" x14ac:dyDescent="0.35">
      <c r="H82" s="148">
        <v>45000</v>
      </c>
      <c r="I82" s="141">
        <v>88038717087.68457</v>
      </c>
      <c r="J82" s="141">
        <v>92440652942.068787</v>
      </c>
      <c r="K82" s="141">
        <v>97062685589.172226</v>
      </c>
      <c r="L82" s="141">
        <v>101915819868.63084</v>
      </c>
      <c r="M82" s="141">
        <v>107011610862.06238</v>
      </c>
      <c r="N82" s="141">
        <v>112362191405.16551</v>
      </c>
      <c r="O82" s="141">
        <v>117980300975.42378</v>
      </c>
      <c r="P82" s="141">
        <v>123879316024.19496</v>
      </c>
      <c r="Q82" s="142">
        <v>130073281825.40472</v>
      </c>
    </row>
    <row r="86" spans="8:17" x14ac:dyDescent="0.35">
      <c r="H86" s="14" t="s">
        <v>946</v>
      </c>
    </row>
    <row r="88" spans="8:17" x14ac:dyDescent="0.35">
      <c r="H88" t="s">
        <v>961</v>
      </c>
    </row>
    <row r="89" spans="8:17" x14ac:dyDescent="0.35">
      <c r="H89" t="s">
        <v>497</v>
      </c>
    </row>
    <row r="90" spans="8:17" ht="16" thickBot="1" x14ac:dyDescent="0.4"/>
    <row r="91" spans="8:17" x14ac:dyDescent="0.35">
      <c r="H91" s="46" t="s">
        <v>498</v>
      </c>
    </row>
    <row r="92" spans="8:17" x14ac:dyDescent="0.35">
      <c r="H92" s="157">
        <f>100000</f>
        <v>100000</v>
      </c>
    </row>
    <row r="93" spans="8:17" ht="16" thickBot="1" x14ac:dyDescent="0.4">
      <c r="H93" s="158">
        <v>150000</v>
      </c>
    </row>
    <row r="94" spans="8:17" ht="16" thickBot="1" x14ac:dyDescent="0.4">
      <c r="H94" s="173"/>
    </row>
    <row r="95" spans="8:17" x14ac:dyDescent="0.35">
      <c r="H95" s="33"/>
      <c r="I95" s="175">
        <v>44896</v>
      </c>
      <c r="J95" s="176">
        <v>44531</v>
      </c>
    </row>
    <row r="96" spans="8:17" x14ac:dyDescent="0.35">
      <c r="H96" s="170" t="s">
        <v>490</v>
      </c>
      <c r="I96" s="18">
        <v>129</v>
      </c>
      <c r="J96" s="27">
        <v>179</v>
      </c>
    </row>
    <row r="97" spans="8:10" x14ac:dyDescent="0.35">
      <c r="H97" s="170" t="s">
        <v>588</v>
      </c>
      <c r="I97">
        <v>100000</v>
      </c>
      <c r="J97" s="25">
        <v>150000</v>
      </c>
    </row>
    <row r="98" spans="8:10" x14ac:dyDescent="0.35">
      <c r="H98" s="171" t="s">
        <v>525</v>
      </c>
      <c r="I98" s="19">
        <v>12900000</v>
      </c>
      <c r="J98" s="28">
        <v>26850000</v>
      </c>
    </row>
    <row r="99" spans="8:10" x14ac:dyDescent="0.35">
      <c r="H99" s="170" t="s">
        <v>962</v>
      </c>
      <c r="I99" s="18">
        <v>8994310</v>
      </c>
      <c r="J99" s="27">
        <v>7906562</v>
      </c>
    </row>
    <row r="100" spans="8:10" x14ac:dyDescent="0.35">
      <c r="H100" s="170" t="s">
        <v>963</v>
      </c>
      <c r="I100" s="18">
        <v>891621</v>
      </c>
      <c r="J100" s="27">
        <v>1124542</v>
      </c>
    </row>
    <row r="101" spans="8:10" ht="16" thickBot="1" x14ac:dyDescent="0.4">
      <c r="H101" s="172" t="s">
        <v>461</v>
      </c>
      <c r="I101" s="30">
        <f>I98-I99-I100</f>
        <v>3014069</v>
      </c>
      <c r="J101" s="31">
        <f>J98-J99-J100</f>
        <v>17818896</v>
      </c>
    </row>
    <row r="105" spans="8:10" x14ac:dyDescent="0.35">
      <c r="H105" s="14" t="s">
        <v>968</v>
      </c>
    </row>
    <row r="106" spans="8:10" x14ac:dyDescent="0.35">
      <c r="H106" t="s">
        <v>483</v>
      </c>
      <c r="I106" s="42">
        <v>129.26</v>
      </c>
    </row>
    <row r="107" spans="8:10" x14ac:dyDescent="0.35">
      <c r="H107" t="s">
        <v>437</v>
      </c>
      <c r="I107">
        <v>3859762.607019444</v>
      </c>
    </row>
    <row r="108" spans="8:10" x14ac:dyDescent="0.35">
      <c r="H108" s="14" t="s">
        <v>420</v>
      </c>
      <c r="I108" s="43">
        <f>I106*I107</f>
        <v>498912914.58333331</v>
      </c>
    </row>
    <row r="110" spans="8:10" x14ac:dyDescent="0.35">
      <c r="H110" t="s">
        <v>477</v>
      </c>
      <c r="I110" s="18">
        <f>I95/12</f>
        <v>3741.3333333333335</v>
      </c>
    </row>
    <row r="111" spans="8:10" x14ac:dyDescent="0.35">
      <c r="H111" t="s">
        <v>429</v>
      </c>
      <c r="I111" s="18">
        <f>I96/12</f>
        <v>10.75</v>
      </c>
    </row>
    <row r="112" spans="8:10" x14ac:dyDescent="0.35">
      <c r="H112" t="s">
        <v>433</v>
      </c>
      <c r="I112" s="18">
        <f>I97/12</f>
        <v>8333.3333333333339</v>
      </c>
    </row>
    <row r="113" spans="8:9" x14ac:dyDescent="0.35">
      <c r="H113" t="s">
        <v>478</v>
      </c>
      <c r="I113" s="18">
        <f>I98/12</f>
        <v>1075000</v>
      </c>
    </row>
    <row r="114" spans="8:9" x14ac:dyDescent="0.35">
      <c r="H114" s="14" t="s">
        <v>487</v>
      </c>
      <c r="I114" s="19">
        <f>-SUM(I110:I113)</f>
        <v>-1087085.4166666667</v>
      </c>
    </row>
    <row r="116" spans="8:9" x14ac:dyDescent="0.35">
      <c r="H116" s="14" t="s">
        <v>485</v>
      </c>
      <c r="I116" s="43">
        <f>I108-I114</f>
        <v>500000000</v>
      </c>
    </row>
  </sheetData>
  <scenarios current="0" sqref="I101">
    <scenario name="Dec22" locked="1" count="3" user="Microsoft Office User" comment="Created by Microsoft Office User on 01/06/2023_x000a_Modified by Microsoft Office User on 01/06/2023">
      <inputCells r="I98" val="12900000" numFmtId="167"/>
      <inputCells r="I99" val="8994310" numFmtId="167"/>
      <inputCells r="I100" val="891621" numFmtId="167"/>
    </scenario>
  </scenarios>
  <mergeCells count="2">
    <mergeCell ref="B2:E2"/>
    <mergeCell ref="H61:J61"/>
  </mergeCell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22F1F-BD6D-3A49-B24F-7C4D50684C7B}">
  <sheetPr codeName="Sheet14">
    <tabColor theme="8" tint="0.39997558519241921"/>
  </sheetPr>
  <dimension ref="B2:AZ62"/>
  <sheetViews>
    <sheetView topLeftCell="AI1" zoomScale="88" workbookViewId="0">
      <selection activeCell="AR26" sqref="AR26"/>
    </sheetView>
  </sheetViews>
  <sheetFormatPr defaultColWidth="10.6640625" defaultRowHeight="15.5" x14ac:dyDescent="0.35"/>
  <cols>
    <col min="2" max="2" width="5.1640625" style="6" customWidth="1"/>
    <col min="3" max="3" width="28" customWidth="1"/>
    <col min="4" max="4" width="12" customWidth="1"/>
    <col min="5" max="5" width="14.5" customWidth="1"/>
    <col min="7" max="7" width="13.83203125" customWidth="1"/>
    <col min="8" max="8" width="23.5" customWidth="1"/>
    <col min="9" max="9" width="37.5" customWidth="1"/>
    <col min="10" max="10" width="29.83203125" bestFit="1" customWidth="1"/>
    <col min="11" max="11" width="8" customWidth="1"/>
    <col min="12" max="12" width="12.83203125" bestFit="1" customWidth="1"/>
    <col min="13" max="13" width="16.1640625" customWidth="1"/>
    <col min="14" max="14" width="10.83203125" style="6"/>
    <col min="15" max="15" width="16.6640625" customWidth="1"/>
    <col min="17" max="18" width="10.83203125" style="84"/>
    <col min="20" max="20" width="5" customWidth="1"/>
    <col min="21" max="21" width="11.5" customWidth="1"/>
    <col min="23" max="23" width="29.83203125" bestFit="1" customWidth="1"/>
    <col min="24" max="24" width="24.1640625" customWidth="1"/>
    <col min="25" max="25" width="33" bestFit="1" customWidth="1"/>
    <col min="26" max="26" width="10.83203125" style="6"/>
    <col min="27" max="27" width="17.33203125" customWidth="1"/>
    <col min="28" max="28" width="18.1640625" customWidth="1"/>
    <col min="30" max="31" width="10.83203125" style="84"/>
    <col min="34" max="34" width="6" customWidth="1"/>
    <col min="35" max="35" width="14.6640625" customWidth="1"/>
    <col min="36" max="36" width="31.6640625" customWidth="1"/>
    <col min="37" max="37" width="24.6640625" customWidth="1"/>
    <col min="38" max="38" width="9.1640625" customWidth="1"/>
    <col min="41" max="41" width="6" customWidth="1"/>
    <col min="42" max="42" width="14.6640625" customWidth="1"/>
    <col min="43" max="43" width="29.83203125" bestFit="1" customWidth="1"/>
    <col min="44" max="44" width="24.83203125" customWidth="1"/>
    <col min="45" max="45" width="14" style="6" customWidth="1"/>
    <col min="46" max="46" width="12.6640625" style="6" customWidth="1"/>
    <col min="47" max="47" width="13.33203125" style="6" customWidth="1"/>
    <col min="51" max="51" width="21" customWidth="1"/>
    <col min="52" max="52" width="16" customWidth="1"/>
  </cols>
  <sheetData>
    <row r="2" spans="2:52" x14ac:dyDescent="0.35">
      <c r="B2" s="262" t="s">
        <v>592</v>
      </c>
      <c r="C2" s="262"/>
      <c r="D2" s="262"/>
      <c r="E2" s="262"/>
      <c r="F2" s="262"/>
      <c r="G2" s="262"/>
      <c r="H2" s="262"/>
      <c r="I2" s="262"/>
      <c r="J2" s="262"/>
      <c r="K2" s="262"/>
      <c r="L2" s="262"/>
      <c r="M2" s="262"/>
      <c r="N2" s="262"/>
      <c r="O2" s="262"/>
      <c r="T2" s="262" t="s">
        <v>611</v>
      </c>
      <c r="U2" s="262"/>
      <c r="V2" s="262"/>
      <c r="W2" s="262"/>
      <c r="X2" s="262"/>
      <c r="Y2" s="262"/>
      <c r="Z2" s="262"/>
      <c r="AA2" s="262"/>
      <c r="AH2" s="262" t="s">
        <v>617</v>
      </c>
      <c r="AI2" s="262"/>
      <c r="AJ2" s="262"/>
      <c r="AK2" s="262"/>
      <c r="AL2" s="262"/>
      <c r="AM2" s="97"/>
      <c r="AO2" s="262" t="s">
        <v>616</v>
      </c>
      <c r="AP2" s="262"/>
      <c r="AQ2" s="262"/>
      <c r="AR2" s="262"/>
      <c r="AS2" s="262"/>
      <c r="AT2" s="262"/>
      <c r="AU2" s="262"/>
    </row>
    <row r="3" spans="2:52" s="13" customFormat="1" ht="50" customHeight="1" x14ac:dyDescent="0.35">
      <c r="B3" s="13" t="s">
        <v>582</v>
      </c>
      <c r="C3" s="13" t="s">
        <v>581</v>
      </c>
      <c r="D3" s="13" t="s">
        <v>583</v>
      </c>
      <c r="E3" s="13" t="s">
        <v>584</v>
      </c>
      <c r="F3" s="13" t="s">
        <v>10</v>
      </c>
      <c r="G3" s="13" t="s">
        <v>17</v>
      </c>
      <c r="H3" s="13" t="s">
        <v>7</v>
      </c>
      <c r="I3" s="13" t="s">
        <v>585</v>
      </c>
      <c r="J3" s="13" t="s">
        <v>203</v>
      </c>
      <c r="K3" s="13" t="s">
        <v>586</v>
      </c>
      <c r="L3" s="13" t="s">
        <v>587</v>
      </c>
      <c r="M3" s="13" t="s">
        <v>460</v>
      </c>
      <c r="N3" s="13" t="s">
        <v>588</v>
      </c>
      <c r="O3" s="13" t="s">
        <v>580</v>
      </c>
      <c r="Q3" s="85"/>
      <c r="R3" s="85"/>
      <c r="T3" s="13" t="s">
        <v>593</v>
      </c>
      <c r="U3" s="13" t="s">
        <v>594</v>
      </c>
      <c r="V3" s="13" t="s">
        <v>586</v>
      </c>
      <c r="W3" s="13" t="s">
        <v>203</v>
      </c>
      <c r="X3" s="13" t="s">
        <v>7</v>
      </c>
      <c r="Y3" s="13" t="s">
        <v>585</v>
      </c>
      <c r="Z3" s="13" t="s">
        <v>588</v>
      </c>
      <c r="AA3" s="13" t="s">
        <v>595</v>
      </c>
      <c r="AB3" s="13" t="s">
        <v>612</v>
      </c>
      <c r="AD3" s="85"/>
      <c r="AE3" s="85"/>
      <c r="AH3" s="13" t="s">
        <v>593</v>
      </c>
      <c r="AI3" s="13" t="s">
        <v>586</v>
      </c>
      <c r="AJ3" s="13" t="s">
        <v>614</v>
      </c>
      <c r="AK3" s="13" t="s">
        <v>7</v>
      </c>
      <c r="AL3" s="13" t="s">
        <v>491</v>
      </c>
      <c r="AO3" s="13" t="s">
        <v>593</v>
      </c>
      <c r="AP3" s="13" t="s">
        <v>586</v>
      </c>
      <c r="AQ3" s="13" t="s">
        <v>614</v>
      </c>
      <c r="AR3" s="13" t="s">
        <v>7</v>
      </c>
      <c r="AS3" s="13" t="s">
        <v>615</v>
      </c>
      <c r="AT3" s="13" t="s">
        <v>491</v>
      </c>
      <c r="AU3" s="13" t="s">
        <v>618</v>
      </c>
    </row>
    <row r="4" spans="2:52" x14ac:dyDescent="0.35">
      <c r="B4" s="6">
        <v>1</v>
      </c>
      <c r="C4" t="s">
        <v>42</v>
      </c>
      <c r="D4" s="47" t="str">
        <f>IF(F4=9,"12-3pm",IF(F4=1,"3-5pm",IF(F4=3,"5-7pm",IF(F4=7,"7-9pm","1-3am"))))</f>
        <v>12-3pm</v>
      </c>
      <c r="E4" t="s">
        <v>339</v>
      </c>
      <c r="F4" s="6">
        <v>9</v>
      </c>
      <c r="G4" t="s">
        <v>198</v>
      </c>
      <c r="H4" t="s">
        <v>519</v>
      </c>
      <c r="I4" t="s">
        <v>253</v>
      </c>
      <c r="J4" t="s">
        <v>296</v>
      </c>
      <c r="K4" s="6" t="s">
        <v>324</v>
      </c>
      <c r="L4" s="42">
        <v>147.17786444918684</v>
      </c>
      <c r="M4" s="17">
        <v>2200000</v>
      </c>
      <c r="N4" s="82">
        <v>2</v>
      </c>
      <c r="O4" s="17">
        <f>M4*N4</f>
        <v>4400000</v>
      </c>
      <c r="T4" s="6">
        <v>1</v>
      </c>
      <c r="U4" s="86">
        <v>44986</v>
      </c>
      <c r="V4" s="6" t="s">
        <v>322</v>
      </c>
      <c r="W4" t="s">
        <v>295</v>
      </c>
      <c r="X4" t="s">
        <v>519</v>
      </c>
      <c r="Y4" t="s">
        <v>251</v>
      </c>
      <c r="Z4" s="6">
        <v>25</v>
      </c>
      <c r="AA4" s="17">
        <v>712553</v>
      </c>
      <c r="AB4" s="17">
        <f>Z4*AA4</f>
        <v>17813825</v>
      </c>
      <c r="AH4" s="6">
        <v>1</v>
      </c>
      <c r="AI4" s="6" t="s">
        <v>322</v>
      </c>
      <c r="AJ4" t="s">
        <v>295</v>
      </c>
      <c r="AK4" t="s">
        <v>519</v>
      </c>
      <c r="AL4" s="6">
        <v>25</v>
      </c>
      <c r="AO4" s="6">
        <v>1</v>
      </c>
      <c r="AP4" s="6" t="s">
        <v>322</v>
      </c>
      <c r="AQ4" t="s">
        <v>295</v>
      </c>
      <c r="AR4" t="s">
        <v>519</v>
      </c>
      <c r="AS4" s="6">
        <v>100</v>
      </c>
      <c r="AT4" s="6">
        <f>SUMIF(Table2[Name of Airlines],Table2[[#This Row],[Name of Airlines]],Table1[])</f>
        <v>70</v>
      </c>
      <c r="AU4" s="6">
        <f>Table2[[#This Row],[Stock on Quartal 1 2023]]-Table2[[#This Row],[Ticket Sold]]</f>
        <v>30</v>
      </c>
      <c r="AY4" s="14" t="s">
        <v>849</v>
      </c>
    </row>
    <row r="5" spans="2:52" x14ac:dyDescent="0.35">
      <c r="B5" s="6">
        <v>2</v>
      </c>
      <c r="C5" t="s">
        <v>43</v>
      </c>
      <c r="D5" s="47" t="str">
        <f t="shared" ref="D5:D53" si="0">IF(F5=9,"12-3pm",IF(F5=1,"3-5pm",IF(F5=3,"5-7pm",IF(F5=7,"7-9pm","1-3am"))))</f>
        <v>12-3pm</v>
      </c>
      <c r="E5" t="s">
        <v>340</v>
      </c>
      <c r="F5" s="6">
        <v>9</v>
      </c>
      <c r="G5" t="s">
        <v>199</v>
      </c>
      <c r="H5" t="s">
        <v>520</v>
      </c>
      <c r="I5" t="s">
        <v>201</v>
      </c>
      <c r="J5" t="s">
        <v>306</v>
      </c>
      <c r="K5" s="6" t="s">
        <v>328</v>
      </c>
      <c r="L5" s="42">
        <v>551.91699168445064</v>
      </c>
      <c r="M5" s="17">
        <v>8250000</v>
      </c>
      <c r="N5" s="82">
        <v>3</v>
      </c>
      <c r="O5" s="17">
        <f t="shared" ref="O5:O54" si="1">M5*N5</f>
        <v>24750000</v>
      </c>
      <c r="T5" s="6">
        <v>2</v>
      </c>
      <c r="U5" s="86">
        <v>44987</v>
      </c>
      <c r="V5" s="6" t="s">
        <v>324</v>
      </c>
      <c r="W5" t="s">
        <v>296</v>
      </c>
      <c r="X5" t="s">
        <v>519</v>
      </c>
      <c r="Y5" t="s">
        <v>256</v>
      </c>
      <c r="Z5" s="6">
        <v>18</v>
      </c>
      <c r="AA5" s="17">
        <v>2964519</v>
      </c>
      <c r="AB5" s="17">
        <f t="shared" ref="AB5:AB49" si="2">Z5*AA5</f>
        <v>53361342</v>
      </c>
      <c r="AH5" s="6">
        <v>2</v>
      </c>
      <c r="AI5" s="6" t="s">
        <v>328</v>
      </c>
      <c r="AJ5" t="s">
        <v>306</v>
      </c>
      <c r="AK5" t="s">
        <v>520</v>
      </c>
      <c r="AL5" s="6">
        <v>18</v>
      </c>
      <c r="AO5" s="6">
        <v>2</v>
      </c>
      <c r="AP5" s="6" t="s">
        <v>328</v>
      </c>
      <c r="AQ5" t="s">
        <v>306</v>
      </c>
      <c r="AR5" t="s">
        <v>520</v>
      </c>
      <c r="AS5" s="6">
        <v>150</v>
      </c>
      <c r="AT5" s="6">
        <f>SUMIF(Table2[Name of Airlines],Table2[[#This Row],[Name of Airlines]],Table1[])</f>
        <v>136</v>
      </c>
      <c r="AU5" s="6">
        <f>Table2[[#This Row],[Stock on Quartal 1 2023]]-Table2[[#This Row],[Ticket Sold]]</f>
        <v>14</v>
      </c>
      <c r="AY5" s="14" t="s">
        <v>850</v>
      </c>
    </row>
    <row r="6" spans="2:52" ht="16" thickBot="1" x14ac:dyDescent="0.4">
      <c r="B6" s="6">
        <v>3</v>
      </c>
      <c r="C6" t="s">
        <v>44</v>
      </c>
      <c r="D6" s="47" t="str">
        <f t="shared" si="0"/>
        <v>5-7pm</v>
      </c>
      <c r="E6" t="s">
        <v>341</v>
      </c>
      <c r="F6" s="6">
        <v>3</v>
      </c>
      <c r="G6" t="s">
        <v>199</v>
      </c>
      <c r="H6" t="s">
        <v>520</v>
      </c>
      <c r="I6" t="s">
        <v>207</v>
      </c>
      <c r="J6" t="s">
        <v>307</v>
      </c>
      <c r="K6" s="6" t="s">
        <v>329</v>
      </c>
      <c r="L6" s="42">
        <v>772.68378835823091</v>
      </c>
      <c r="M6" s="17">
        <v>11550000</v>
      </c>
      <c r="N6" s="82">
        <v>1</v>
      </c>
      <c r="O6" s="17">
        <f t="shared" si="1"/>
        <v>11550000</v>
      </c>
      <c r="T6" s="6">
        <v>3</v>
      </c>
      <c r="U6" s="86">
        <v>44988</v>
      </c>
      <c r="V6" s="6" t="s">
        <v>320</v>
      </c>
      <c r="W6" t="s">
        <v>297</v>
      </c>
      <c r="X6" t="s">
        <v>519</v>
      </c>
      <c r="Y6" t="s">
        <v>289</v>
      </c>
      <c r="Z6" s="6">
        <v>33</v>
      </c>
      <c r="AA6" s="17">
        <v>1066000</v>
      </c>
      <c r="AB6" s="17">
        <f t="shared" si="2"/>
        <v>35178000</v>
      </c>
      <c r="AH6" s="6">
        <v>3</v>
      </c>
      <c r="AI6" s="6" t="s">
        <v>331</v>
      </c>
      <c r="AJ6" t="s">
        <v>309</v>
      </c>
      <c r="AK6" t="s">
        <v>520</v>
      </c>
      <c r="AL6" s="6">
        <v>33</v>
      </c>
      <c r="AO6" s="6">
        <v>3</v>
      </c>
      <c r="AP6" s="6" t="s">
        <v>331</v>
      </c>
      <c r="AQ6" t="s">
        <v>309</v>
      </c>
      <c r="AR6" t="s">
        <v>520</v>
      </c>
      <c r="AS6" s="6">
        <v>80</v>
      </c>
      <c r="AT6" s="6">
        <f>SUMIF(Table2[Name of Airlines],Table2[[#This Row],[Name of Airlines]],Table1[])</f>
        <v>52</v>
      </c>
      <c r="AU6" s="6">
        <f>Table2[[#This Row],[Stock on Quartal 1 2023]]-Table2[[#This Row],[Ticket Sold]]</f>
        <v>28</v>
      </c>
    </row>
    <row r="7" spans="2:52" x14ac:dyDescent="0.35">
      <c r="B7" s="6">
        <v>4</v>
      </c>
      <c r="C7" t="s">
        <v>45</v>
      </c>
      <c r="D7" s="47" t="str">
        <f t="shared" si="0"/>
        <v>3-5pm</v>
      </c>
      <c r="E7" t="s">
        <v>351</v>
      </c>
      <c r="F7" s="6">
        <v>1</v>
      </c>
      <c r="G7" t="s">
        <v>199</v>
      </c>
      <c r="H7" t="s">
        <v>520</v>
      </c>
      <c r="I7" t="s">
        <v>213</v>
      </c>
      <c r="J7" t="s">
        <v>306</v>
      </c>
      <c r="K7" s="6" t="s">
        <v>328</v>
      </c>
      <c r="L7" s="42">
        <v>839.91731279979126</v>
      </c>
      <c r="M7" s="17">
        <v>12555000</v>
      </c>
      <c r="N7" s="82">
        <v>2</v>
      </c>
      <c r="O7" s="17">
        <f t="shared" si="1"/>
        <v>25110000</v>
      </c>
      <c r="T7" s="6">
        <v>4</v>
      </c>
      <c r="U7" s="86">
        <v>44989</v>
      </c>
      <c r="V7" s="6" t="s">
        <v>325</v>
      </c>
      <c r="W7" t="s">
        <v>298</v>
      </c>
      <c r="X7" t="s">
        <v>519</v>
      </c>
      <c r="Y7" t="s">
        <v>268</v>
      </c>
      <c r="Z7" s="6">
        <v>22</v>
      </c>
      <c r="AA7" s="17">
        <v>1760854</v>
      </c>
      <c r="AB7" s="17">
        <f t="shared" si="2"/>
        <v>38738788</v>
      </c>
      <c r="AH7" s="6">
        <v>4</v>
      </c>
      <c r="AI7" s="6" t="s">
        <v>333</v>
      </c>
      <c r="AJ7" t="s">
        <v>311</v>
      </c>
      <c r="AK7" t="s">
        <v>520</v>
      </c>
      <c r="AL7" s="6">
        <v>22</v>
      </c>
      <c r="AO7" s="6">
        <v>4</v>
      </c>
      <c r="AP7" s="6" t="s">
        <v>333</v>
      </c>
      <c r="AQ7" t="s">
        <v>311</v>
      </c>
      <c r="AR7" t="s">
        <v>520</v>
      </c>
      <c r="AS7" s="6">
        <v>150</v>
      </c>
      <c r="AT7" s="6">
        <f>SUMIF(Table2[Name of Airlines],Table2[[#This Row],[Name of Airlines]],Table1[])</f>
        <v>42</v>
      </c>
      <c r="AU7" s="6">
        <f>Table2[[#This Row],[Stock on Quartal 1 2023]]-Table2[[#This Row],[Ticket Sold]]</f>
        <v>108</v>
      </c>
      <c r="AY7" s="108" t="s">
        <v>852</v>
      </c>
      <c r="AZ7" s="35"/>
    </row>
    <row r="8" spans="2:52" x14ac:dyDescent="0.35">
      <c r="B8" s="6">
        <v>5</v>
      </c>
      <c r="C8" t="s">
        <v>47</v>
      </c>
      <c r="D8" s="47" t="str">
        <f t="shared" si="0"/>
        <v>3-5pm</v>
      </c>
      <c r="E8" t="s">
        <v>352</v>
      </c>
      <c r="F8" s="6">
        <v>1</v>
      </c>
      <c r="G8" t="s">
        <v>199</v>
      </c>
      <c r="H8" t="s">
        <v>520</v>
      </c>
      <c r="I8" t="s">
        <v>206</v>
      </c>
      <c r="J8" t="s">
        <v>311</v>
      </c>
      <c r="K8" s="6" t="s">
        <v>333</v>
      </c>
      <c r="L8" s="42">
        <v>919.86165280741784</v>
      </c>
      <c r="M8" s="17">
        <v>13750000</v>
      </c>
      <c r="N8" s="82">
        <v>2</v>
      </c>
      <c r="O8" s="17">
        <f t="shared" si="1"/>
        <v>27500000</v>
      </c>
      <c r="T8" s="6">
        <v>5</v>
      </c>
      <c r="U8" s="86">
        <v>44990</v>
      </c>
      <c r="V8" s="6" t="s">
        <v>317</v>
      </c>
      <c r="W8" t="s">
        <v>299</v>
      </c>
      <c r="X8" t="s">
        <v>519</v>
      </c>
      <c r="Y8" t="s">
        <v>287</v>
      </c>
      <c r="Z8" s="6">
        <v>17</v>
      </c>
      <c r="AA8" s="17">
        <v>1979000</v>
      </c>
      <c r="AB8" s="17">
        <f t="shared" si="2"/>
        <v>33643000</v>
      </c>
      <c r="AH8" s="6">
        <v>5</v>
      </c>
      <c r="AI8" s="6" t="s">
        <v>325</v>
      </c>
      <c r="AJ8" t="s">
        <v>298</v>
      </c>
      <c r="AK8" t="s">
        <v>519</v>
      </c>
      <c r="AL8" s="6">
        <v>17</v>
      </c>
      <c r="AO8" s="6">
        <v>5</v>
      </c>
      <c r="AP8" s="6" t="s">
        <v>325</v>
      </c>
      <c r="AQ8" t="s">
        <v>298</v>
      </c>
      <c r="AR8" t="s">
        <v>519</v>
      </c>
      <c r="AS8" s="6">
        <v>150</v>
      </c>
      <c r="AT8" s="6">
        <f>SUMIF(Table2[Name of Airlines],Table2[[#This Row],[Name of Airlines]],Table1[])</f>
        <v>19</v>
      </c>
      <c r="AU8" s="6">
        <f>Table2[[#This Row],[Stock on Quartal 1 2023]]-Table2[[#This Row],[Ticket Sold]]</f>
        <v>131</v>
      </c>
      <c r="AY8" s="24" t="s">
        <v>853</v>
      </c>
      <c r="AZ8" s="25"/>
    </row>
    <row r="9" spans="2:52" x14ac:dyDescent="0.35">
      <c r="B9" s="6">
        <v>6</v>
      </c>
      <c r="C9" t="s">
        <v>46</v>
      </c>
      <c r="D9" s="47" t="str">
        <f t="shared" si="0"/>
        <v>5-7pm</v>
      </c>
      <c r="E9" t="s">
        <v>344</v>
      </c>
      <c r="F9" s="6">
        <v>3</v>
      </c>
      <c r="G9" t="s">
        <v>198</v>
      </c>
      <c r="H9" t="s">
        <v>519</v>
      </c>
      <c r="I9" t="s">
        <v>251</v>
      </c>
      <c r="J9" t="s">
        <v>297</v>
      </c>
      <c r="K9" s="6" t="s">
        <v>320</v>
      </c>
      <c r="L9" s="42">
        <v>130.45310712541561</v>
      </c>
      <c r="M9" s="17">
        <v>1950000</v>
      </c>
      <c r="N9" s="82">
        <v>2</v>
      </c>
      <c r="O9" s="17">
        <f t="shared" si="1"/>
        <v>3900000</v>
      </c>
      <c r="T9" s="6">
        <v>6</v>
      </c>
      <c r="U9" s="86">
        <v>44991</v>
      </c>
      <c r="V9" s="6" t="s">
        <v>318</v>
      </c>
      <c r="W9" t="s">
        <v>300</v>
      </c>
      <c r="X9" t="s">
        <v>519</v>
      </c>
      <c r="Y9" s="4" t="s">
        <v>283</v>
      </c>
      <c r="Z9" s="6">
        <v>12</v>
      </c>
      <c r="AA9" s="17">
        <v>507000</v>
      </c>
      <c r="AB9" s="17">
        <f t="shared" si="2"/>
        <v>6084000</v>
      </c>
      <c r="AH9" s="6">
        <v>6</v>
      </c>
      <c r="AI9" s="6" t="s">
        <v>326</v>
      </c>
      <c r="AJ9" t="s">
        <v>301</v>
      </c>
      <c r="AK9" t="s">
        <v>519</v>
      </c>
      <c r="AL9" s="6">
        <v>12</v>
      </c>
      <c r="AO9" s="6">
        <v>6</v>
      </c>
      <c r="AP9" s="6" t="s">
        <v>326</v>
      </c>
      <c r="AQ9" t="s">
        <v>301</v>
      </c>
      <c r="AR9" t="s">
        <v>519</v>
      </c>
      <c r="AS9" s="6">
        <v>110</v>
      </c>
      <c r="AT9" s="6">
        <f>SUMIF(Table2[Name of Airlines],Table2[[#This Row],[Name of Airlines]],Table1[])</f>
        <v>42</v>
      </c>
      <c r="AU9" s="6">
        <f>Table2[[#This Row],[Stock on Quartal 1 2023]]-Table2[[#This Row],[Ticket Sold]]</f>
        <v>68</v>
      </c>
      <c r="AY9" s="24" t="s">
        <v>583</v>
      </c>
      <c r="AZ9" s="25"/>
    </row>
    <row r="10" spans="2:52" x14ac:dyDescent="0.35">
      <c r="B10" s="6">
        <v>7</v>
      </c>
      <c r="C10" t="s">
        <v>48</v>
      </c>
      <c r="D10" s="47" t="str">
        <f t="shared" si="0"/>
        <v>5-7pm</v>
      </c>
      <c r="E10" t="s">
        <v>345</v>
      </c>
      <c r="F10" s="6">
        <v>3</v>
      </c>
      <c r="G10" t="s">
        <v>198</v>
      </c>
      <c r="H10" t="s">
        <v>519</v>
      </c>
      <c r="I10" t="s">
        <v>256</v>
      </c>
      <c r="J10" t="s">
        <v>296</v>
      </c>
      <c r="K10" s="6" t="s">
        <v>324</v>
      </c>
      <c r="L10" s="42">
        <v>133.79805859016986</v>
      </c>
      <c r="M10" s="17">
        <v>2000000</v>
      </c>
      <c r="N10" s="82">
        <v>2</v>
      </c>
      <c r="O10" s="17">
        <f t="shared" si="1"/>
        <v>4000000</v>
      </c>
      <c r="T10" s="6">
        <v>7</v>
      </c>
      <c r="U10" s="86">
        <v>44992</v>
      </c>
      <c r="V10" s="6" t="s">
        <v>326</v>
      </c>
      <c r="W10" t="s">
        <v>301</v>
      </c>
      <c r="X10" t="s">
        <v>519</v>
      </c>
      <c r="Y10" t="s">
        <v>285</v>
      </c>
      <c r="Z10" s="6">
        <v>28</v>
      </c>
      <c r="AA10" s="17">
        <v>562000</v>
      </c>
      <c r="AB10" s="17">
        <f t="shared" si="2"/>
        <v>15736000</v>
      </c>
      <c r="AH10" s="6">
        <v>7</v>
      </c>
      <c r="AI10" s="6" t="s">
        <v>321</v>
      </c>
      <c r="AJ10" t="s">
        <v>302</v>
      </c>
      <c r="AK10" t="s">
        <v>519</v>
      </c>
      <c r="AL10" s="6">
        <v>28</v>
      </c>
      <c r="AO10" s="6">
        <v>7</v>
      </c>
      <c r="AP10" s="6" t="s">
        <v>321</v>
      </c>
      <c r="AQ10" t="s">
        <v>302</v>
      </c>
      <c r="AR10" t="s">
        <v>519</v>
      </c>
      <c r="AS10" s="6">
        <v>80</v>
      </c>
      <c r="AT10" s="6">
        <f>SUMIF(Table2[Name of Airlines],Table2[[#This Row],[Name of Airlines]],Table1[])</f>
        <v>75</v>
      </c>
      <c r="AU10" s="6">
        <f>Table2[[#This Row],[Stock on Quartal 1 2023]]-Table2[[#This Row],[Ticket Sold]]</f>
        <v>5</v>
      </c>
      <c r="AY10" s="24" t="s">
        <v>13</v>
      </c>
      <c r="AZ10" s="25"/>
    </row>
    <row r="11" spans="2:52" x14ac:dyDescent="0.35">
      <c r="B11" s="6">
        <v>8</v>
      </c>
      <c r="C11" t="s">
        <v>49</v>
      </c>
      <c r="D11" s="47" t="str">
        <f t="shared" si="0"/>
        <v>3-5pm</v>
      </c>
      <c r="E11" t="s">
        <v>409</v>
      </c>
      <c r="F11" s="6">
        <v>1</v>
      </c>
      <c r="G11" t="s">
        <v>199</v>
      </c>
      <c r="H11" t="s">
        <v>520</v>
      </c>
      <c r="I11" t="s">
        <v>229</v>
      </c>
      <c r="J11" t="s">
        <v>308</v>
      </c>
      <c r="K11" s="6" t="s">
        <v>330</v>
      </c>
      <c r="L11" s="42">
        <v>582.02155486723893</v>
      </c>
      <c r="M11" s="17">
        <v>8700000</v>
      </c>
      <c r="N11" s="82">
        <v>1</v>
      </c>
      <c r="O11" s="17">
        <f t="shared" si="1"/>
        <v>8700000</v>
      </c>
      <c r="T11" s="6">
        <v>8</v>
      </c>
      <c r="U11" s="86">
        <v>44993</v>
      </c>
      <c r="V11" s="6" t="s">
        <v>321</v>
      </c>
      <c r="W11" t="s">
        <v>302</v>
      </c>
      <c r="X11" t="s">
        <v>519</v>
      </c>
      <c r="Y11" t="s">
        <v>272</v>
      </c>
      <c r="Z11" s="6">
        <v>38</v>
      </c>
      <c r="AA11" s="17">
        <v>729000</v>
      </c>
      <c r="AB11" s="17">
        <f t="shared" si="2"/>
        <v>27702000</v>
      </c>
      <c r="AH11" s="6">
        <v>8</v>
      </c>
      <c r="AI11" s="6" t="s">
        <v>324</v>
      </c>
      <c r="AJ11" t="s">
        <v>296</v>
      </c>
      <c r="AK11" t="s">
        <v>519</v>
      </c>
      <c r="AL11" s="6">
        <v>38</v>
      </c>
      <c r="AO11" s="6">
        <v>8</v>
      </c>
      <c r="AP11" s="6" t="s">
        <v>324</v>
      </c>
      <c r="AQ11" t="s">
        <v>296</v>
      </c>
      <c r="AR11" t="s">
        <v>519</v>
      </c>
      <c r="AS11" s="6">
        <v>95</v>
      </c>
      <c r="AT11" s="6">
        <f>SUMIF(Table2[Name of Airlines],Table2[[#This Row],[Name of Airlines]],Table1[])</f>
        <v>82</v>
      </c>
      <c r="AU11" s="6">
        <f>Table2[[#This Row],[Stock on Quartal 1 2023]]-Table2[[#This Row],[Ticket Sold]]</f>
        <v>13</v>
      </c>
      <c r="AY11" s="24" t="s">
        <v>17</v>
      </c>
      <c r="AZ11" s="25"/>
    </row>
    <row r="12" spans="2:52" x14ac:dyDescent="0.35">
      <c r="B12" s="6">
        <v>9</v>
      </c>
      <c r="C12" t="s">
        <v>50</v>
      </c>
      <c r="D12" s="47" t="str">
        <f t="shared" si="0"/>
        <v>5-7pm</v>
      </c>
      <c r="E12" t="s">
        <v>411</v>
      </c>
      <c r="F12" s="6">
        <v>3</v>
      </c>
      <c r="G12" t="s">
        <v>198</v>
      </c>
      <c r="H12" t="s">
        <v>519</v>
      </c>
      <c r="I12" t="s">
        <v>287</v>
      </c>
      <c r="J12" t="s">
        <v>299</v>
      </c>
      <c r="K12" s="6" t="s">
        <v>317</v>
      </c>
      <c r="L12" s="42">
        <v>250.87135985656849</v>
      </c>
      <c r="M12" s="17">
        <v>3750000</v>
      </c>
      <c r="N12" s="82">
        <v>1</v>
      </c>
      <c r="O12" s="17">
        <f t="shared" si="1"/>
        <v>3750000</v>
      </c>
      <c r="T12" s="6">
        <v>9</v>
      </c>
      <c r="U12" s="86">
        <v>44994</v>
      </c>
      <c r="V12" s="6" t="s">
        <v>319</v>
      </c>
      <c r="W12" t="s">
        <v>303</v>
      </c>
      <c r="X12" t="s">
        <v>519</v>
      </c>
      <c r="Y12" t="s">
        <v>285</v>
      </c>
      <c r="Z12" s="6">
        <v>25</v>
      </c>
      <c r="AA12" s="17">
        <v>580000</v>
      </c>
      <c r="AB12" s="17">
        <f t="shared" si="2"/>
        <v>14500000</v>
      </c>
      <c r="AH12" s="6">
        <v>9</v>
      </c>
      <c r="AI12" s="6" t="s">
        <v>322</v>
      </c>
      <c r="AJ12" t="s">
        <v>295</v>
      </c>
      <c r="AK12" t="s">
        <v>519</v>
      </c>
      <c r="AL12" s="6">
        <v>25</v>
      </c>
      <c r="AO12" s="6">
        <v>9</v>
      </c>
      <c r="AP12" s="6" t="s">
        <v>322</v>
      </c>
      <c r="AQ12" t="s">
        <v>295</v>
      </c>
      <c r="AR12" t="s">
        <v>519</v>
      </c>
      <c r="AS12" s="6">
        <v>55</v>
      </c>
      <c r="AT12" s="6">
        <f>SUMIF(Table2[Name of Airlines],Table2[[#This Row],[Name of Airlines]],Table1[])</f>
        <v>70</v>
      </c>
      <c r="AU12" s="6">
        <f>Table2[[#This Row],[Stock on Quartal 1 2023]]-Table2[[#This Row],[Ticket Sold]]</f>
        <v>-15</v>
      </c>
      <c r="AY12" s="24" t="s">
        <v>7</v>
      </c>
      <c r="AZ12" s="25"/>
    </row>
    <row r="13" spans="2:52" x14ac:dyDescent="0.35">
      <c r="B13" s="6">
        <v>10</v>
      </c>
      <c r="C13" t="s">
        <v>51</v>
      </c>
      <c r="D13" s="47" t="str">
        <f t="shared" si="0"/>
        <v>5-7pm</v>
      </c>
      <c r="E13" t="s">
        <v>347</v>
      </c>
      <c r="F13" s="6">
        <v>3</v>
      </c>
      <c r="G13" t="s">
        <v>198</v>
      </c>
      <c r="H13" t="s">
        <v>519</v>
      </c>
      <c r="I13" t="s">
        <v>254</v>
      </c>
      <c r="J13" t="s">
        <v>299</v>
      </c>
      <c r="K13" s="6" t="s">
        <v>317</v>
      </c>
      <c r="L13" s="42">
        <v>130.45310712541561</v>
      </c>
      <c r="M13" s="17">
        <v>1950000</v>
      </c>
      <c r="N13" s="82">
        <v>1</v>
      </c>
      <c r="O13" s="17">
        <f t="shared" si="1"/>
        <v>1950000</v>
      </c>
      <c r="T13" s="6">
        <v>10</v>
      </c>
      <c r="U13" s="86">
        <v>44995</v>
      </c>
      <c r="V13" s="6" t="s">
        <v>327</v>
      </c>
      <c r="W13" t="s">
        <v>304</v>
      </c>
      <c r="X13" t="s">
        <v>519</v>
      </c>
      <c r="Y13" t="s">
        <v>251</v>
      </c>
      <c r="Z13" s="6">
        <v>72</v>
      </c>
      <c r="AA13" s="17">
        <v>918000</v>
      </c>
      <c r="AB13" s="17">
        <f t="shared" si="2"/>
        <v>66096000</v>
      </c>
      <c r="AH13" s="6">
        <v>10</v>
      </c>
      <c r="AI13" s="6" t="s">
        <v>322</v>
      </c>
      <c r="AJ13" t="s">
        <v>295</v>
      </c>
      <c r="AK13" t="s">
        <v>519</v>
      </c>
      <c r="AL13" s="6">
        <v>72</v>
      </c>
      <c r="AO13" s="6">
        <v>10</v>
      </c>
      <c r="AP13" s="6" t="s">
        <v>322</v>
      </c>
      <c r="AQ13" t="s">
        <v>295</v>
      </c>
      <c r="AR13" t="s">
        <v>519</v>
      </c>
      <c r="AS13" s="6">
        <v>100</v>
      </c>
      <c r="AT13" s="6">
        <f>SUMIF(Table2[Name of Airlines],Table2[[#This Row],[Name of Airlines]],Table1[])</f>
        <v>70</v>
      </c>
      <c r="AU13" s="6">
        <f>Table2[[#This Row],[Stock on Quartal 1 2023]]-Table2[[#This Row],[Ticket Sold]]</f>
        <v>30</v>
      </c>
      <c r="AY13" s="24" t="s">
        <v>585</v>
      </c>
      <c r="AZ13" s="25"/>
    </row>
    <row r="14" spans="2:52" x14ac:dyDescent="0.35">
      <c r="B14" s="6">
        <v>11</v>
      </c>
      <c r="C14" t="s">
        <v>52</v>
      </c>
      <c r="D14" s="47" t="str">
        <f t="shared" si="0"/>
        <v>3-5pm</v>
      </c>
      <c r="E14" t="s">
        <v>348</v>
      </c>
      <c r="F14" s="6">
        <v>1</v>
      </c>
      <c r="G14" t="s">
        <v>198</v>
      </c>
      <c r="H14" t="s">
        <v>519</v>
      </c>
      <c r="I14" t="s">
        <v>263</v>
      </c>
      <c r="J14" t="s">
        <v>302</v>
      </c>
      <c r="K14" s="6" t="s">
        <v>321</v>
      </c>
      <c r="L14" s="42">
        <v>147.17786444918684</v>
      </c>
      <c r="M14" s="17">
        <v>2200000</v>
      </c>
      <c r="N14" s="82">
        <v>1</v>
      </c>
      <c r="O14" s="17">
        <f t="shared" si="1"/>
        <v>2200000</v>
      </c>
      <c r="T14" s="6">
        <v>11</v>
      </c>
      <c r="U14" s="86">
        <v>44996</v>
      </c>
      <c r="V14" s="6" t="s">
        <v>323</v>
      </c>
      <c r="W14" t="s">
        <v>305</v>
      </c>
      <c r="X14" t="s">
        <v>519</v>
      </c>
      <c r="Y14" s="4" t="s">
        <v>254</v>
      </c>
      <c r="Z14" s="6">
        <v>65</v>
      </c>
      <c r="AA14" s="17">
        <v>1032630</v>
      </c>
      <c r="AB14" s="17">
        <f t="shared" si="2"/>
        <v>67120950</v>
      </c>
      <c r="AH14" s="6">
        <v>11</v>
      </c>
      <c r="AI14" s="6" t="s">
        <v>326</v>
      </c>
      <c r="AJ14" t="s">
        <v>301</v>
      </c>
      <c r="AK14" t="s">
        <v>519</v>
      </c>
      <c r="AL14" s="6">
        <v>65</v>
      </c>
      <c r="AO14" s="6">
        <v>11</v>
      </c>
      <c r="AP14" s="6" t="s">
        <v>326</v>
      </c>
      <c r="AQ14" t="s">
        <v>301</v>
      </c>
      <c r="AR14" t="s">
        <v>519</v>
      </c>
      <c r="AS14" s="6">
        <v>100</v>
      </c>
      <c r="AT14" s="6">
        <f>SUMIF(Table2[Name of Airlines],Table2[[#This Row],[Name of Airlines]],Table1[])</f>
        <v>42</v>
      </c>
      <c r="AU14" s="6">
        <f>Table2[[#This Row],[Stock on Quartal 1 2023]]-Table2[[#This Row],[Ticket Sold]]</f>
        <v>58</v>
      </c>
      <c r="AY14" s="24" t="s">
        <v>203</v>
      </c>
      <c r="AZ14" s="25"/>
    </row>
    <row r="15" spans="2:52" x14ac:dyDescent="0.35">
      <c r="B15" s="6">
        <v>12</v>
      </c>
      <c r="C15" t="s">
        <v>53</v>
      </c>
      <c r="D15" s="47" t="str">
        <f t="shared" si="0"/>
        <v>12-3pm</v>
      </c>
      <c r="E15" t="s">
        <v>401</v>
      </c>
      <c r="F15" s="6">
        <v>9</v>
      </c>
      <c r="G15" t="s">
        <v>199</v>
      </c>
      <c r="H15" t="s">
        <v>520</v>
      </c>
      <c r="I15" t="s">
        <v>237</v>
      </c>
      <c r="J15" t="s">
        <v>313</v>
      </c>
      <c r="K15" s="6" t="s">
        <v>335</v>
      </c>
      <c r="L15" s="42">
        <v>658.95543855658661</v>
      </c>
      <c r="M15" s="17">
        <v>9850000</v>
      </c>
      <c r="N15" s="82">
        <v>1</v>
      </c>
      <c r="O15" s="17">
        <f t="shared" si="1"/>
        <v>9850000</v>
      </c>
      <c r="T15" s="6">
        <v>12</v>
      </c>
      <c r="U15" s="86">
        <v>44997</v>
      </c>
      <c r="V15" s="6" t="s">
        <v>328</v>
      </c>
      <c r="W15" t="s">
        <v>306</v>
      </c>
      <c r="X15" t="s">
        <v>520</v>
      </c>
      <c r="Y15" t="s">
        <v>213</v>
      </c>
      <c r="Z15" s="6">
        <v>42</v>
      </c>
      <c r="AA15" s="17">
        <v>8865000</v>
      </c>
      <c r="AB15" s="17">
        <f t="shared" si="2"/>
        <v>372330000</v>
      </c>
      <c r="AH15" s="6">
        <v>12</v>
      </c>
      <c r="AI15" s="6" t="s">
        <v>318</v>
      </c>
      <c r="AJ15" t="s">
        <v>300</v>
      </c>
      <c r="AK15" t="s">
        <v>519</v>
      </c>
      <c r="AL15" s="6">
        <v>42</v>
      </c>
      <c r="AO15" s="6">
        <v>12</v>
      </c>
      <c r="AP15" s="6" t="s">
        <v>318</v>
      </c>
      <c r="AQ15" t="s">
        <v>300</v>
      </c>
      <c r="AR15" t="s">
        <v>519</v>
      </c>
      <c r="AS15" s="6">
        <v>100</v>
      </c>
      <c r="AT15" s="6">
        <f>SUMIF(Table2[Name of Airlines],Table2[[#This Row],[Name of Airlines]],Table1[])</f>
        <v>12</v>
      </c>
      <c r="AU15" s="6">
        <f>Table2[[#This Row],[Stock on Quartal 1 2023]]-Table2[[#This Row],[Ticket Sold]]</f>
        <v>88</v>
      </c>
      <c r="AY15" s="24" t="s">
        <v>854</v>
      </c>
      <c r="AZ15" s="25"/>
    </row>
    <row r="16" spans="2:52" x14ac:dyDescent="0.35">
      <c r="B16" s="6">
        <v>13</v>
      </c>
      <c r="C16" t="s">
        <v>54</v>
      </c>
      <c r="D16" s="47" t="str">
        <f t="shared" si="0"/>
        <v>3-5pm</v>
      </c>
      <c r="E16" t="s">
        <v>402</v>
      </c>
      <c r="F16" s="6">
        <v>1</v>
      </c>
      <c r="G16" t="s">
        <v>199</v>
      </c>
      <c r="H16" t="s">
        <v>520</v>
      </c>
      <c r="I16" t="s">
        <v>205</v>
      </c>
      <c r="J16" t="s">
        <v>310</v>
      </c>
      <c r="K16" s="6" t="s">
        <v>332</v>
      </c>
      <c r="L16" s="42">
        <v>699.429351280113</v>
      </c>
      <c r="M16" s="17">
        <v>10455000</v>
      </c>
      <c r="N16" s="82">
        <v>2</v>
      </c>
      <c r="O16" s="17">
        <f t="shared" si="1"/>
        <v>20910000</v>
      </c>
      <c r="T16" s="6">
        <v>13</v>
      </c>
      <c r="U16" s="86">
        <v>44998</v>
      </c>
      <c r="V16" s="6" t="s">
        <v>329</v>
      </c>
      <c r="W16" t="s">
        <v>307</v>
      </c>
      <c r="X16" t="s">
        <v>520</v>
      </c>
      <c r="Y16" t="s">
        <v>227</v>
      </c>
      <c r="Z16" s="6">
        <v>51</v>
      </c>
      <c r="AA16" s="17">
        <v>4952000</v>
      </c>
      <c r="AB16" s="17">
        <f t="shared" si="2"/>
        <v>252552000</v>
      </c>
      <c r="AH16" s="6">
        <v>13</v>
      </c>
      <c r="AI16" s="6" t="s">
        <v>320</v>
      </c>
      <c r="AJ16" t="s">
        <v>297</v>
      </c>
      <c r="AK16" t="s">
        <v>519</v>
      </c>
      <c r="AL16" s="6">
        <v>51</v>
      </c>
      <c r="AO16" s="6">
        <v>13</v>
      </c>
      <c r="AP16" s="6" t="s">
        <v>320</v>
      </c>
      <c r="AQ16" t="s">
        <v>297</v>
      </c>
      <c r="AR16" t="s">
        <v>519</v>
      </c>
      <c r="AS16" s="6">
        <v>130</v>
      </c>
      <c r="AT16" s="6">
        <f>SUMIF(Table2[Name of Airlines],Table2[[#This Row],[Name of Airlines]],Table1[])</f>
        <v>52</v>
      </c>
      <c r="AU16" s="6">
        <f>Table2[[#This Row],[Stock on Quartal 1 2023]]-Table2[[#This Row],[Ticket Sold]]</f>
        <v>78</v>
      </c>
      <c r="AY16" s="24" t="s">
        <v>855</v>
      </c>
      <c r="AZ16" s="25"/>
    </row>
    <row r="17" spans="2:52" x14ac:dyDescent="0.35">
      <c r="B17" s="6">
        <v>14</v>
      </c>
      <c r="C17" t="s">
        <v>55</v>
      </c>
      <c r="D17" s="47" t="str">
        <f t="shared" si="0"/>
        <v>12-3pm</v>
      </c>
      <c r="E17" t="s">
        <v>403</v>
      </c>
      <c r="F17" s="6">
        <v>9</v>
      </c>
      <c r="G17" t="s">
        <v>199</v>
      </c>
      <c r="H17" t="s">
        <v>520</v>
      </c>
      <c r="I17" t="s">
        <v>233</v>
      </c>
      <c r="J17" t="s">
        <v>308</v>
      </c>
      <c r="K17" s="6" t="s">
        <v>330</v>
      </c>
      <c r="L17" s="42">
        <v>692.40495320412901</v>
      </c>
      <c r="M17" s="17">
        <v>10350000</v>
      </c>
      <c r="N17" s="82">
        <v>3</v>
      </c>
      <c r="O17" s="17">
        <f t="shared" si="1"/>
        <v>31050000</v>
      </c>
      <c r="T17" s="6">
        <v>14</v>
      </c>
      <c r="U17" s="86">
        <v>44999</v>
      </c>
      <c r="V17" s="6" t="s">
        <v>330</v>
      </c>
      <c r="W17" t="s">
        <v>308</v>
      </c>
      <c r="X17" t="s">
        <v>520</v>
      </c>
      <c r="Y17" t="s">
        <v>233</v>
      </c>
      <c r="Z17" s="6">
        <v>27</v>
      </c>
      <c r="AA17" s="17">
        <v>5416700</v>
      </c>
      <c r="AB17" s="17">
        <f t="shared" si="2"/>
        <v>146250900</v>
      </c>
      <c r="AH17" s="6">
        <v>14</v>
      </c>
      <c r="AI17" s="6" t="s">
        <v>325</v>
      </c>
      <c r="AJ17" t="s">
        <v>298</v>
      </c>
      <c r="AK17" t="s">
        <v>519</v>
      </c>
      <c r="AL17" s="6">
        <v>27</v>
      </c>
      <c r="AO17" s="6">
        <v>14</v>
      </c>
      <c r="AP17" s="6" t="s">
        <v>325</v>
      </c>
      <c r="AQ17" t="s">
        <v>298</v>
      </c>
      <c r="AR17" t="s">
        <v>519</v>
      </c>
      <c r="AS17" s="6">
        <v>120</v>
      </c>
      <c r="AT17" s="6">
        <f>SUMIF(Table2[Name of Airlines],Table2[[#This Row],[Name of Airlines]],Table1[])</f>
        <v>19</v>
      </c>
      <c r="AU17" s="6">
        <f>Table2[[#This Row],[Stock on Quartal 1 2023]]-Table2[[#This Row],[Ticket Sold]]</f>
        <v>101</v>
      </c>
      <c r="AY17" s="24" t="s">
        <v>856</v>
      </c>
      <c r="AZ17" s="25"/>
    </row>
    <row r="18" spans="2:52" ht="16" thickBot="1" x14ac:dyDescent="0.4">
      <c r="B18" s="6">
        <v>15</v>
      </c>
      <c r="C18" t="s">
        <v>56</v>
      </c>
      <c r="D18" s="47" t="str">
        <f t="shared" si="0"/>
        <v>3-5pm</v>
      </c>
      <c r="E18" t="s">
        <v>404</v>
      </c>
      <c r="F18" s="6">
        <v>1</v>
      </c>
      <c r="G18" t="s">
        <v>199</v>
      </c>
      <c r="H18" t="s">
        <v>520</v>
      </c>
      <c r="I18" t="s">
        <v>227</v>
      </c>
      <c r="J18" t="s">
        <v>307</v>
      </c>
      <c r="K18" s="6" t="s">
        <v>329</v>
      </c>
      <c r="L18" s="42">
        <v>705.784759063146</v>
      </c>
      <c r="M18" s="17">
        <v>10550000</v>
      </c>
      <c r="N18" s="82">
        <v>3</v>
      </c>
      <c r="O18" s="17">
        <f t="shared" si="1"/>
        <v>31650000</v>
      </c>
      <c r="T18" s="6">
        <v>15</v>
      </c>
      <c r="U18" s="86">
        <v>45000</v>
      </c>
      <c r="V18" s="6" t="s">
        <v>331</v>
      </c>
      <c r="W18" t="s">
        <v>309</v>
      </c>
      <c r="X18" t="s">
        <v>520</v>
      </c>
      <c r="Y18" t="s">
        <v>239</v>
      </c>
      <c r="Z18" s="6">
        <v>39</v>
      </c>
      <c r="AA18" s="17">
        <v>11515000</v>
      </c>
      <c r="AB18" s="17">
        <f t="shared" si="2"/>
        <v>449085000</v>
      </c>
      <c r="AH18" s="6">
        <v>15</v>
      </c>
      <c r="AI18" s="6" t="s">
        <v>337</v>
      </c>
      <c r="AJ18" t="s">
        <v>315</v>
      </c>
      <c r="AK18" t="s">
        <v>520</v>
      </c>
      <c r="AL18" s="6">
        <v>39</v>
      </c>
      <c r="AO18" s="6">
        <v>15</v>
      </c>
      <c r="AP18" s="6" t="s">
        <v>337</v>
      </c>
      <c r="AQ18" t="s">
        <v>315</v>
      </c>
      <c r="AR18" t="s">
        <v>520</v>
      </c>
      <c r="AS18" s="6">
        <v>90</v>
      </c>
      <c r="AT18" s="6">
        <f>SUMIF(Table2[Name of Airlines],Table2[[#This Row],[Name of Airlines]],Table1[])</f>
        <v>63</v>
      </c>
      <c r="AU18" s="6">
        <f>Table2[[#This Row],[Stock on Quartal 1 2023]]-Table2[[#This Row],[Ticket Sold]]</f>
        <v>27</v>
      </c>
      <c r="AY18" s="102" t="s">
        <v>580</v>
      </c>
      <c r="AZ18" s="41"/>
    </row>
    <row r="19" spans="2:52" x14ac:dyDescent="0.35">
      <c r="B19" s="6">
        <v>16</v>
      </c>
      <c r="C19" t="s">
        <v>57</v>
      </c>
      <c r="D19" s="47" t="str">
        <f t="shared" si="0"/>
        <v>12-3pm</v>
      </c>
      <c r="E19" t="s">
        <v>405</v>
      </c>
      <c r="F19" s="6">
        <v>9</v>
      </c>
      <c r="G19" t="s">
        <v>199</v>
      </c>
      <c r="H19" t="s">
        <v>520</v>
      </c>
      <c r="I19" t="s">
        <v>213</v>
      </c>
      <c r="J19" t="s">
        <v>314</v>
      </c>
      <c r="K19" s="6" t="s">
        <v>336</v>
      </c>
      <c r="L19" s="42">
        <v>839.91731279979126</v>
      </c>
      <c r="M19" s="17">
        <v>12555000</v>
      </c>
      <c r="N19" s="82">
        <v>3</v>
      </c>
      <c r="O19" s="17">
        <f t="shared" si="1"/>
        <v>37665000</v>
      </c>
      <c r="T19" s="6">
        <v>16</v>
      </c>
      <c r="U19" s="86">
        <v>45001</v>
      </c>
      <c r="V19" s="6" t="s">
        <v>332</v>
      </c>
      <c r="W19" t="s">
        <v>310</v>
      </c>
      <c r="X19" t="s">
        <v>520</v>
      </c>
      <c r="Y19" t="s">
        <v>207</v>
      </c>
      <c r="Z19" s="6">
        <v>26</v>
      </c>
      <c r="AA19" s="17">
        <v>8315000</v>
      </c>
      <c r="AB19" s="17">
        <f t="shared" si="2"/>
        <v>216190000</v>
      </c>
      <c r="AH19" s="6">
        <v>16</v>
      </c>
      <c r="AI19" s="6" t="s">
        <v>319</v>
      </c>
      <c r="AJ19" t="s">
        <v>303</v>
      </c>
      <c r="AK19" t="s">
        <v>519</v>
      </c>
      <c r="AL19" s="6">
        <v>26</v>
      </c>
      <c r="AO19" s="6">
        <v>16</v>
      </c>
      <c r="AP19" s="6" t="s">
        <v>319</v>
      </c>
      <c r="AQ19" t="s">
        <v>303</v>
      </c>
      <c r="AR19" t="s">
        <v>519</v>
      </c>
      <c r="AS19" s="6">
        <v>85</v>
      </c>
      <c r="AT19" s="6">
        <f>SUMIF(Table2[Name of Airlines],Table2[[#This Row],[Name of Airlines]],Table1[])</f>
        <v>37</v>
      </c>
      <c r="AU19" s="6">
        <f>Table2[[#This Row],[Stock on Quartal 1 2023]]-Table2[[#This Row],[Ticket Sold]]</f>
        <v>48</v>
      </c>
    </row>
    <row r="20" spans="2:52" x14ac:dyDescent="0.35">
      <c r="B20" s="6">
        <v>17</v>
      </c>
      <c r="C20" t="s">
        <v>58</v>
      </c>
      <c r="D20" s="47" t="str">
        <f t="shared" si="0"/>
        <v>7-9pm</v>
      </c>
      <c r="E20" t="s">
        <v>356</v>
      </c>
      <c r="F20" s="6">
        <v>7</v>
      </c>
      <c r="G20" t="s">
        <v>198</v>
      </c>
      <c r="H20" t="s">
        <v>519</v>
      </c>
      <c r="I20" t="s">
        <v>251</v>
      </c>
      <c r="J20" t="s">
        <v>295</v>
      </c>
      <c r="K20" s="6" t="s">
        <v>322</v>
      </c>
      <c r="L20" s="42">
        <v>130.45310712541561</v>
      </c>
      <c r="M20" s="17">
        <v>1950000</v>
      </c>
      <c r="N20" s="82">
        <v>2</v>
      </c>
      <c r="O20" s="17">
        <f t="shared" si="1"/>
        <v>3900000</v>
      </c>
      <c r="T20" s="6">
        <v>17</v>
      </c>
      <c r="U20" s="86">
        <v>45002</v>
      </c>
      <c r="V20" s="6" t="s">
        <v>333</v>
      </c>
      <c r="W20" t="s">
        <v>311</v>
      </c>
      <c r="X20" t="s">
        <v>520</v>
      </c>
      <c r="Y20" t="s">
        <v>206</v>
      </c>
      <c r="Z20" s="6">
        <v>45</v>
      </c>
      <c r="AA20" s="17">
        <v>5241000</v>
      </c>
      <c r="AB20" s="17">
        <f t="shared" si="2"/>
        <v>235845000</v>
      </c>
      <c r="AH20" s="6">
        <v>17</v>
      </c>
      <c r="AI20" s="6" t="s">
        <v>338</v>
      </c>
      <c r="AJ20" t="s">
        <v>316</v>
      </c>
      <c r="AK20" t="s">
        <v>520</v>
      </c>
      <c r="AL20" s="6">
        <v>45</v>
      </c>
      <c r="AO20" s="6">
        <v>17</v>
      </c>
      <c r="AP20" s="6" t="s">
        <v>338</v>
      </c>
      <c r="AQ20" t="s">
        <v>316</v>
      </c>
      <c r="AR20" t="s">
        <v>520</v>
      </c>
      <c r="AS20" s="6">
        <v>85</v>
      </c>
      <c r="AT20" s="6">
        <f>SUMIF(Table2[Name of Airlines],Table2[[#This Row],[Name of Airlines]],Table1[])</f>
        <v>17</v>
      </c>
      <c r="AU20" s="6">
        <f>Table2[[#This Row],[Stock on Quartal 1 2023]]-Table2[[#This Row],[Ticket Sold]]</f>
        <v>68</v>
      </c>
    </row>
    <row r="21" spans="2:52" x14ac:dyDescent="0.35">
      <c r="B21" s="6">
        <v>18</v>
      </c>
      <c r="C21" t="s">
        <v>59</v>
      </c>
      <c r="D21" s="47" t="str">
        <f t="shared" si="0"/>
        <v>7-9pm</v>
      </c>
      <c r="E21" t="s">
        <v>379</v>
      </c>
      <c r="F21" s="6">
        <v>7</v>
      </c>
      <c r="G21" t="s">
        <v>199</v>
      </c>
      <c r="H21" t="s">
        <v>520</v>
      </c>
      <c r="I21" t="s">
        <v>200</v>
      </c>
      <c r="J21" t="s">
        <v>306</v>
      </c>
      <c r="K21" s="6" t="s">
        <v>328</v>
      </c>
      <c r="L21" s="42">
        <v>558.94138976043462</v>
      </c>
      <c r="M21" s="17">
        <v>8355000</v>
      </c>
      <c r="N21" s="82">
        <v>4</v>
      </c>
      <c r="O21" s="17">
        <f t="shared" si="1"/>
        <v>33420000</v>
      </c>
      <c r="T21" s="6">
        <v>18</v>
      </c>
      <c r="U21" s="86">
        <v>45003</v>
      </c>
      <c r="V21" s="6" t="s">
        <v>334</v>
      </c>
      <c r="W21" t="s">
        <v>312</v>
      </c>
      <c r="X21" t="s">
        <v>520</v>
      </c>
      <c r="Y21" t="s">
        <v>201</v>
      </c>
      <c r="Z21" s="6">
        <v>50</v>
      </c>
      <c r="AA21" s="17">
        <v>5271000</v>
      </c>
      <c r="AB21" s="17">
        <f t="shared" si="2"/>
        <v>263550000</v>
      </c>
      <c r="AH21" s="6">
        <v>18</v>
      </c>
      <c r="AI21" s="6" t="s">
        <v>331</v>
      </c>
      <c r="AJ21" t="s">
        <v>309</v>
      </c>
      <c r="AK21" t="s">
        <v>520</v>
      </c>
      <c r="AL21" s="6">
        <v>50</v>
      </c>
      <c r="AO21" s="6">
        <v>18</v>
      </c>
      <c r="AP21" s="6" t="s">
        <v>331</v>
      </c>
      <c r="AQ21" t="s">
        <v>309</v>
      </c>
      <c r="AR21" t="s">
        <v>520</v>
      </c>
      <c r="AS21" s="6">
        <v>85</v>
      </c>
      <c r="AT21" s="6">
        <f>SUMIF(Table2[Name of Airlines],Table2[[#This Row],[Name of Airlines]],Table1[])</f>
        <v>52</v>
      </c>
      <c r="AU21" s="6">
        <f>Table2[[#This Row],[Stock on Quartal 1 2023]]-Table2[[#This Row],[Ticket Sold]]</f>
        <v>33</v>
      </c>
    </row>
    <row r="22" spans="2:52" x14ac:dyDescent="0.35">
      <c r="B22" s="6">
        <v>19</v>
      </c>
      <c r="C22" t="s">
        <v>60</v>
      </c>
      <c r="D22" s="47" t="str">
        <f t="shared" si="0"/>
        <v>5-7pm</v>
      </c>
      <c r="E22" t="s">
        <v>380</v>
      </c>
      <c r="F22" s="6">
        <v>3</v>
      </c>
      <c r="G22" t="s">
        <v>199</v>
      </c>
      <c r="H22" t="s">
        <v>520</v>
      </c>
      <c r="I22" t="s">
        <v>201</v>
      </c>
      <c r="J22" t="s">
        <v>309</v>
      </c>
      <c r="K22" s="6" t="s">
        <v>331</v>
      </c>
      <c r="L22" s="42">
        <v>551.91699168445064</v>
      </c>
      <c r="M22" s="17">
        <v>8250000</v>
      </c>
      <c r="N22" s="82">
        <v>4</v>
      </c>
      <c r="O22" s="17">
        <f t="shared" si="1"/>
        <v>33000000</v>
      </c>
      <c r="T22" s="6">
        <v>19</v>
      </c>
      <c r="U22" s="86">
        <v>45004</v>
      </c>
      <c r="V22" s="6" t="s">
        <v>335</v>
      </c>
      <c r="W22" t="s">
        <v>313</v>
      </c>
      <c r="X22" t="s">
        <v>520</v>
      </c>
      <c r="Y22" t="s">
        <v>237</v>
      </c>
      <c r="Z22" s="6">
        <v>37</v>
      </c>
      <c r="AA22" s="17">
        <v>2119000</v>
      </c>
      <c r="AB22" s="17">
        <f t="shared" si="2"/>
        <v>78403000</v>
      </c>
      <c r="AH22" s="6">
        <v>19</v>
      </c>
      <c r="AI22" s="6" t="s">
        <v>337</v>
      </c>
      <c r="AJ22" t="s">
        <v>315</v>
      </c>
      <c r="AK22" t="s">
        <v>520</v>
      </c>
      <c r="AL22" s="6">
        <v>37</v>
      </c>
      <c r="AO22" s="6">
        <v>19</v>
      </c>
      <c r="AP22" s="6" t="s">
        <v>337</v>
      </c>
      <c r="AQ22" t="s">
        <v>315</v>
      </c>
      <c r="AR22" t="s">
        <v>520</v>
      </c>
      <c r="AS22" s="6">
        <v>70</v>
      </c>
      <c r="AT22" s="6">
        <f>SUMIF(Table2[Name of Airlines],Table2[[#This Row],[Name of Airlines]],Table1[])</f>
        <v>63</v>
      </c>
      <c r="AU22" s="6">
        <f>Table2[[#This Row],[Stock on Quartal 1 2023]]-Table2[[#This Row],[Ticket Sold]]</f>
        <v>7</v>
      </c>
    </row>
    <row r="23" spans="2:52" x14ac:dyDescent="0.35">
      <c r="B23" s="6">
        <v>20</v>
      </c>
      <c r="C23" t="s">
        <v>61</v>
      </c>
      <c r="D23" s="47" t="str">
        <f t="shared" si="0"/>
        <v>5-7pm</v>
      </c>
      <c r="E23" t="s">
        <v>381</v>
      </c>
      <c r="F23" s="6">
        <v>3</v>
      </c>
      <c r="G23" t="s">
        <v>199</v>
      </c>
      <c r="H23" t="s">
        <v>520</v>
      </c>
      <c r="I23" t="s">
        <v>200</v>
      </c>
      <c r="J23" t="s">
        <v>311</v>
      </c>
      <c r="K23" s="6" t="s">
        <v>333</v>
      </c>
      <c r="L23" s="42">
        <v>558.94138976043462</v>
      </c>
      <c r="M23" s="17">
        <v>8355000</v>
      </c>
      <c r="N23" s="82">
        <v>4</v>
      </c>
      <c r="O23" s="17">
        <f t="shared" si="1"/>
        <v>33420000</v>
      </c>
      <c r="T23" s="6">
        <v>20</v>
      </c>
      <c r="U23" s="86">
        <v>45005</v>
      </c>
      <c r="V23" s="6" t="s">
        <v>336</v>
      </c>
      <c r="W23" t="s">
        <v>314</v>
      </c>
      <c r="X23" t="s">
        <v>520</v>
      </c>
      <c r="Y23" t="s">
        <v>213</v>
      </c>
      <c r="Z23" s="6">
        <v>32</v>
      </c>
      <c r="AA23" s="17">
        <v>4768000</v>
      </c>
      <c r="AB23" s="17">
        <f t="shared" si="2"/>
        <v>152576000</v>
      </c>
      <c r="AH23" s="6">
        <v>20</v>
      </c>
      <c r="AI23" s="6" t="s">
        <v>330</v>
      </c>
      <c r="AJ23" t="s">
        <v>308</v>
      </c>
      <c r="AK23" t="s">
        <v>520</v>
      </c>
      <c r="AL23" s="6">
        <v>32</v>
      </c>
      <c r="AO23" s="6">
        <v>20</v>
      </c>
      <c r="AP23" s="6" t="s">
        <v>330</v>
      </c>
      <c r="AQ23" t="s">
        <v>308</v>
      </c>
      <c r="AR23" t="s">
        <v>520</v>
      </c>
      <c r="AS23" s="6">
        <v>50</v>
      </c>
      <c r="AT23" s="6">
        <f>SUMIF(Table2[Name of Airlines],Table2[[#This Row],[Name of Airlines]],Table1[])</f>
        <v>108</v>
      </c>
      <c r="AU23" s="6">
        <f>Table2[[#This Row],[Stock on Quartal 1 2023]]-Table2[[#This Row],[Ticket Sold]]</f>
        <v>-58</v>
      </c>
    </row>
    <row r="24" spans="2:52" x14ac:dyDescent="0.35">
      <c r="B24" s="6">
        <v>21</v>
      </c>
      <c r="C24" t="s">
        <v>62</v>
      </c>
      <c r="D24" s="47" t="str">
        <f t="shared" si="0"/>
        <v>1-3am</v>
      </c>
      <c r="E24" t="s">
        <v>360</v>
      </c>
      <c r="F24" s="6">
        <v>12</v>
      </c>
      <c r="G24" t="s">
        <v>198</v>
      </c>
      <c r="H24" t="s">
        <v>519</v>
      </c>
      <c r="I24" t="s">
        <v>258</v>
      </c>
      <c r="J24" t="s">
        <v>298</v>
      </c>
      <c r="K24" s="6" t="s">
        <v>325</v>
      </c>
      <c r="L24" s="42">
        <v>157.21271884344958</v>
      </c>
      <c r="M24" s="17">
        <v>2350000</v>
      </c>
      <c r="N24" s="82">
        <v>1</v>
      </c>
      <c r="O24" s="17">
        <f t="shared" si="1"/>
        <v>2350000</v>
      </c>
      <c r="T24" s="6">
        <v>21</v>
      </c>
      <c r="U24" s="86">
        <v>45006</v>
      </c>
      <c r="V24" s="6" t="s">
        <v>337</v>
      </c>
      <c r="W24" t="s">
        <v>315</v>
      </c>
      <c r="X24" t="s">
        <v>520</v>
      </c>
      <c r="Y24" t="s">
        <v>225</v>
      </c>
      <c r="Z24" s="6">
        <v>77</v>
      </c>
      <c r="AA24" s="17">
        <v>2316000</v>
      </c>
      <c r="AB24" s="17">
        <f t="shared" si="2"/>
        <v>178332000</v>
      </c>
      <c r="AH24" s="6">
        <v>21</v>
      </c>
      <c r="AI24" s="6" t="s">
        <v>319</v>
      </c>
      <c r="AJ24" t="s">
        <v>303</v>
      </c>
      <c r="AK24" t="s">
        <v>519</v>
      </c>
      <c r="AL24" s="6">
        <v>77</v>
      </c>
      <c r="AO24" s="6">
        <v>21</v>
      </c>
      <c r="AP24" s="6" t="s">
        <v>319</v>
      </c>
      <c r="AQ24" t="s">
        <v>303</v>
      </c>
      <c r="AR24" t="s">
        <v>519</v>
      </c>
      <c r="AS24" s="6">
        <v>100</v>
      </c>
      <c r="AT24" s="6">
        <f>SUMIF(Table2[Name of Airlines],Table2[[#This Row],[Name of Airlines]],Table1[])</f>
        <v>37</v>
      </c>
      <c r="AU24" s="6">
        <f>Table2[[#This Row],[Stock on Quartal 1 2023]]-Table2[[#This Row],[Ticket Sold]]</f>
        <v>63</v>
      </c>
    </row>
    <row r="25" spans="2:52" x14ac:dyDescent="0.35">
      <c r="B25" s="6">
        <v>22</v>
      </c>
      <c r="C25" t="s">
        <v>63</v>
      </c>
      <c r="D25" s="47" t="str">
        <f t="shared" si="0"/>
        <v>7-9pm</v>
      </c>
      <c r="E25" t="s">
        <v>361</v>
      </c>
      <c r="F25" s="6">
        <v>7</v>
      </c>
      <c r="G25" t="s">
        <v>198</v>
      </c>
      <c r="H25" t="s">
        <v>519</v>
      </c>
      <c r="I25" t="s">
        <v>285</v>
      </c>
      <c r="J25" t="s">
        <v>301</v>
      </c>
      <c r="K25" s="6" t="s">
        <v>326</v>
      </c>
      <c r="L25" s="42">
        <v>157.54721398992501</v>
      </c>
      <c r="M25" s="17">
        <v>2355000</v>
      </c>
      <c r="N25" s="82">
        <v>1</v>
      </c>
      <c r="O25" s="17">
        <f t="shared" si="1"/>
        <v>2355000</v>
      </c>
      <c r="T25" s="6">
        <v>22</v>
      </c>
      <c r="U25" s="86">
        <v>45007</v>
      </c>
      <c r="V25" s="6" t="s">
        <v>338</v>
      </c>
      <c r="W25" t="s">
        <v>316</v>
      </c>
      <c r="X25" t="s">
        <v>520</v>
      </c>
      <c r="Y25" t="s">
        <v>219</v>
      </c>
      <c r="Z25" s="6">
        <v>64</v>
      </c>
      <c r="AA25" s="17">
        <v>2785800</v>
      </c>
      <c r="AB25" s="17">
        <f t="shared" si="2"/>
        <v>178291200</v>
      </c>
      <c r="AH25" s="6">
        <v>22</v>
      </c>
      <c r="AI25" s="6" t="s">
        <v>317</v>
      </c>
      <c r="AJ25" t="s">
        <v>299</v>
      </c>
      <c r="AK25" t="s">
        <v>519</v>
      </c>
      <c r="AL25" s="6">
        <v>64</v>
      </c>
      <c r="AO25" s="6">
        <v>22</v>
      </c>
      <c r="AP25" s="6" t="s">
        <v>317</v>
      </c>
      <c r="AQ25" t="s">
        <v>299</v>
      </c>
      <c r="AR25" t="s">
        <v>519</v>
      </c>
      <c r="AS25" s="6">
        <v>90</v>
      </c>
      <c r="AT25" s="6">
        <f>SUMIF(Table2[Name of Airlines],Table2[[#This Row],[Name of Airlines]],Table1[])</f>
        <v>130</v>
      </c>
      <c r="AU25" s="6">
        <f>Table2[[#This Row],[Stock on Quartal 1 2023]]-Table2[[#This Row],[Ticket Sold]]</f>
        <v>-40</v>
      </c>
    </row>
    <row r="26" spans="2:52" x14ac:dyDescent="0.35">
      <c r="B26" s="6">
        <v>23</v>
      </c>
      <c r="C26" t="s">
        <v>64</v>
      </c>
      <c r="D26" s="47" t="str">
        <f t="shared" si="0"/>
        <v>7-9pm</v>
      </c>
      <c r="E26" t="s">
        <v>362</v>
      </c>
      <c r="F26" s="6">
        <v>7</v>
      </c>
      <c r="G26" t="s">
        <v>198</v>
      </c>
      <c r="H26" t="s">
        <v>519</v>
      </c>
      <c r="I26" t="s">
        <v>272</v>
      </c>
      <c r="J26" t="s">
        <v>302</v>
      </c>
      <c r="K26" s="6" t="s">
        <v>321</v>
      </c>
      <c r="L26" s="42">
        <v>147.17786444918684</v>
      </c>
      <c r="M26" s="17">
        <v>2200000</v>
      </c>
      <c r="N26" s="82">
        <v>1</v>
      </c>
      <c r="O26" s="17">
        <f t="shared" si="1"/>
        <v>2200000</v>
      </c>
      <c r="T26" s="6">
        <v>23</v>
      </c>
      <c r="U26" s="86">
        <v>45008</v>
      </c>
      <c r="V26" s="6" t="s">
        <v>322</v>
      </c>
      <c r="W26" t="s">
        <v>295</v>
      </c>
      <c r="X26" t="s">
        <v>519</v>
      </c>
      <c r="Y26" t="s">
        <v>251</v>
      </c>
      <c r="Z26" s="6">
        <v>80</v>
      </c>
      <c r="AA26" s="17">
        <v>712553</v>
      </c>
      <c r="AB26" s="17">
        <f t="shared" si="2"/>
        <v>57004240</v>
      </c>
      <c r="AH26" s="6">
        <v>23</v>
      </c>
      <c r="AI26" s="6" t="s">
        <v>317</v>
      </c>
      <c r="AJ26" t="s">
        <v>299</v>
      </c>
      <c r="AK26" t="s">
        <v>519</v>
      </c>
      <c r="AL26" s="6">
        <v>80</v>
      </c>
      <c r="AO26" s="6">
        <v>23</v>
      </c>
      <c r="AP26" s="6" t="s">
        <v>317</v>
      </c>
      <c r="AQ26" t="s">
        <v>299</v>
      </c>
      <c r="AR26" t="s">
        <v>519</v>
      </c>
      <c r="AS26" s="6">
        <v>100</v>
      </c>
      <c r="AT26" s="6">
        <f>SUMIF(Table2[Name of Airlines],Table2[[#This Row],[Name of Airlines]],Table1[])</f>
        <v>130</v>
      </c>
      <c r="AU26" s="6">
        <f>Table2[[#This Row],[Stock on Quartal 1 2023]]-Table2[[#This Row],[Ticket Sold]]</f>
        <v>-30</v>
      </c>
    </row>
    <row r="27" spans="2:52" x14ac:dyDescent="0.35">
      <c r="B27" s="6">
        <v>24</v>
      </c>
      <c r="C27" t="s">
        <v>65</v>
      </c>
      <c r="D27" s="47" t="str">
        <f t="shared" si="0"/>
        <v>5-7pm</v>
      </c>
      <c r="E27" t="s">
        <v>363</v>
      </c>
      <c r="F27" s="6">
        <v>3</v>
      </c>
      <c r="G27" t="s">
        <v>198</v>
      </c>
      <c r="H27" t="s">
        <v>519</v>
      </c>
      <c r="I27" t="s">
        <v>272</v>
      </c>
      <c r="J27" t="s">
        <v>296</v>
      </c>
      <c r="K27" s="6" t="s">
        <v>324</v>
      </c>
      <c r="L27" s="42">
        <v>147.17786444918684</v>
      </c>
      <c r="M27" s="17">
        <v>2200000</v>
      </c>
      <c r="N27" s="82">
        <v>1</v>
      </c>
      <c r="O27" s="17">
        <f t="shared" si="1"/>
        <v>2200000</v>
      </c>
      <c r="T27" s="6">
        <v>24</v>
      </c>
      <c r="U27" s="86">
        <v>45009</v>
      </c>
      <c r="V27" s="6" t="s">
        <v>324</v>
      </c>
      <c r="W27" t="s">
        <v>296</v>
      </c>
      <c r="X27" t="s">
        <v>519</v>
      </c>
      <c r="Y27" t="s">
        <v>256</v>
      </c>
      <c r="Z27" s="6">
        <v>65</v>
      </c>
      <c r="AA27" s="17">
        <v>2964519</v>
      </c>
      <c r="AB27" s="17">
        <f t="shared" si="2"/>
        <v>192693735</v>
      </c>
      <c r="AH27" s="6">
        <v>24</v>
      </c>
      <c r="AI27" s="6" t="s">
        <v>321</v>
      </c>
      <c r="AJ27" t="s">
        <v>302</v>
      </c>
      <c r="AK27" t="s">
        <v>519</v>
      </c>
      <c r="AL27" s="6">
        <v>65</v>
      </c>
      <c r="AO27" s="6">
        <v>24</v>
      </c>
      <c r="AP27" s="6" t="s">
        <v>321</v>
      </c>
      <c r="AQ27" t="s">
        <v>302</v>
      </c>
      <c r="AR27" t="s">
        <v>519</v>
      </c>
      <c r="AS27" s="6">
        <v>110</v>
      </c>
      <c r="AT27" s="6">
        <f>SUMIF(Table2[Name of Airlines],Table2[[#This Row],[Name of Airlines]],Table1[])</f>
        <v>75</v>
      </c>
      <c r="AU27" s="6">
        <f>Table2[[#This Row],[Stock on Quartal 1 2023]]-Table2[[#This Row],[Ticket Sold]]</f>
        <v>35</v>
      </c>
    </row>
    <row r="28" spans="2:52" x14ac:dyDescent="0.35">
      <c r="B28" s="6">
        <v>25</v>
      </c>
      <c r="C28" t="s">
        <v>66</v>
      </c>
      <c r="D28" s="47" t="str">
        <f t="shared" si="0"/>
        <v>1-3am</v>
      </c>
      <c r="E28" t="s">
        <v>364</v>
      </c>
      <c r="F28" s="6">
        <v>12</v>
      </c>
      <c r="G28" t="s">
        <v>198</v>
      </c>
      <c r="H28" t="s">
        <v>519</v>
      </c>
      <c r="I28" t="s">
        <v>251</v>
      </c>
      <c r="J28" t="s">
        <v>295</v>
      </c>
      <c r="K28" s="6" t="s">
        <v>322</v>
      </c>
      <c r="L28" s="42">
        <v>130.45310712541561</v>
      </c>
      <c r="M28" s="17">
        <v>1950000</v>
      </c>
      <c r="N28" s="82">
        <v>2</v>
      </c>
      <c r="O28" s="17">
        <f t="shared" si="1"/>
        <v>3900000</v>
      </c>
      <c r="T28" s="6">
        <v>25</v>
      </c>
      <c r="U28" s="86">
        <v>45010</v>
      </c>
      <c r="V28" s="6" t="s">
        <v>320</v>
      </c>
      <c r="W28" t="s">
        <v>297</v>
      </c>
      <c r="X28" t="s">
        <v>519</v>
      </c>
      <c r="Y28" t="s">
        <v>289</v>
      </c>
      <c r="Z28" s="6">
        <v>32</v>
      </c>
      <c r="AA28" s="17">
        <v>1066000</v>
      </c>
      <c r="AB28" s="17">
        <f t="shared" si="2"/>
        <v>34112000</v>
      </c>
      <c r="AH28" s="6">
        <v>25</v>
      </c>
      <c r="AI28" s="6" t="s">
        <v>326</v>
      </c>
      <c r="AJ28" t="s">
        <v>301</v>
      </c>
      <c r="AK28" t="s">
        <v>519</v>
      </c>
      <c r="AL28" s="6">
        <v>32</v>
      </c>
      <c r="AO28" s="6">
        <v>25</v>
      </c>
      <c r="AP28" s="6" t="s">
        <v>326</v>
      </c>
      <c r="AQ28" t="s">
        <v>301</v>
      </c>
      <c r="AR28" t="s">
        <v>519</v>
      </c>
      <c r="AS28" s="6">
        <v>100</v>
      </c>
      <c r="AT28" s="6">
        <f>SUMIF(Table2[Name of Airlines],Table2[[#This Row],[Name of Airlines]],Table1[])</f>
        <v>42</v>
      </c>
      <c r="AU28" s="6">
        <f>Table2[[#This Row],[Stock on Quartal 1 2023]]-Table2[[#This Row],[Ticket Sold]]</f>
        <v>58</v>
      </c>
    </row>
    <row r="29" spans="2:52" x14ac:dyDescent="0.35">
      <c r="B29" s="6">
        <v>26</v>
      </c>
      <c r="C29" t="s">
        <v>67</v>
      </c>
      <c r="D29" s="47" t="str">
        <f t="shared" si="0"/>
        <v>5-7pm</v>
      </c>
      <c r="E29" t="s">
        <v>365</v>
      </c>
      <c r="F29" s="6">
        <v>3</v>
      </c>
      <c r="G29" t="s">
        <v>198</v>
      </c>
      <c r="H29" t="s">
        <v>519</v>
      </c>
      <c r="I29" t="s">
        <v>251</v>
      </c>
      <c r="J29" t="s">
        <v>295</v>
      </c>
      <c r="K29" s="6" t="s">
        <v>322</v>
      </c>
      <c r="L29" s="42">
        <v>130.45310712541561</v>
      </c>
      <c r="M29" s="17">
        <v>1950000</v>
      </c>
      <c r="N29" s="82">
        <v>2</v>
      </c>
      <c r="O29" s="17">
        <f t="shared" si="1"/>
        <v>3900000</v>
      </c>
      <c r="T29" s="6">
        <v>26</v>
      </c>
      <c r="U29" s="86">
        <v>45011</v>
      </c>
      <c r="V29" s="6" t="s">
        <v>325</v>
      </c>
      <c r="W29" t="s">
        <v>298</v>
      </c>
      <c r="X29" t="s">
        <v>519</v>
      </c>
      <c r="Y29" t="s">
        <v>268</v>
      </c>
      <c r="Z29" s="6">
        <v>30</v>
      </c>
      <c r="AA29" s="17">
        <v>1760854</v>
      </c>
      <c r="AB29" s="17">
        <f t="shared" si="2"/>
        <v>52825620</v>
      </c>
      <c r="AH29" s="6">
        <v>26</v>
      </c>
      <c r="AI29" s="6" t="s">
        <v>329</v>
      </c>
      <c r="AJ29" t="s">
        <v>307</v>
      </c>
      <c r="AK29" t="s">
        <v>520</v>
      </c>
      <c r="AL29" s="6">
        <v>30</v>
      </c>
      <c r="AO29" s="6">
        <v>26</v>
      </c>
      <c r="AP29" s="6" t="s">
        <v>329</v>
      </c>
      <c r="AQ29" t="s">
        <v>307</v>
      </c>
      <c r="AR29" t="s">
        <v>520</v>
      </c>
      <c r="AS29" s="6">
        <v>50</v>
      </c>
      <c r="AT29" s="6">
        <f>SUMIF(Table2[Name of Airlines],Table2[[#This Row],[Name of Airlines]],Table1[])</f>
        <v>137</v>
      </c>
      <c r="AU29" s="6">
        <f>Table2[[#This Row],[Stock on Quartal 1 2023]]-Table2[[#This Row],[Ticket Sold]]</f>
        <v>-87</v>
      </c>
    </row>
    <row r="30" spans="2:52" x14ac:dyDescent="0.35">
      <c r="B30" s="6">
        <v>27</v>
      </c>
      <c r="C30" t="s">
        <v>68</v>
      </c>
      <c r="D30" s="47" t="str">
        <f t="shared" si="0"/>
        <v>7-9pm</v>
      </c>
      <c r="E30" t="s">
        <v>366</v>
      </c>
      <c r="F30" s="6">
        <v>7</v>
      </c>
      <c r="G30" t="s">
        <v>198</v>
      </c>
      <c r="H30" t="s">
        <v>519</v>
      </c>
      <c r="I30" t="s">
        <v>287</v>
      </c>
      <c r="J30" t="s">
        <v>301</v>
      </c>
      <c r="K30" s="6" t="s">
        <v>326</v>
      </c>
      <c r="L30" s="42">
        <v>250.87135985656849</v>
      </c>
      <c r="M30" s="17">
        <v>3750000</v>
      </c>
      <c r="N30" s="82">
        <v>1</v>
      </c>
      <c r="O30" s="17">
        <f t="shared" si="1"/>
        <v>3750000</v>
      </c>
      <c r="T30" s="6">
        <v>27</v>
      </c>
      <c r="U30" s="86">
        <v>45012</v>
      </c>
      <c r="V30" s="6" t="s">
        <v>317</v>
      </c>
      <c r="W30" t="s">
        <v>299</v>
      </c>
      <c r="X30" t="s">
        <v>519</v>
      </c>
      <c r="Y30" t="s">
        <v>254</v>
      </c>
      <c r="Z30" s="6">
        <v>80</v>
      </c>
      <c r="AA30" s="17">
        <v>1979000</v>
      </c>
      <c r="AB30" s="17">
        <f t="shared" si="2"/>
        <v>158320000</v>
      </c>
      <c r="AH30" s="6">
        <v>27</v>
      </c>
      <c r="AI30" s="6" t="s">
        <v>329</v>
      </c>
      <c r="AJ30" t="s">
        <v>307</v>
      </c>
      <c r="AK30" t="s">
        <v>520</v>
      </c>
      <c r="AL30" s="6">
        <v>80</v>
      </c>
      <c r="AO30" s="6">
        <v>27</v>
      </c>
      <c r="AP30" s="6" t="s">
        <v>329</v>
      </c>
      <c r="AQ30" t="s">
        <v>307</v>
      </c>
      <c r="AR30" t="s">
        <v>520</v>
      </c>
      <c r="AS30" s="6">
        <v>90</v>
      </c>
      <c r="AT30" s="6">
        <f>SUMIF(Table2[Name of Airlines],Table2[[#This Row],[Name of Airlines]],Table1[])</f>
        <v>137</v>
      </c>
      <c r="AU30" s="6">
        <f>Table2[[#This Row],[Stock on Quartal 1 2023]]-Table2[[#This Row],[Ticket Sold]]</f>
        <v>-47</v>
      </c>
    </row>
    <row r="31" spans="2:52" x14ac:dyDescent="0.35">
      <c r="B31" s="6">
        <v>28</v>
      </c>
      <c r="C31" t="s">
        <v>69</v>
      </c>
      <c r="D31" s="47" t="str">
        <f t="shared" si="0"/>
        <v>12-3pm</v>
      </c>
      <c r="E31" t="s">
        <v>367</v>
      </c>
      <c r="F31" s="6">
        <v>9</v>
      </c>
      <c r="G31" t="s">
        <v>198</v>
      </c>
      <c r="H31" t="s">
        <v>519</v>
      </c>
      <c r="I31" t="s">
        <v>283</v>
      </c>
      <c r="J31" t="s">
        <v>300</v>
      </c>
      <c r="K31" s="6" t="s">
        <v>318</v>
      </c>
      <c r="L31" s="42">
        <v>173.93747616722081</v>
      </c>
      <c r="M31" s="17">
        <v>2600000</v>
      </c>
      <c r="N31" s="82">
        <v>1</v>
      </c>
      <c r="O31" s="17">
        <f t="shared" si="1"/>
        <v>2600000</v>
      </c>
      <c r="T31" s="6">
        <v>28</v>
      </c>
      <c r="U31" s="86">
        <v>45013</v>
      </c>
      <c r="V31" s="6" t="s">
        <v>318</v>
      </c>
      <c r="W31" t="s">
        <v>300</v>
      </c>
      <c r="X31" t="s">
        <v>519</v>
      </c>
      <c r="Y31" s="4" t="s">
        <v>283</v>
      </c>
      <c r="Z31" s="6">
        <v>70</v>
      </c>
      <c r="AA31" s="17">
        <v>507000</v>
      </c>
      <c r="AB31" s="17">
        <f t="shared" si="2"/>
        <v>35490000</v>
      </c>
      <c r="AH31" s="6">
        <v>28</v>
      </c>
      <c r="AI31" s="6" t="s">
        <v>332</v>
      </c>
      <c r="AJ31" t="s">
        <v>310</v>
      </c>
      <c r="AK31" t="s">
        <v>520</v>
      </c>
      <c r="AL31" s="6">
        <v>70</v>
      </c>
      <c r="AO31" s="6">
        <v>28</v>
      </c>
      <c r="AP31" s="6" t="s">
        <v>332</v>
      </c>
      <c r="AQ31" t="s">
        <v>310</v>
      </c>
      <c r="AR31" t="s">
        <v>520</v>
      </c>
      <c r="AS31" s="6">
        <v>80</v>
      </c>
      <c r="AT31" s="6">
        <f>SUMIF(Table2[Name of Airlines],Table2[[#This Row],[Name of Airlines]],Table1[])</f>
        <v>74</v>
      </c>
      <c r="AU31" s="6">
        <f>Table2[[#This Row],[Stock on Quartal 1 2023]]-Table2[[#This Row],[Ticket Sold]]</f>
        <v>6</v>
      </c>
    </row>
    <row r="32" spans="2:52" x14ac:dyDescent="0.35">
      <c r="B32" s="6">
        <v>29</v>
      </c>
      <c r="C32" t="s">
        <v>70</v>
      </c>
      <c r="D32" s="47" t="str">
        <f t="shared" si="0"/>
        <v>12-3pm</v>
      </c>
      <c r="E32" t="s">
        <v>368</v>
      </c>
      <c r="F32" s="6">
        <v>9</v>
      </c>
      <c r="G32" t="s">
        <v>198</v>
      </c>
      <c r="H32" t="s">
        <v>519</v>
      </c>
      <c r="I32" t="s">
        <v>289</v>
      </c>
      <c r="J32" t="s">
        <v>297</v>
      </c>
      <c r="K32" s="6" t="s">
        <v>320</v>
      </c>
      <c r="L32" s="42">
        <v>147.17786444918684</v>
      </c>
      <c r="M32" s="17">
        <v>2200000</v>
      </c>
      <c r="N32" s="82">
        <v>1</v>
      </c>
      <c r="O32" s="17">
        <f t="shared" si="1"/>
        <v>2200000</v>
      </c>
      <c r="T32" s="6">
        <v>29</v>
      </c>
      <c r="U32" s="86">
        <v>45014</v>
      </c>
      <c r="V32" s="6" t="s">
        <v>326</v>
      </c>
      <c r="W32" t="s">
        <v>301</v>
      </c>
      <c r="X32" t="s">
        <v>519</v>
      </c>
      <c r="Y32" t="s">
        <v>285</v>
      </c>
      <c r="Z32" s="6">
        <v>68</v>
      </c>
      <c r="AA32" s="17">
        <v>980000</v>
      </c>
      <c r="AB32" s="17">
        <f t="shared" si="2"/>
        <v>66640000</v>
      </c>
      <c r="AH32" s="6">
        <v>29</v>
      </c>
      <c r="AI32" s="6" t="s">
        <v>337</v>
      </c>
      <c r="AJ32" t="s">
        <v>315</v>
      </c>
      <c r="AK32" t="s">
        <v>520</v>
      </c>
      <c r="AL32" s="6">
        <v>68</v>
      </c>
      <c r="AO32" s="6">
        <v>29</v>
      </c>
      <c r="AP32" s="6" t="s">
        <v>337</v>
      </c>
      <c r="AQ32" t="s">
        <v>315</v>
      </c>
      <c r="AR32" t="s">
        <v>520</v>
      </c>
      <c r="AS32" s="6">
        <v>110</v>
      </c>
      <c r="AT32" s="6">
        <f>SUMIF(Table2[Name of Airlines],Table2[[#This Row],[Name of Airlines]],Table1[])</f>
        <v>63</v>
      </c>
      <c r="AU32" s="6">
        <f>Table2[[#This Row],[Stock on Quartal 1 2023]]-Table2[[#This Row],[Ticket Sold]]</f>
        <v>47</v>
      </c>
    </row>
    <row r="33" spans="2:47" x14ac:dyDescent="0.35">
      <c r="B33" s="6">
        <v>30</v>
      </c>
      <c r="C33" t="s">
        <v>71</v>
      </c>
      <c r="D33" s="47" t="str">
        <f t="shared" si="0"/>
        <v>12-3pm</v>
      </c>
      <c r="E33" t="s">
        <v>369</v>
      </c>
      <c r="F33" s="6">
        <v>9</v>
      </c>
      <c r="G33" t="s">
        <v>198</v>
      </c>
      <c r="H33" t="s">
        <v>519</v>
      </c>
      <c r="I33" t="s">
        <v>268</v>
      </c>
      <c r="J33" t="s">
        <v>298</v>
      </c>
      <c r="K33" s="6" t="s">
        <v>325</v>
      </c>
      <c r="L33" s="42">
        <v>157.21271884344958</v>
      </c>
      <c r="M33" s="17">
        <v>2350000</v>
      </c>
      <c r="N33" s="82">
        <v>1</v>
      </c>
      <c r="O33" s="17">
        <f t="shared" si="1"/>
        <v>2350000</v>
      </c>
      <c r="T33" s="6">
        <v>30</v>
      </c>
      <c r="U33" s="86">
        <v>45015</v>
      </c>
      <c r="V33" s="6" t="s">
        <v>321</v>
      </c>
      <c r="W33" t="s">
        <v>302</v>
      </c>
      <c r="X33" t="s">
        <v>519</v>
      </c>
      <c r="Y33" t="s">
        <v>272</v>
      </c>
      <c r="Z33" s="6">
        <v>101</v>
      </c>
      <c r="AA33" s="17">
        <v>797000</v>
      </c>
      <c r="AB33" s="17">
        <f t="shared" si="2"/>
        <v>80497000</v>
      </c>
      <c r="AH33" s="6">
        <v>30</v>
      </c>
      <c r="AI33" s="6" t="s">
        <v>328</v>
      </c>
      <c r="AJ33" t="s">
        <v>306</v>
      </c>
      <c r="AK33" t="s">
        <v>520</v>
      </c>
      <c r="AL33" s="6">
        <v>101</v>
      </c>
      <c r="AO33" s="6">
        <v>30</v>
      </c>
      <c r="AP33" s="6" t="s">
        <v>328</v>
      </c>
      <c r="AQ33" t="s">
        <v>306</v>
      </c>
      <c r="AR33" t="s">
        <v>520</v>
      </c>
      <c r="AS33" s="6">
        <v>150</v>
      </c>
      <c r="AT33" s="6">
        <f>SUMIF(Table2[Name of Airlines],Table2[[#This Row],[Name of Airlines]],Table1[])</f>
        <v>136</v>
      </c>
      <c r="AU33" s="6">
        <f>Table2[[#This Row],[Stock on Quartal 1 2023]]-Table2[[#This Row],[Ticket Sold]]</f>
        <v>14</v>
      </c>
    </row>
    <row r="34" spans="2:47" x14ac:dyDescent="0.35">
      <c r="B34" s="6">
        <v>31</v>
      </c>
      <c r="C34" t="s">
        <v>72</v>
      </c>
      <c r="D34" s="47" t="str">
        <f t="shared" si="0"/>
        <v>7-9pm</v>
      </c>
      <c r="E34" t="s">
        <v>388</v>
      </c>
      <c r="F34" s="6">
        <v>7</v>
      </c>
      <c r="G34" t="s">
        <v>199</v>
      </c>
      <c r="H34" t="s">
        <v>520</v>
      </c>
      <c r="I34" t="s">
        <v>225</v>
      </c>
      <c r="J34" t="s">
        <v>315</v>
      </c>
      <c r="K34" s="6" t="s">
        <v>337</v>
      </c>
      <c r="L34" s="42">
        <v>759.30398249921393</v>
      </c>
      <c r="M34" s="17">
        <v>11350000</v>
      </c>
      <c r="N34" s="82">
        <v>2</v>
      </c>
      <c r="O34" s="17">
        <f t="shared" si="1"/>
        <v>22700000</v>
      </c>
      <c r="T34" s="6">
        <v>31</v>
      </c>
      <c r="U34" s="86">
        <v>45016</v>
      </c>
      <c r="V34" s="6" t="s">
        <v>319</v>
      </c>
      <c r="W34" t="s">
        <v>303</v>
      </c>
      <c r="X34" t="s">
        <v>519</v>
      </c>
      <c r="Y34" t="s">
        <v>285</v>
      </c>
      <c r="Z34" s="6">
        <v>92</v>
      </c>
      <c r="AA34" s="17">
        <v>610000</v>
      </c>
      <c r="AB34" s="17">
        <f t="shared" si="2"/>
        <v>56120000</v>
      </c>
      <c r="AH34" s="6">
        <v>31</v>
      </c>
      <c r="AI34" s="6" t="s">
        <v>331</v>
      </c>
      <c r="AJ34" t="s">
        <v>309</v>
      </c>
      <c r="AK34" t="s">
        <v>520</v>
      </c>
      <c r="AL34" s="6">
        <v>92</v>
      </c>
      <c r="AO34" s="6">
        <v>31</v>
      </c>
      <c r="AP34" s="6" t="s">
        <v>331</v>
      </c>
      <c r="AQ34" t="s">
        <v>309</v>
      </c>
      <c r="AR34" t="s">
        <v>520</v>
      </c>
      <c r="AS34" s="6">
        <v>130</v>
      </c>
      <c r="AT34" s="6">
        <f>SUMIF(Table2[Name of Airlines],Table2[[#This Row],[Name of Airlines]],Table1[])</f>
        <v>52</v>
      </c>
      <c r="AU34" s="6">
        <f>Table2[[#This Row],[Stock on Quartal 1 2023]]-Table2[[#This Row],[Ticket Sold]]</f>
        <v>78</v>
      </c>
    </row>
    <row r="35" spans="2:47" x14ac:dyDescent="0.35">
      <c r="B35" s="6">
        <v>32</v>
      </c>
      <c r="C35" t="s">
        <v>73</v>
      </c>
      <c r="D35" s="47" t="str">
        <f t="shared" si="0"/>
        <v>5-7pm</v>
      </c>
      <c r="E35" t="s">
        <v>371</v>
      </c>
      <c r="F35" s="6">
        <v>3</v>
      </c>
      <c r="G35" t="s">
        <v>198</v>
      </c>
      <c r="H35" t="s">
        <v>519</v>
      </c>
      <c r="I35" t="s">
        <v>266</v>
      </c>
      <c r="J35" t="s">
        <v>303</v>
      </c>
      <c r="K35" s="6" t="s">
        <v>319</v>
      </c>
      <c r="L35" s="42">
        <v>143.8329129844326</v>
      </c>
      <c r="M35" s="17">
        <v>2150000</v>
      </c>
      <c r="N35" s="82">
        <v>2</v>
      </c>
      <c r="O35" s="17">
        <f t="shared" si="1"/>
        <v>4300000</v>
      </c>
      <c r="T35" s="6">
        <v>32</v>
      </c>
      <c r="U35" s="86">
        <v>45017</v>
      </c>
      <c r="V35" s="6" t="s">
        <v>327</v>
      </c>
      <c r="W35" t="s">
        <v>304</v>
      </c>
      <c r="X35" t="s">
        <v>519</v>
      </c>
      <c r="Y35" t="s">
        <v>251</v>
      </c>
      <c r="Z35" s="6">
        <v>115</v>
      </c>
      <c r="AA35" s="17">
        <v>1062000</v>
      </c>
      <c r="AB35" s="17">
        <f t="shared" si="2"/>
        <v>122130000</v>
      </c>
      <c r="AH35" s="6">
        <v>32</v>
      </c>
      <c r="AI35" s="6" t="s">
        <v>328</v>
      </c>
      <c r="AJ35" t="s">
        <v>306</v>
      </c>
      <c r="AK35" t="s">
        <v>520</v>
      </c>
      <c r="AL35" s="6">
        <v>115</v>
      </c>
      <c r="AO35" s="6">
        <v>32</v>
      </c>
      <c r="AP35" s="6" t="s">
        <v>328</v>
      </c>
      <c r="AQ35" t="s">
        <v>306</v>
      </c>
      <c r="AR35" t="s">
        <v>520</v>
      </c>
      <c r="AS35" s="6">
        <v>150</v>
      </c>
      <c r="AT35" s="6">
        <f>SUMIF(Table2[Name of Airlines],Table2[[#This Row],[Name of Airlines]],Table1[])</f>
        <v>136</v>
      </c>
      <c r="AU35" s="6">
        <f>Table2[[#This Row],[Stock on Quartal 1 2023]]-Table2[[#This Row],[Ticket Sold]]</f>
        <v>14</v>
      </c>
    </row>
    <row r="36" spans="2:47" x14ac:dyDescent="0.35">
      <c r="B36" s="6">
        <v>33</v>
      </c>
      <c r="C36" t="s">
        <v>74</v>
      </c>
      <c r="D36" s="47" t="str">
        <f t="shared" si="0"/>
        <v>5-7pm</v>
      </c>
      <c r="E36" t="s">
        <v>406</v>
      </c>
      <c r="F36" s="6">
        <v>3</v>
      </c>
      <c r="G36" t="s">
        <v>199</v>
      </c>
      <c r="H36" t="s">
        <v>520</v>
      </c>
      <c r="I36" t="s">
        <v>219</v>
      </c>
      <c r="J36" t="s">
        <v>316</v>
      </c>
      <c r="K36" s="6" t="s">
        <v>338</v>
      </c>
      <c r="L36" s="42">
        <v>702.43980759839178</v>
      </c>
      <c r="M36" s="17">
        <v>10500000</v>
      </c>
      <c r="N36" s="82">
        <v>2</v>
      </c>
      <c r="O36" s="17">
        <f t="shared" si="1"/>
        <v>21000000</v>
      </c>
      <c r="T36" s="6">
        <v>33</v>
      </c>
      <c r="U36" s="86">
        <v>45018</v>
      </c>
      <c r="V36" s="6" t="s">
        <v>323</v>
      </c>
      <c r="W36" t="s">
        <v>305</v>
      </c>
      <c r="X36" t="s">
        <v>519</v>
      </c>
      <c r="Y36" s="4" t="s">
        <v>254</v>
      </c>
      <c r="Z36" s="6">
        <v>88</v>
      </c>
      <c r="AA36" s="17">
        <v>618000</v>
      </c>
      <c r="AB36" s="17">
        <f t="shared" si="2"/>
        <v>54384000</v>
      </c>
      <c r="AH36" s="6">
        <v>33</v>
      </c>
      <c r="AI36" s="6" t="s">
        <v>334</v>
      </c>
      <c r="AJ36" t="s">
        <v>312</v>
      </c>
      <c r="AK36" t="s">
        <v>520</v>
      </c>
      <c r="AL36" s="6">
        <v>88</v>
      </c>
      <c r="AO36" s="6">
        <v>33</v>
      </c>
      <c r="AP36" s="6" t="s">
        <v>334</v>
      </c>
      <c r="AQ36" t="s">
        <v>312</v>
      </c>
      <c r="AR36" t="s">
        <v>520</v>
      </c>
      <c r="AS36" s="6">
        <v>100</v>
      </c>
      <c r="AT36" s="6">
        <f>SUMIF(Table2[Name of Airlines],Table2[[#This Row],[Name of Airlines]],Table1[])</f>
        <v>33</v>
      </c>
      <c r="AU36" s="6">
        <f>Table2[[#This Row],[Stock on Quartal 1 2023]]-Table2[[#This Row],[Ticket Sold]]</f>
        <v>67</v>
      </c>
    </row>
    <row r="37" spans="2:47" x14ac:dyDescent="0.35">
      <c r="B37" s="6">
        <v>34</v>
      </c>
      <c r="C37" t="s">
        <v>75</v>
      </c>
      <c r="D37" s="47" t="str">
        <f t="shared" si="0"/>
        <v>1-3am</v>
      </c>
      <c r="E37" t="s">
        <v>407</v>
      </c>
      <c r="F37" s="6">
        <v>12</v>
      </c>
      <c r="G37" t="s">
        <v>199</v>
      </c>
      <c r="H37" t="s">
        <v>520</v>
      </c>
      <c r="I37" t="s">
        <v>239</v>
      </c>
      <c r="J37" t="s">
        <v>309</v>
      </c>
      <c r="K37" s="6" t="s">
        <v>331</v>
      </c>
      <c r="L37" s="42">
        <v>692.73944835060445</v>
      </c>
      <c r="M37" s="17">
        <v>10355000</v>
      </c>
      <c r="N37" s="82">
        <v>2</v>
      </c>
      <c r="O37" s="17">
        <f t="shared" si="1"/>
        <v>20710000</v>
      </c>
      <c r="T37" s="6">
        <v>34</v>
      </c>
      <c r="U37" s="86">
        <v>45019</v>
      </c>
      <c r="V37" s="6" t="s">
        <v>328</v>
      </c>
      <c r="W37" t="s">
        <v>306</v>
      </c>
      <c r="X37" t="s">
        <v>520</v>
      </c>
      <c r="Y37" t="s">
        <v>213</v>
      </c>
      <c r="Z37" s="6">
        <v>76</v>
      </c>
      <c r="AA37" s="17">
        <v>6255700</v>
      </c>
      <c r="AB37" s="17">
        <f t="shared" si="2"/>
        <v>475433200</v>
      </c>
      <c r="AH37" s="6">
        <v>34</v>
      </c>
      <c r="AI37" s="6" t="s">
        <v>324</v>
      </c>
      <c r="AJ37" t="s">
        <v>296</v>
      </c>
      <c r="AK37" t="s">
        <v>519</v>
      </c>
      <c r="AL37" s="6">
        <v>76</v>
      </c>
      <c r="AO37" s="6">
        <v>34</v>
      </c>
      <c r="AP37" s="6" t="s">
        <v>324</v>
      </c>
      <c r="AQ37" t="s">
        <v>296</v>
      </c>
      <c r="AR37" t="s">
        <v>519</v>
      </c>
      <c r="AS37" s="6">
        <v>100</v>
      </c>
      <c r="AT37" s="6">
        <f>SUMIF(Table2[Name of Airlines],Table2[[#This Row],[Name of Airlines]],Table1[])</f>
        <v>82</v>
      </c>
      <c r="AU37" s="6">
        <f>Table2[[#This Row],[Stock on Quartal 1 2023]]-Table2[[#This Row],[Ticket Sold]]</f>
        <v>18</v>
      </c>
    </row>
    <row r="38" spans="2:47" x14ac:dyDescent="0.35">
      <c r="B38" s="6">
        <v>35</v>
      </c>
      <c r="C38" t="s">
        <v>76</v>
      </c>
      <c r="D38" s="47" t="str">
        <f t="shared" si="0"/>
        <v>5-7pm</v>
      </c>
      <c r="E38" t="s">
        <v>408</v>
      </c>
      <c r="F38" s="6">
        <v>3</v>
      </c>
      <c r="G38" t="s">
        <v>199</v>
      </c>
      <c r="H38" t="s">
        <v>520</v>
      </c>
      <c r="I38" t="s">
        <v>239</v>
      </c>
      <c r="J38" t="s">
        <v>315</v>
      </c>
      <c r="K38" s="6" t="s">
        <v>337</v>
      </c>
      <c r="L38" s="42">
        <v>692.73944835060445</v>
      </c>
      <c r="M38" s="17">
        <v>10355000</v>
      </c>
      <c r="N38" s="82">
        <v>1</v>
      </c>
      <c r="O38" s="17">
        <f t="shared" si="1"/>
        <v>10355000</v>
      </c>
      <c r="T38" s="6">
        <v>35</v>
      </c>
      <c r="U38" s="86">
        <v>45020</v>
      </c>
      <c r="V38" s="6" t="s">
        <v>329</v>
      </c>
      <c r="W38" t="s">
        <v>307</v>
      </c>
      <c r="X38" t="s">
        <v>520</v>
      </c>
      <c r="Y38" t="s">
        <v>209</v>
      </c>
      <c r="Z38" s="6">
        <v>35</v>
      </c>
      <c r="AA38" s="17">
        <v>4797100</v>
      </c>
      <c r="AB38" s="17">
        <f t="shared" si="2"/>
        <v>167898500</v>
      </c>
      <c r="AH38" s="6">
        <v>35</v>
      </c>
      <c r="AI38" s="6" t="s">
        <v>328</v>
      </c>
      <c r="AJ38" t="s">
        <v>306</v>
      </c>
      <c r="AK38" t="s">
        <v>520</v>
      </c>
      <c r="AL38" s="6">
        <v>35</v>
      </c>
      <c r="AO38" s="6">
        <v>35</v>
      </c>
      <c r="AP38" s="6" t="s">
        <v>328</v>
      </c>
      <c r="AQ38" t="s">
        <v>306</v>
      </c>
      <c r="AR38" t="s">
        <v>520</v>
      </c>
      <c r="AS38" s="6">
        <v>100</v>
      </c>
      <c r="AT38" s="6">
        <f>SUMIF(Table2[Name of Airlines],Table2[[#This Row],[Name of Airlines]],Table1[])</f>
        <v>136</v>
      </c>
      <c r="AU38" s="6">
        <f>Table2[[#This Row],[Stock on Quartal 1 2023]]-Table2[[#This Row],[Ticket Sold]]</f>
        <v>-36</v>
      </c>
    </row>
    <row r="39" spans="2:47" x14ac:dyDescent="0.35">
      <c r="B39" s="6">
        <v>36</v>
      </c>
      <c r="C39" t="s">
        <v>77</v>
      </c>
      <c r="D39" s="47" t="str">
        <f t="shared" si="0"/>
        <v>3-5pm</v>
      </c>
      <c r="E39" t="s">
        <v>409</v>
      </c>
      <c r="F39" s="6">
        <v>1</v>
      </c>
      <c r="G39" t="s">
        <v>199</v>
      </c>
      <c r="H39" t="s">
        <v>520</v>
      </c>
      <c r="I39" t="s">
        <v>229</v>
      </c>
      <c r="J39" t="s">
        <v>308</v>
      </c>
      <c r="K39" s="6" t="s">
        <v>330</v>
      </c>
      <c r="L39" s="42">
        <v>582.02155486723893</v>
      </c>
      <c r="M39" s="17">
        <v>8700000</v>
      </c>
      <c r="N39" s="82">
        <v>1</v>
      </c>
      <c r="O39" s="17">
        <f t="shared" si="1"/>
        <v>8700000</v>
      </c>
      <c r="T39" s="6">
        <v>36</v>
      </c>
      <c r="U39" s="86">
        <v>45021</v>
      </c>
      <c r="V39" s="6" t="s">
        <v>330</v>
      </c>
      <c r="W39" t="s">
        <v>308</v>
      </c>
      <c r="X39" t="s">
        <v>520</v>
      </c>
      <c r="Y39" t="s">
        <v>233</v>
      </c>
      <c r="Z39" s="6">
        <v>39</v>
      </c>
      <c r="AA39" s="17">
        <v>4264785</v>
      </c>
      <c r="AB39" s="17">
        <f t="shared" si="2"/>
        <v>166326615</v>
      </c>
      <c r="AH39" s="6">
        <v>36</v>
      </c>
      <c r="AI39" s="6" t="s">
        <v>329</v>
      </c>
      <c r="AJ39" t="s">
        <v>307</v>
      </c>
      <c r="AK39" t="s">
        <v>520</v>
      </c>
      <c r="AL39" s="6">
        <v>39</v>
      </c>
      <c r="AO39" s="6">
        <v>36</v>
      </c>
      <c r="AP39" s="6" t="s">
        <v>329</v>
      </c>
      <c r="AQ39" t="s">
        <v>307</v>
      </c>
      <c r="AR39" t="s">
        <v>520</v>
      </c>
      <c r="AS39" s="6">
        <v>80</v>
      </c>
      <c r="AT39" s="6">
        <f>SUMIF(Table2[Name of Airlines],Table2[[#This Row],[Name of Airlines]],Table1[])</f>
        <v>137</v>
      </c>
      <c r="AU39" s="6">
        <f>Table2[[#This Row],[Stock on Quartal 1 2023]]-Table2[[#This Row],[Ticket Sold]]</f>
        <v>-57</v>
      </c>
    </row>
    <row r="40" spans="2:47" x14ac:dyDescent="0.35">
      <c r="B40" s="6">
        <v>37</v>
      </c>
      <c r="C40" t="s">
        <v>78</v>
      </c>
      <c r="D40" s="47" t="str">
        <f t="shared" si="0"/>
        <v>12-3pm</v>
      </c>
      <c r="E40" t="s">
        <v>346</v>
      </c>
      <c r="F40" s="6">
        <v>9</v>
      </c>
      <c r="G40" t="s">
        <v>198</v>
      </c>
      <c r="H40" t="s">
        <v>519</v>
      </c>
      <c r="I40" t="s">
        <v>285</v>
      </c>
      <c r="J40" t="s">
        <v>303</v>
      </c>
      <c r="K40" s="6" t="s">
        <v>319</v>
      </c>
      <c r="L40" s="42">
        <v>157.54721398992501</v>
      </c>
      <c r="M40" s="17">
        <v>2355000</v>
      </c>
      <c r="N40" s="82">
        <v>1</v>
      </c>
      <c r="O40" s="17">
        <f t="shared" si="1"/>
        <v>2355000</v>
      </c>
      <c r="T40" s="6">
        <v>37</v>
      </c>
      <c r="U40" s="86">
        <v>45022</v>
      </c>
      <c r="V40" s="6" t="s">
        <v>331</v>
      </c>
      <c r="W40" t="s">
        <v>309</v>
      </c>
      <c r="X40" t="s">
        <v>520</v>
      </c>
      <c r="Y40" t="s">
        <v>239</v>
      </c>
      <c r="Z40" s="6">
        <v>46</v>
      </c>
      <c r="AA40" s="17">
        <v>10888000</v>
      </c>
      <c r="AB40" s="17">
        <f t="shared" si="2"/>
        <v>500848000</v>
      </c>
      <c r="AH40" s="6">
        <v>37</v>
      </c>
      <c r="AI40" s="6" t="s">
        <v>328</v>
      </c>
      <c r="AJ40" t="s">
        <v>306</v>
      </c>
      <c r="AK40" t="s">
        <v>520</v>
      </c>
      <c r="AL40" s="6">
        <v>46</v>
      </c>
      <c r="AO40" s="6">
        <v>37</v>
      </c>
      <c r="AP40" s="6" t="s">
        <v>328</v>
      </c>
      <c r="AQ40" t="s">
        <v>306</v>
      </c>
      <c r="AR40" t="s">
        <v>520</v>
      </c>
      <c r="AS40" s="6">
        <v>100</v>
      </c>
      <c r="AT40" s="6">
        <f>SUMIF(Table2[Name of Airlines],Table2[[#This Row],[Name of Airlines]],Table1[])</f>
        <v>136</v>
      </c>
      <c r="AU40" s="6">
        <f>Table2[[#This Row],[Stock on Quartal 1 2023]]-Table2[[#This Row],[Ticket Sold]]</f>
        <v>-36</v>
      </c>
    </row>
    <row r="41" spans="2:47" x14ac:dyDescent="0.35">
      <c r="B41" s="6">
        <v>38</v>
      </c>
      <c r="C41" t="s">
        <v>79</v>
      </c>
      <c r="D41" s="47" t="str">
        <f t="shared" si="0"/>
        <v>5-7pm</v>
      </c>
      <c r="E41" t="s">
        <v>410</v>
      </c>
      <c r="F41" s="6">
        <v>3</v>
      </c>
      <c r="G41" t="s">
        <v>198</v>
      </c>
      <c r="H41" t="s">
        <v>519</v>
      </c>
      <c r="I41" t="s">
        <v>251</v>
      </c>
      <c r="J41" t="s">
        <v>299</v>
      </c>
      <c r="K41" s="6" t="s">
        <v>317</v>
      </c>
      <c r="L41" s="42">
        <v>130.45310712541561</v>
      </c>
      <c r="M41" s="17">
        <v>1950000</v>
      </c>
      <c r="N41" s="82">
        <v>1</v>
      </c>
      <c r="O41" s="17">
        <f t="shared" si="1"/>
        <v>1950000</v>
      </c>
      <c r="T41" s="6">
        <v>38</v>
      </c>
      <c r="U41" s="86">
        <v>45023</v>
      </c>
      <c r="V41" s="6" t="s">
        <v>332</v>
      </c>
      <c r="W41" t="s">
        <v>310</v>
      </c>
      <c r="X41" t="s">
        <v>520</v>
      </c>
      <c r="Y41" t="s">
        <v>207</v>
      </c>
      <c r="Z41" s="6">
        <v>42</v>
      </c>
      <c r="AA41" s="17">
        <v>9977000</v>
      </c>
      <c r="AB41" s="17">
        <f t="shared" si="2"/>
        <v>419034000</v>
      </c>
      <c r="AH41" s="6">
        <v>38</v>
      </c>
      <c r="AI41" s="6" t="s">
        <v>333</v>
      </c>
      <c r="AJ41" t="s">
        <v>311</v>
      </c>
      <c r="AK41" t="s">
        <v>520</v>
      </c>
      <c r="AL41" s="6">
        <v>42</v>
      </c>
      <c r="AO41" s="6">
        <v>38</v>
      </c>
      <c r="AP41" s="6" t="s">
        <v>333</v>
      </c>
      <c r="AQ41" t="s">
        <v>311</v>
      </c>
      <c r="AR41" t="s">
        <v>520</v>
      </c>
      <c r="AS41" s="6">
        <v>80</v>
      </c>
      <c r="AT41" s="6">
        <f>SUMIF(Table2[Name of Airlines],Table2[[#This Row],[Name of Airlines]],Table1[])</f>
        <v>42</v>
      </c>
      <c r="AU41" s="6">
        <f>Table2[[#This Row],[Stock on Quartal 1 2023]]-Table2[[#This Row],[Ticket Sold]]</f>
        <v>38</v>
      </c>
    </row>
    <row r="42" spans="2:47" x14ac:dyDescent="0.35">
      <c r="B42" s="6">
        <v>39</v>
      </c>
      <c r="C42" t="s">
        <v>80</v>
      </c>
      <c r="D42" s="47" t="str">
        <f t="shared" si="0"/>
        <v>5-7pm</v>
      </c>
      <c r="E42" t="s">
        <v>347</v>
      </c>
      <c r="F42" s="6">
        <v>3</v>
      </c>
      <c r="G42" t="s">
        <v>198</v>
      </c>
      <c r="H42" t="s">
        <v>519</v>
      </c>
      <c r="I42" t="s">
        <v>254</v>
      </c>
      <c r="J42" t="s">
        <v>299</v>
      </c>
      <c r="K42" s="6" t="s">
        <v>317</v>
      </c>
      <c r="L42" s="42">
        <v>130.45310712541561</v>
      </c>
      <c r="M42" s="17">
        <v>1950000</v>
      </c>
      <c r="N42" s="82">
        <v>4</v>
      </c>
      <c r="O42" s="17">
        <f t="shared" si="1"/>
        <v>7800000</v>
      </c>
      <c r="T42" s="6">
        <v>39</v>
      </c>
      <c r="U42" s="86">
        <v>45024</v>
      </c>
      <c r="V42" s="6" t="s">
        <v>333</v>
      </c>
      <c r="W42" t="s">
        <v>311</v>
      </c>
      <c r="X42" t="s">
        <v>520</v>
      </c>
      <c r="Y42" t="s">
        <v>206</v>
      </c>
      <c r="Z42" s="6">
        <v>31</v>
      </c>
      <c r="AA42" s="17">
        <v>8367870</v>
      </c>
      <c r="AB42" s="17">
        <f t="shared" si="2"/>
        <v>259403970</v>
      </c>
      <c r="AH42" s="6">
        <v>39</v>
      </c>
      <c r="AI42" s="6" t="s">
        <v>320</v>
      </c>
      <c r="AJ42" t="s">
        <v>297</v>
      </c>
      <c r="AK42" t="s">
        <v>519</v>
      </c>
      <c r="AL42" s="6">
        <v>31</v>
      </c>
      <c r="AO42" s="6">
        <v>39</v>
      </c>
      <c r="AP42" s="6" t="s">
        <v>320</v>
      </c>
      <c r="AQ42" t="s">
        <v>297</v>
      </c>
      <c r="AR42" t="s">
        <v>519</v>
      </c>
      <c r="AS42" s="6">
        <v>50</v>
      </c>
      <c r="AT42" s="6">
        <f>SUMIF(Table2[Name of Airlines],Table2[[#This Row],[Name of Airlines]],Table1[])</f>
        <v>52</v>
      </c>
      <c r="AU42" s="6">
        <f>Table2[[#This Row],[Stock on Quartal 1 2023]]-Table2[[#This Row],[Ticket Sold]]</f>
        <v>-2</v>
      </c>
    </row>
    <row r="43" spans="2:47" x14ac:dyDescent="0.35">
      <c r="B43" s="6">
        <v>40</v>
      </c>
      <c r="C43" t="s">
        <v>81</v>
      </c>
      <c r="D43" s="47" t="str">
        <f t="shared" si="0"/>
        <v>3-5pm</v>
      </c>
      <c r="E43" t="s">
        <v>348</v>
      </c>
      <c r="F43" s="6">
        <v>1</v>
      </c>
      <c r="G43" t="s">
        <v>198</v>
      </c>
      <c r="H43" t="s">
        <v>519</v>
      </c>
      <c r="I43" t="s">
        <v>263</v>
      </c>
      <c r="J43" t="s">
        <v>302</v>
      </c>
      <c r="K43" s="6" t="s">
        <v>321</v>
      </c>
      <c r="L43" s="42">
        <v>147.17786444918684</v>
      </c>
      <c r="M43" s="17">
        <v>2200000</v>
      </c>
      <c r="N43" s="82">
        <v>4</v>
      </c>
      <c r="O43" s="17">
        <f t="shared" si="1"/>
        <v>8800000</v>
      </c>
      <c r="T43" s="6">
        <v>40</v>
      </c>
      <c r="U43" s="86">
        <v>45025</v>
      </c>
      <c r="V43" s="6" t="s">
        <v>334</v>
      </c>
      <c r="W43" t="s">
        <v>312</v>
      </c>
      <c r="X43" t="s">
        <v>520</v>
      </c>
      <c r="Y43" t="s">
        <v>206</v>
      </c>
      <c r="Z43" s="6">
        <v>38</v>
      </c>
      <c r="AA43" s="17">
        <v>4941000</v>
      </c>
      <c r="AB43" s="17">
        <f t="shared" si="2"/>
        <v>187758000</v>
      </c>
      <c r="AH43" s="6">
        <v>40</v>
      </c>
      <c r="AI43" s="6" t="s">
        <v>324</v>
      </c>
      <c r="AJ43" t="s">
        <v>296</v>
      </c>
      <c r="AK43" t="s">
        <v>519</v>
      </c>
      <c r="AL43" s="6">
        <v>38</v>
      </c>
      <c r="AO43" s="6">
        <v>40</v>
      </c>
      <c r="AP43" s="6" t="s">
        <v>324</v>
      </c>
      <c r="AQ43" t="s">
        <v>296</v>
      </c>
      <c r="AR43" t="s">
        <v>519</v>
      </c>
      <c r="AS43" s="6">
        <v>50</v>
      </c>
      <c r="AT43" s="6">
        <f>SUMIF(Table2[Name of Airlines],Table2[[#This Row],[Name of Airlines]],Table1[])</f>
        <v>82</v>
      </c>
      <c r="AU43" s="6">
        <f>Table2[[#This Row],[Stock on Quartal 1 2023]]-Table2[[#This Row],[Ticket Sold]]</f>
        <v>-32</v>
      </c>
    </row>
    <row r="44" spans="2:47" x14ac:dyDescent="0.35">
      <c r="B44" s="6">
        <v>41</v>
      </c>
      <c r="C44" t="s">
        <v>82</v>
      </c>
      <c r="D44" s="47" t="str">
        <f t="shared" si="0"/>
        <v>12-3pm</v>
      </c>
      <c r="E44" t="s">
        <v>349</v>
      </c>
      <c r="F44" s="6">
        <v>9</v>
      </c>
      <c r="G44" t="s">
        <v>198</v>
      </c>
      <c r="H44" t="s">
        <v>519</v>
      </c>
      <c r="I44" t="s">
        <v>254</v>
      </c>
      <c r="J44" t="s">
        <v>301</v>
      </c>
      <c r="K44" s="6" t="s">
        <v>326</v>
      </c>
      <c r="L44" s="42">
        <v>130.45310712541561</v>
      </c>
      <c r="M44" s="17">
        <v>1950000</v>
      </c>
      <c r="N44" s="82">
        <v>3</v>
      </c>
      <c r="O44" s="17">
        <f t="shared" si="1"/>
        <v>5850000</v>
      </c>
      <c r="T44" s="6">
        <v>41</v>
      </c>
      <c r="U44" s="86">
        <v>45026</v>
      </c>
      <c r="V44" s="6" t="s">
        <v>335</v>
      </c>
      <c r="W44" t="s">
        <v>313</v>
      </c>
      <c r="X44" t="s">
        <v>520</v>
      </c>
      <c r="Y44" t="s">
        <v>237</v>
      </c>
      <c r="Z44" s="6">
        <v>52</v>
      </c>
      <c r="AA44" s="17">
        <v>2108000</v>
      </c>
      <c r="AB44" s="17">
        <f t="shared" si="2"/>
        <v>109616000</v>
      </c>
      <c r="AH44" s="6">
        <v>41</v>
      </c>
      <c r="AI44" s="6" t="s">
        <v>330</v>
      </c>
      <c r="AJ44" t="s">
        <v>308</v>
      </c>
      <c r="AK44" t="s">
        <v>520</v>
      </c>
      <c r="AL44" s="6">
        <v>52</v>
      </c>
      <c r="AO44" s="6">
        <v>41</v>
      </c>
      <c r="AP44" s="6" t="s">
        <v>330</v>
      </c>
      <c r="AQ44" t="s">
        <v>308</v>
      </c>
      <c r="AR44" t="s">
        <v>520</v>
      </c>
      <c r="AS44" s="6">
        <v>80</v>
      </c>
      <c r="AT44" s="6">
        <f>SUMIF(Table2[Name of Airlines],Table2[[#This Row],[Name of Airlines]],Table1[])</f>
        <v>108</v>
      </c>
      <c r="AU44" s="6">
        <f>Table2[[#This Row],[Stock on Quartal 1 2023]]-Table2[[#This Row],[Ticket Sold]]</f>
        <v>-28</v>
      </c>
    </row>
    <row r="45" spans="2:47" x14ac:dyDescent="0.35">
      <c r="B45" s="6">
        <v>42</v>
      </c>
      <c r="C45" t="s">
        <v>83</v>
      </c>
      <c r="D45" s="47" t="str">
        <f t="shared" si="0"/>
        <v>7-9pm</v>
      </c>
      <c r="E45" t="s">
        <v>390</v>
      </c>
      <c r="F45" s="6">
        <v>7</v>
      </c>
      <c r="G45" t="s">
        <v>199</v>
      </c>
      <c r="H45" t="s">
        <v>520</v>
      </c>
      <c r="I45" t="s">
        <v>227</v>
      </c>
      <c r="J45" t="s">
        <v>307</v>
      </c>
      <c r="K45" s="6" t="s">
        <v>329</v>
      </c>
      <c r="L45" s="42">
        <v>705.784759063146</v>
      </c>
      <c r="M45" s="17">
        <v>10550000</v>
      </c>
      <c r="N45" s="82">
        <v>3</v>
      </c>
      <c r="O45" s="17">
        <f t="shared" si="1"/>
        <v>31650000</v>
      </c>
      <c r="T45" s="6">
        <v>42</v>
      </c>
      <c r="U45" s="86">
        <v>45027</v>
      </c>
      <c r="V45" s="6" t="s">
        <v>336</v>
      </c>
      <c r="W45" t="s">
        <v>314</v>
      </c>
      <c r="X45" t="s">
        <v>520</v>
      </c>
      <c r="Y45" t="s">
        <v>213</v>
      </c>
      <c r="Z45" s="6">
        <v>55</v>
      </c>
      <c r="AA45" s="17">
        <v>6785800</v>
      </c>
      <c r="AB45" s="17">
        <f t="shared" si="2"/>
        <v>373219000</v>
      </c>
      <c r="AH45" s="6">
        <v>42</v>
      </c>
      <c r="AI45" s="6" t="s">
        <v>317</v>
      </c>
      <c r="AJ45" t="s">
        <v>299</v>
      </c>
      <c r="AK45" t="s">
        <v>519</v>
      </c>
      <c r="AL45" s="6">
        <v>55</v>
      </c>
      <c r="AO45" s="6">
        <v>42</v>
      </c>
      <c r="AP45" s="6" t="s">
        <v>317</v>
      </c>
      <c r="AQ45" t="s">
        <v>299</v>
      </c>
      <c r="AR45" t="s">
        <v>519</v>
      </c>
      <c r="AS45" s="6">
        <v>75</v>
      </c>
      <c r="AT45" s="6">
        <f>SUMIF(Table2[Name of Airlines],Table2[[#This Row],[Name of Airlines]],Table1[])</f>
        <v>130</v>
      </c>
      <c r="AU45" s="6">
        <f>Table2[[#This Row],[Stock on Quartal 1 2023]]-Table2[[#This Row],[Ticket Sold]]</f>
        <v>-55</v>
      </c>
    </row>
    <row r="46" spans="2:47" x14ac:dyDescent="0.35">
      <c r="B46" s="6">
        <v>43</v>
      </c>
      <c r="C46" t="s">
        <v>84</v>
      </c>
      <c r="D46" s="47" t="str">
        <f t="shared" si="0"/>
        <v>1-3am</v>
      </c>
      <c r="E46" t="s">
        <v>391</v>
      </c>
      <c r="F46" s="6">
        <v>12</v>
      </c>
      <c r="G46" t="s">
        <v>199</v>
      </c>
      <c r="H46" t="s">
        <v>520</v>
      </c>
      <c r="I46" t="s">
        <v>209</v>
      </c>
      <c r="J46" t="s">
        <v>307</v>
      </c>
      <c r="K46" s="6" t="s">
        <v>329</v>
      </c>
      <c r="L46" s="42">
        <v>786.0635942172479</v>
      </c>
      <c r="M46" s="17">
        <v>11750000</v>
      </c>
      <c r="N46" s="82">
        <v>3</v>
      </c>
      <c r="O46" s="17">
        <f t="shared" si="1"/>
        <v>35250000</v>
      </c>
      <c r="T46" s="6">
        <v>43</v>
      </c>
      <c r="U46" s="86">
        <v>45028</v>
      </c>
      <c r="V46" s="6" t="s">
        <v>337</v>
      </c>
      <c r="W46" t="s">
        <v>315</v>
      </c>
      <c r="X46" t="s">
        <v>520</v>
      </c>
      <c r="Y46" t="s">
        <v>223</v>
      </c>
      <c r="Z46" s="6">
        <v>135</v>
      </c>
      <c r="AA46" s="17">
        <v>1292000</v>
      </c>
      <c r="AB46" s="17">
        <f t="shared" si="2"/>
        <v>174420000</v>
      </c>
      <c r="AH46" s="6">
        <v>43</v>
      </c>
      <c r="AI46" s="6" t="s">
        <v>317</v>
      </c>
      <c r="AJ46" t="s">
        <v>299</v>
      </c>
      <c r="AK46" t="s">
        <v>519</v>
      </c>
      <c r="AL46" s="6">
        <v>135</v>
      </c>
      <c r="AO46" s="6">
        <v>43</v>
      </c>
      <c r="AP46" s="6" t="s">
        <v>317</v>
      </c>
      <c r="AQ46" t="s">
        <v>299</v>
      </c>
      <c r="AR46" t="s">
        <v>519</v>
      </c>
      <c r="AS46" s="6">
        <v>150</v>
      </c>
      <c r="AT46" s="6">
        <f>SUMIF(Table2[Name of Airlines],Table2[[#This Row],[Name of Airlines]],Table1[])</f>
        <v>130</v>
      </c>
      <c r="AU46" s="6">
        <f>Table2[[#This Row],[Stock on Quartal 1 2023]]-Table2[[#This Row],[Ticket Sold]]</f>
        <v>20</v>
      </c>
    </row>
    <row r="47" spans="2:47" x14ac:dyDescent="0.35">
      <c r="B47" s="6">
        <v>44</v>
      </c>
      <c r="C47" t="s">
        <v>85</v>
      </c>
      <c r="D47" s="47" t="str">
        <f t="shared" si="0"/>
        <v>5-7pm</v>
      </c>
      <c r="E47" t="s">
        <v>392</v>
      </c>
      <c r="F47" s="6">
        <v>3</v>
      </c>
      <c r="G47" t="s">
        <v>199</v>
      </c>
      <c r="H47" t="s">
        <v>520</v>
      </c>
      <c r="I47" t="s">
        <v>207</v>
      </c>
      <c r="J47" t="s">
        <v>310</v>
      </c>
      <c r="K47" s="6" t="s">
        <v>332</v>
      </c>
      <c r="L47" s="42">
        <v>772.68378835823091</v>
      </c>
      <c r="M47" s="17">
        <v>11550000</v>
      </c>
      <c r="N47" s="82">
        <v>1</v>
      </c>
      <c r="O47" s="17">
        <f t="shared" si="1"/>
        <v>11550000</v>
      </c>
      <c r="T47" s="6">
        <v>44</v>
      </c>
      <c r="U47" s="86">
        <v>45029</v>
      </c>
      <c r="V47" s="6" t="s">
        <v>338</v>
      </c>
      <c r="W47" t="s">
        <v>316</v>
      </c>
      <c r="X47" t="s">
        <v>520</v>
      </c>
      <c r="Y47" t="s">
        <v>219</v>
      </c>
      <c r="Z47" s="6">
        <v>75</v>
      </c>
      <c r="AA47" s="17">
        <v>3275100</v>
      </c>
      <c r="AB47" s="17">
        <f t="shared" si="2"/>
        <v>245632500</v>
      </c>
      <c r="AH47" s="6">
        <v>44</v>
      </c>
      <c r="AI47" s="6" t="s">
        <v>321</v>
      </c>
      <c r="AJ47" t="s">
        <v>302</v>
      </c>
      <c r="AK47" t="s">
        <v>519</v>
      </c>
      <c r="AL47" s="6">
        <v>75</v>
      </c>
      <c r="AO47" s="6">
        <v>44</v>
      </c>
      <c r="AP47" s="6" t="s">
        <v>321</v>
      </c>
      <c r="AQ47" t="s">
        <v>302</v>
      </c>
      <c r="AR47" t="s">
        <v>519</v>
      </c>
      <c r="AS47" s="6">
        <v>100</v>
      </c>
      <c r="AT47" s="6">
        <f>SUMIF(Table2[Name of Airlines],Table2[[#This Row],[Name of Airlines]],Table1[])</f>
        <v>75</v>
      </c>
      <c r="AU47" s="6">
        <f>Table2[[#This Row],[Stock on Quartal 1 2023]]-Table2[[#This Row],[Ticket Sold]]</f>
        <v>25</v>
      </c>
    </row>
    <row r="48" spans="2:47" x14ac:dyDescent="0.35">
      <c r="B48" s="6">
        <v>45</v>
      </c>
      <c r="C48" t="s">
        <v>86</v>
      </c>
      <c r="D48" s="47" t="str">
        <f t="shared" si="0"/>
        <v>12-3pm</v>
      </c>
      <c r="E48" t="s">
        <v>393</v>
      </c>
      <c r="F48" s="6">
        <v>9</v>
      </c>
      <c r="G48" t="s">
        <v>199</v>
      </c>
      <c r="H48" t="s">
        <v>520</v>
      </c>
      <c r="I48" t="s">
        <v>223</v>
      </c>
      <c r="J48" t="s">
        <v>315</v>
      </c>
      <c r="K48" s="6" t="s">
        <v>337</v>
      </c>
      <c r="L48" s="42">
        <v>170.59252470246656</v>
      </c>
      <c r="M48" s="17">
        <v>2550000</v>
      </c>
      <c r="N48" s="82">
        <v>1</v>
      </c>
      <c r="O48" s="17">
        <f t="shared" si="1"/>
        <v>2550000</v>
      </c>
      <c r="T48" s="6">
        <v>45</v>
      </c>
      <c r="U48" s="86">
        <v>45030</v>
      </c>
      <c r="V48" s="6" t="s">
        <v>322</v>
      </c>
      <c r="W48" t="s">
        <v>295</v>
      </c>
      <c r="X48" t="s">
        <v>519</v>
      </c>
      <c r="Y48" t="s">
        <v>251</v>
      </c>
      <c r="Z48" s="6">
        <v>144</v>
      </c>
      <c r="AA48" s="17">
        <v>712553</v>
      </c>
      <c r="AB48" s="17">
        <f t="shared" si="2"/>
        <v>102607632</v>
      </c>
      <c r="AH48" s="6">
        <v>45</v>
      </c>
      <c r="AI48" s="6" t="s">
        <v>335</v>
      </c>
      <c r="AJ48" t="s">
        <v>313</v>
      </c>
      <c r="AK48" t="s">
        <v>520</v>
      </c>
      <c r="AL48" s="6">
        <v>144</v>
      </c>
      <c r="AO48" s="6">
        <v>45</v>
      </c>
      <c r="AP48" s="6" t="s">
        <v>335</v>
      </c>
      <c r="AQ48" t="s">
        <v>313</v>
      </c>
      <c r="AR48" t="s">
        <v>520</v>
      </c>
      <c r="AS48" s="6">
        <v>150</v>
      </c>
      <c r="AT48" s="6">
        <f>SUMIF(Table2[Name of Airlines],Table2[[#This Row],[Name of Airlines]],Table1[])</f>
        <v>45</v>
      </c>
      <c r="AU48" s="6">
        <f>Table2[[#This Row],[Stock on Quartal 1 2023]]-Table2[[#This Row],[Ticket Sold]]</f>
        <v>105</v>
      </c>
    </row>
    <row r="49" spans="2:47" x14ac:dyDescent="0.35">
      <c r="B49" s="6">
        <v>46</v>
      </c>
      <c r="C49" t="s">
        <v>87</v>
      </c>
      <c r="D49" s="47" t="str">
        <f t="shared" si="0"/>
        <v>1-3am</v>
      </c>
      <c r="E49" t="s">
        <v>394</v>
      </c>
      <c r="F49" s="6">
        <v>12</v>
      </c>
      <c r="G49" t="s">
        <v>199</v>
      </c>
      <c r="H49" t="s">
        <v>520</v>
      </c>
      <c r="I49" t="s">
        <v>223</v>
      </c>
      <c r="J49" t="s">
        <v>306</v>
      </c>
      <c r="K49" s="6" t="s">
        <v>328</v>
      </c>
      <c r="L49" s="42">
        <v>170.59252470246656</v>
      </c>
      <c r="M49" s="17">
        <v>2550000</v>
      </c>
      <c r="N49" s="82">
        <v>1</v>
      </c>
      <c r="O49" s="17">
        <f t="shared" si="1"/>
        <v>2550000</v>
      </c>
      <c r="T49" s="6">
        <v>46</v>
      </c>
      <c r="U49" s="86">
        <v>45031</v>
      </c>
      <c r="V49" s="6" t="s">
        <v>324</v>
      </c>
      <c r="W49" t="s">
        <v>296</v>
      </c>
      <c r="X49" t="s">
        <v>519</v>
      </c>
      <c r="Y49" t="s">
        <v>256</v>
      </c>
      <c r="Z49" s="6">
        <v>62</v>
      </c>
      <c r="AA49" s="17">
        <v>2964519</v>
      </c>
      <c r="AB49" s="17">
        <f t="shared" si="2"/>
        <v>183800178</v>
      </c>
      <c r="AH49" s="6">
        <v>46</v>
      </c>
      <c r="AI49" s="6" t="s">
        <v>332</v>
      </c>
      <c r="AJ49" t="s">
        <v>310</v>
      </c>
      <c r="AK49" t="s">
        <v>520</v>
      </c>
      <c r="AL49" s="6">
        <v>62</v>
      </c>
      <c r="AO49" s="6">
        <v>46</v>
      </c>
      <c r="AP49" s="6" t="s">
        <v>332</v>
      </c>
      <c r="AQ49" t="s">
        <v>310</v>
      </c>
      <c r="AR49" t="s">
        <v>520</v>
      </c>
      <c r="AS49" s="6">
        <v>100</v>
      </c>
      <c r="AT49" s="6">
        <f>SUMIF(Table2[Name of Airlines],Table2[[#This Row],[Name of Airlines]],Table1[])</f>
        <v>74</v>
      </c>
      <c r="AU49" s="6">
        <f>Table2[[#This Row],[Stock on Quartal 1 2023]]-Table2[[#This Row],[Ticket Sold]]</f>
        <v>26</v>
      </c>
    </row>
    <row r="50" spans="2:47" x14ac:dyDescent="0.35">
      <c r="B50" s="6">
        <v>47</v>
      </c>
      <c r="C50" t="s">
        <v>88</v>
      </c>
      <c r="D50" s="47" t="str">
        <f t="shared" si="0"/>
        <v>7-9pm</v>
      </c>
      <c r="E50" t="s">
        <v>395</v>
      </c>
      <c r="F50" s="6">
        <v>7</v>
      </c>
      <c r="G50" t="s">
        <v>199</v>
      </c>
      <c r="H50" t="s">
        <v>520</v>
      </c>
      <c r="I50" t="s">
        <v>241</v>
      </c>
      <c r="J50" t="s">
        <v>309</v>
      </c>
      <c r="K50" s="6" t="s">
        <v>331</v>
      </c>
      <c r="L50" s="42">
        <v>638.88572976806108</v>
      </c>
      <c r="M50" s="17">
        <v>9550000</v>
      </c>
      <c r="N50" s="82">
        <v>1</v>
      </c>
      <c r="O50" s="17">
        <f t="shared" si="1"/>
        <v>9550000</v>
      </c>
      <c r="T50" s="14" t="s">
        <v>613</v>
      </c>
      <c r="AB50" s="17">
        <f>SUM(AB4:AB49)</f>
        <v>7175593195</v>
      </c>
      <c r="AH50" s="6">
        <v>47</v>
      </c>
      <c r="AI50" s="6" t="s">
        <v>330</v>
      </c>
      <c r="AJ50" t="s">
        <v>308</v>
      </c>
      <c r="AK50" t="s">
        <v>520</v>
      </c>
      <c r="AL50" s="6">
        <v>28</v>
      </c>
      <c r="AO50" s="6">
        <v>47</v>
      </c>
      <c r="AP50" s="6" t="s">
        <v>330</v>
      </c>
      <c r="AQ50" t="s">
        <v>308</v>
      </c>
      <c r="AR50" t="s">
        <v>520</v>
      </c>
      <c r="AS50" s="6">
        <v>100</v>
      </c>
      <c r="AT50" s="6">
        <f>SUMIF(Table2[Name of Airlines],Table2[[#This Row],[Name of Airlines]],Table1[])</f>
        <v>108</v>
      </c>
      <c r="AU50" s="6">
        <f>Table2[[#This Row],[Stock on Quartal 1 2023]]-Table2[[#This Row],[Ticket Sold]]</f>
        <v>-8</v>
      </c>
    </row>
    <row r="51" spans="2:47" x14ac:dyDescent="0.35">
      <c r="B51" s="6">
        <v>48</v>
      </c>
      <c r="C51" t="s">
        <v>89</v>
      </c>
      <c r="D51" s="47" t="str">
        <f t="shared" si="0"/>
        <v>5-7pm</v>
      </c>
      <c r="E51" t="s">
        <v>398</v>
      </c>
      <c r="F51" s="6">
        <v>3</v>
      </c>
      <c r="G51" t="s">
        <v>199</v>
      </c>
      <c r="H51" t="s">
        <v>520</v>
      </c>
      <c r="I51" t="s">
        <v>221</v>
      </c>
      <c r="J51" t="s">
        <v>306</v>
      </c>
      <c r="K51" s="6" t="s">
        <v>328</v>
      </c>
      <c r="L51" s="42">
        <v>187.31728202623779</v>
      </c>
      <c r="M51" s="17">
        <v>2800000</v>
      </c>
      <c r="N51" s="82">
        <v>2</v>
      </c>
      <c r="O51" s="17">
        <f t="shared" si="1"/>
        <v>5600000</v>
      </c>
      <c r="T51" s="14" t="s">
        <v>596</v>
      </c>
      <c r="AB51" s="17">
        <f>MAX(AB4:AB49)</f>
        <v>500848000</v>
      </c>
      <c r="AH51" s="6">
        <v>48</v>
      </c>
      <c r="AI51" s="6" t="s">
        <v>329</v>
      </c>
      <c r="AJ51" t="s">
        <v>307</v>
      </c>
      <c r="AK51" t="s">
        <v>520</v>
      </c>
      <c r="AL51" s="6">
        <v>35</v>
      </c>
      <c r="AO51" s="6">
        <v>48</v>
      </c>
      <c r="AP51" s="6" t="s">
        <v>329</v>
      </c>
      <c r="AQ51" t="s">
        <v>307</v>
      </c>
      <c r="AR51" t="s">
        <v>520</v>
      </c>
      <c r="AS51" s="6">
        <v>100</v>
      </c>
      <c r="AT51" s="6">
        <f>SUMIF(Table2[Name of Airlines],Table2[[#This Row],[Name of Airlines]],Table1[])</f>
        <v>137</v>
      </c>
      <c r="AU51" s="6">
        <f>Table2[[#This Row],[Stock on Quartal 1 2023]]-Table2[[#This Row],[Ticket Sold]]</f>
        <v>-37</v>
      </c>
    </row>
    <row r="52" spans="2:47" x14ac:dyDescent="0.35">
      <c r="B52" s="6">
        <v>49</v>
      </c>
      <c r="C52" t="s">
        <v>90</v>
      </c>
      <c r="D52" s="47" t="str">
        <f t="shared" si="0"/>
        <v>5-7pm</v>
      </c>
      <c r="E52" t="s">
        <v>399</v>
      </c>
      <c r="F52" s="6">
        <v>3</v>
      </c>
      <c r="G52" t="s">
        <v>199</v>
      </c>
      <c r="H52" t="s">
        <v>520</v>
      </c>
      <c r="I52" t="s">
        <v>201</v>
      </c>
      <c r="J52" t="s">
        <v>312</v>
      </c>
      <c r="K52" s="6" t="s">
        <v>334</v>
      </c>
      <c r="L52" s="42">
        <v>551.91699168445064</v>
      </c>
      <c r="M52" s="17">
        <v>8250000</v>
      </c>
      <c r="N52" s="82">
        <v>2</v>
      </c>
      <c r="O52" s="17">
        <f t="shared" si="1"/>
        <v>16500000</v>
      </c>
      <c r="T52" s="14" t="s">
        <v>597</v>
      </c>
      <c r="AB52" s="17">
        <f>MIN(AB4:AB49)</f>
        <v>6084000</v>
      </c>
      <c r="AH52" s="6">
        <v>49</v>
      </c>
      <c r="AI52" s="6" t="s">
        <v>336</v>
      </c>
      <c r="AJ52" t="s">
        <v>314</v>
      </c>
      <c r="AK52" t="s">
        <v>520</v>
      </c>
      <c r="AL52" s="6">
        <v>40</v>
      </c>
      <c r="AO52" s="6">
        <v>49</v>
      </c>
      <c r="AP52" s="6" t="s">
        <v>336</v>
      </c>
      <c r="AQ52" t="s">
        <v>314</v>
      </c>
      <c r="AR52" t="s">
        <v>520</v>
      </c>
      <c r="AS52" s="6">
        <v>100</v>
      </c>
      <c r="AT52" s="6">
        <f>SUMIF(Table2[Name of Airlines],Table2[[#This Row],[Name of Airlines]],Table1[])</f>
        <v>49</v>
      </c>
      <c r="AU52" s="6">
        <f>Table2[[#This Row],[Stock on Quartal 1 2023]]-Table2[[#This Row],[Ticket Sold]]</f>
        <v>51</v>
      </c>
    </row>
    <row r="53" spans="2:47" x14ac:dyDescent="0.35">
      <c r="B53" s="6">
        <v>50</v>
      </c>
      <c r="C53" t="s">
        <v>91</v>
      </c>
      <c r="D53" s="47" t="str">
        <f t="shared" si="0"/>
        <v>7-9pm</v>
      </c>
      <c r="E53" t="s">
        <v>400</v>
      </c>
      <c r="F53" s="6">
        <v>7</v>
      </c>
      <c r="G53" t="s">
        <v>199</v>
      </c>
      <c r="H53" t="s">
        <v>520</v>
      </c>
      <c r="I53" t="s">
        <v>206</v>
      </c>
      <c r="J53" t="s">
        <v>312</v>
      </c>
      <c r="K53" s="6" t="s">
        <v>334</v>
      </c>
      <c r="L53" s="42">
        <v>919.86165280741784</v>
      </c>
      <c r="M53" s="17">
        <v>13750000</v>
      </c>
      <c r="N53" s="82">
        <v>1</v>
      </c>
      <c r="O53" s="17">
        <f t="shared" si="1"/>
        <v>13750000</v>
      </c>
      <c r="AH53" s="6">
        <v>50</v>
      </c>
      <c r="AI53" s="6" t="s">
        <v>322</v>
      </c>
      <c r="AJ53" t="s">
        <v>295</v>
      </c>
      <c r="AK53" t="s">
        <v>519</v>
      </c>
      <c r="AL53" s="6">
        <v>66</v>
      </c>
      <c r="AO53" s="6">
        <v>50</v>
      </c>
      <c r="AP53" s="6" t="s">
        <v>322</v>
      </c>
      <c r="AQ53" t="s">
        <v>295</v>
      </c>
      <c r="AR53" t="s">
        <v>519</v>
      </c>
      <c r="AS53" s="6">
        <v>80</v>
      </c>
      <c r="AT53" s="6">
        <f>SUMIF(Table2[Name of Airlines],Table2[[#This Row],[Name of Airlines]],Table1[])</f>
        <v>70</v>
      </c>
      <c r="AU53" s="6">
        <f>Table2[[#This Row],[Stock on Quartal 1 2023]]-Table2[[#This Row],[Ticket Sold]]</f>
        <v>10</v>
      </c>
    </row>
    <row r="54" spans="2:47" x14ac:dyDescent="0.35">
      <c r="B54" s="81" t="s">
        <v>589</v>
      </c>
      <c r="D54" s="47"/>
      <c r="O54" s="17">
        <f t="shared" si="1"/>
        <v>0</v>
      </c>
      <c r="AI54" s="6"/>
    </row>
    <row r="55" spans="2:47" x14ac:dyDescent="0.35">
      <c r="AI55" s="6"/>
      <c r="AO55" s="14" t="s">
        <v>619</v>
      </c>
    </row>
    <row r="56" spans="2:47" x14ac:dyDescent="0.35">
      <c r="AI56" s="6"/>
      <c r="AO56" s="14" t="s">
        <v>620</v>
      </c>
    </row>
    <row r="57" spans="2:47" x14ac:dyDescent="0.35">
      <c r="AI57" s="6"/>
    </row>
    <row r="58" spans="2:47" x14ac:dyDescent="0.35">
      <c r="AI58" s="6"/>
    </row>
    <row r="59" spans="2:47" x14ac:dyDescent="0.35">
      <c r="AI59" s="6"/>
    </row>
    <row r="60" spans="2:47" x14ac:dyDescent="0.35">
      <c r="AI60" s="6"/>
    </row>
    <row r="61" spans="2:47" x14ac:dyDescent="0.35">
      <c r="AI61" s="6"/>
    </row>
    <row r="62" spans="2:47" x14ac:dyDescent="0.35">
      <c r="AI62" s="6"/>
    </row>
  </sheetData>
  <mergeCells count="4">
    <mergeCell ref="B2:O2"/>
    <mergeCell ref="T2:AA2"/>
    <mergeCell ref="AH2:AL2"/>
    <mergeCell ref="AO2:AU2"/>
  </mergeCells>
  <pageMargins left="0.7" right="0.7" top="0.75" bottom="0.75" header="0.3" footer="0.3"/>
  <drawing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91995-20AB-284E-9A92-62693FE76C59}">
  <sheetPr codeName="Sheet15">
    <tabColor theme="8" tint="0.39997558519241921"/>
  </sheetPr>
  <dimension ref="B2:Q53"/>
  <sheetViews>
    <sheetView topLeftCell="I38" zoomScale="150" workbookViewId="0">
      <selection activeCell="O7" sqref="O7"/>
    </sheetView>
  </sheetViews>
  <sheetFormatPr defaultColWidth="10.6640625" defaultRowHeight="15.5" x14ac:dyDescent="0.35"/>
  <cols>
    <col min="2" max="2" width="5.83203125" customWidth="1"/>
    <col min="3" max="3" width="18.5" customWidth="1"/>
    <col min="4" max="4" width="14.1640625" customWidth="1"/>
    <col min="5" max="5" width="29.83203125" bestFit="1" customWidth="1"/>
    <col min="6" max="6" width="24.1640625" customWidth="1"/>
    <col min="7" max="7" width="10.83203125" style="6"/>
    <col min="10" max="10" width="5.83203125" customWidth="1"/>
    <col min="11" max="11" width="18.5" customWidth="1"/>
    <col min="12" max="12" width="14.1640625" customWidth="1"/>
    <col min="13" max="13" width="29.83203125" bestFit="1" customWidth="1"/>
    <col min="14" max="14" width="24.1640625" customWidth="1"/>
    <col min="15" max="15" width="16" style="6" customWidth="1"/>
    <col min="16" max="16" width="12.5" customWidth="1"/>
    <col min="17" max="17" width="14" customWidth="1"/>
  </cols>
  <sheetData>
    <row r="2" spans="2:17" x14ac:dyDescent="0.35">
      <c r="G2"/>
      <c r="O2"/>
    </row>
    <row r="3" spans="2:17" ht="31" x14ac:dyDescent="0.35">
      <c r="B3" s="13" t="s">
        <v>593</v>
      </c>
      <c r="C3" s="13" t="s">
        <v>594</v>
      </c>
      <c r="D3" s="13" t="s">
        <v>586</v>
      </c>
      <c r="E3" s="13" t="s">
        <v>203</v>
      </c>
      <c r="F3" s="13" t="s">
        <v>7</v>
      </c>
      <c r="G3" s="13" t="s">
        <v>588</v>
      </c>
      <c r="J3" s="13" t="s">
        <v>593</v>
      </c>
      <c r="K3" s="13" t="s">
        <v>594</v>
      </c>
      <c r="L3" s="13" t="s">
        <v>586</v>
      </c>
      <c r="M3" s="13" t="s">
        <v>203</v>
      </c>
      <c r="N3" s="13" t="s">
        <v>7</v>
      </c>
      <c r="O3" s="13" t="s">
        <v>615</v>
      </c>
      <c r="P3" s="13" t="s">
        <v>491</v>
      </c>
      <c r="Q3" s="13" t="s">
        <v>978</v>
      </c>
    </row>
    <row r="4" spans="2:17" x14ac:dyDescent="0.35">
      <c r="B4" s="6">
        <v>1</v>
      </c>
      <c r="C4" s="86">
        <v>44986</v>
      </c>
      <c r="D4" s="6" t="s">
        <v>322</v>
      </c>
      <c r="E4" t="s">
        <v>295</v>
      </c>
      <c r="F4" t="s">
        <v>519</v>
      </c>
      <c r="G4" s="6">
        <v>25</v>
      </c>
      <c r="J4" s="6">
        <v>1</v>
      </c>
      <c r="K4" s="86">
        <v>44986</v>
      </c>
      <c r="L4" s="6" t="s">
        <v>322</v>
      </c>
      <c r="M4" t="s">
        <v>295</v>
      </c>
      <c r="N4" t="s">
        <v>519</v>
      </c>
      <c r="O4" s="6">
        <v>200</v>
      </c>
      <c r="P4">
        <f>SUMIF(Table10[Airlines],Table10[[#This Row],[Airlines]],Table1[])</f>
        <v>69</v>
      </c>
      <c r="Q4">
        <f>Table10[[#This Row],[Stock on Quartal 1 2023]]-Table10[[#This Row],[Ticket Sold]]</f>
        <v>131</v>
      </c>
    </row>
    <row r="5" spans="2:17" x14ac:dyDescent="0.35">
      <c r="B5" s="6">
        <v>2</v>
      </c>
      <c r="C5" s="86">
        <v>44987</v>
      </c>
      <c r="D5" s="6" t="s">
        <v>324</v>
      </c>
      <c r="E5" t="s">
        <v>296</v>
      </c>
      <c r="F5" t="s">
        <v>519</v>
      </c>
      <c r="G5" s="6">
        <v>18</v>
      </c>
      <c r="J5" s="6">
        <v>2</v>
      </c>
      <c r="K5" s="86">
        <v>44987</v>
      </c>
      <c r="L5" s="6" t="s">
        <v>324</v>
      </c>
      <c r="M5" t="s">
        <v>296</v>
      </c>
      <c r="N5" t="s">
        <v>519</v>
      </c>
      <c r="O5" s="6">
        <v>180</v>
      </c>
      <c r="P5">
        <f>SUMIF(Table10[Airlines],Table10[[#This Row],[Airlines]],Table1[])</f>
        <v>72</v>
      </c>
      <c r="Q5">
        <f>Table10[[#This Row],[Stock on Quartal 1 2023]]-Table10[[#This Row],[Ticket Sold]]</f>
        <v>108</v>
      </c>
    </row>
    <row r="6" spans="2:17" x14ac:dyDescent="0.35">
      <c r="B6" s="6">
        <v>3</v>
      </c>
      <c r="C6" s="86">
        <v>44988</v>
      </c>
      <c r="D6" s="6" t="s">
        <v>320</v>
      </c>
      <c r="E6" t="s">
        <v>297</v>
      </c>
      <c r="F6" t="s">
        <v>519</v>
      </c>
      <c r="G6" s="6">
        <v>33</v>
      </c>
      <c r="J6" s="6">
        <v>3</v>
      </c>
      <c r="K6" s="86">
        <v>44988</v>
      </c>
      <c r="L6" s="6" t="s">
        <v>320</v>
      </c>
      <c r="M6" t="s">
        <v>297</v>
      </c>
      <c r="N6" t="s">
        <v>519</v>
      </c>
      <c r="O6" s="6">
        <v>120</v>
      </c>
      <c r="P6">
        <f>SUMIF(Table10[Airlines],Table10[[#This Row],[Airlines]],Table1[])</f>
        <v>28</v>
      </c>
      <c r="Q6">
        <f>Table10[[#This Row],[Stock on Quartal 1 2023]]-Table10[[#This Row],[Ticket Sold]]</f>
        <v>92</v>
      </c>
    </row>
    <row r="7" spans="2:17" x14ac:dyDescent="0.35">
      <c r="B7" s="6">
        <v>4</v>
      </c>
      <c r="C7" s="86">
        <v>44989</v>
      </c>
      <c r="D7" s="6" t="s">
        <v>325</v>
      </c>
      <c r="E7" t="s">
        <v>298</v>
      </c>
      <c r="F7" t="s">
        <v>519</v>
      </c>
      <c r="G7" s="6">
        <v>22</v>
      </c>
      <c r="J7" s="6">
        <v>4</v>
      </c>
      <c r="K7" s="86">
        <v>44989</v>
      </c>
      <c r="L7" s="6" t="s">
        <v>325</v>
      </c>
      <c r="M7" t="s">
        <v>298</v>
      </c>
      <c r="N7" t="s">
        <v>519</v>
      </c>
      <c r="O7" s="6">
        <v>150</v>
      </c>
      <c r="P7">
        <f>SUMIF(Table10[Airlines],Table10[[#This Row],[Airlines]],Table1[])</f>
        <v>30</v>
      </c>
      <c r="Q7">
        <f>Table10[[#This Row],[Stock on Quartal 1 2023]]-Table10[[#This Row],[Ticket Sold]]</f>
        <v>120</v>
      </c>
    </row>
    <row r="8" spans="2:17" x14ac:dyDescent="0.35">
      <c r="B8" s="6">
        <v>5</v>
      </c>
      <c r="C8" s="86">
        <v>44990</v>
      </c>
      <c r="D8" s="6" t="s">
        <v>317</v>
      </c>
      <c r="E8" t="s">
        <v>299</v>
      </c>
      <c r="F8" t="s">
        <v>519</v>
      </c>
      <c r="G8" s="6">
        <v>17</v>
      </c>
      <c r="J8" s="6">
        <v>5</v>
      </c>
      <c r="K8" s="86">
        <v>44990</v>
      </c>
      <c r="L8" s="6" t="s">
        <v>317</v>
      </c>
      <c r="M8" t="s">
        <v>299</v>
      </c>
      <c r="N8" t="s">
        <v>519</v>
      </c>
      <c r="O8" s="6">
        <v>150</v>
      </c>
      <c r="P8">
        <f>SUMIF(Table10[Airlines],Table10[[#This Row],[Airlines]],Table1[])</f>
        <v>32</v>
      </c>
      <c r="Q8">
        <f>Table10[[#This Row],[Stock on Quartal 1 2023]]-Table10[[#This Row],[Ticket Sold]]</f>
        <v>118</v>
      </c>
    </row>
    <row r="9" spans="2:17" x14ac:dyDescent="0.35">
      <c r="B9" s="6">
        <v>6</v>
      </c>
      <c r="C9" s="86">
        <v>44991</v>
      </c>
      <c r="D9" s="6" t="s">
        <v>318</v>
      </c>
      <c r="E9" t="s">
        <v>300</v>
      </c>
      <c r="F9" t="s">
        <v>519</v>
      </c>
      <c r="G9" s="6">
        <v>12</v>
      </c>
      <c r="J9" s="6">
        <v>6</v>
      </c>
      <c r="K9" s="86">
        <v>44991</v>
      </c>
      <c r="L9" s="6" t="s">
        <v>318</v>
      </c>
      <c r="M9" t="s">
        <v>300</v>
      </c>
      <c r="N9" t="s">
        <v>519</v>
      </c>
      <c r="O9" s="6">
        <v>110</v>
      </c>
      <c r="P9">
        <f>SUMIF(Table10[Airlines],Table10[[#This Row],[Airlines]],Table1[])</f>
        <v>34</v>
      </c>
      <c r="Q9">
        <f>Table10[[#This Row],[Stock on Quartal 1 2023]]-Table10[[#This Row],[Ticket Sold]]</f>
        <v>76</v>
      </c>
    </row>
    <row r="10" spans="2:17" x14ac:dyDescent="0.35">
      <c r="B10" s="6">
        <v>7</v>
      </c>
      <c r="C10" s="86">
        <v>44992</v>
      </c>
      <c r="D10" s="6" t="s">
        <v>326</v>
      </c>
      <c r="E10" t="s">
        <v>301</v>
      </c>
      <c r="F10" t="s">
        <v>519</v>
      </c>
      <c r="G10" s="6">
        <v>28</v>
      </c>
      <c r="J10" s="6">
        <v>7</v>
      </c>
      <c r="K10" s="86">
        <v>44992</v>
      </c>
      <c r="L10" s="6" t="s">
        <v>326</v>
      </c>
      <c r="M10" t="s">
        <v>301</v>
      </c>
      <c r="N10" t="s">
        <v>519</v>
      </c>
      <c r="O10" s="6">
        <v>80</v>
      </c>
      <c r="P10">
        <f>SUMIF(Table10[Airlines],Table10[[#This Row],[Airlines]],Table1[])</f>
        <v>36</v>
      </c>
      <c r="Q10">
        <f>Table10[[#This Row],[Stock on Quartal 1 2023]]-Table10[[#This Row],[Ticket Sold]]</f>
        <v>44</v>
      </c>
    </row>
    <row r="11" spans="2:17" x14ac:dyDescent="0.35">
      <c r="B11" s="6">
        <v>8</v>
      </c>
      <c r="C11" s="86">
        <v>44993</v>
      </c>
      <c r="D11" s="6" t="s">
        <v>321</v>
      </c>
      <c r="E11" t="s">
        <v>302</v>
      </c>
      <c r="F11" t="s">
        <v>519</v>
      </c>
      <c r="G11" s="6">
        <v>38</v>
      </c>
      <c r="J11" s="6">
        <v>8</v>
      </c>
      <c r="K11" s="86">
        <v>44993</v>
      </c>
      <c r="L11" s="6" t="s">
        <v>321</v>
      </c>
      <c r="M11" t="s">
        <v>302</v>
      </c>
      <c r="N11" t="s">
        <v>519</v>
      </c>
      <c r="O11" s="6">
        <v>95</v>
      </c>
      <c r="P11">
        <f>SUMIF(Table10[Airlines],Table10[[#This Row],[Airlines]],Table1[])</f>
        <v>38</v>
      </c>
      <c r="Q11">
        <f>Table10[[#This Row],[Stock on Quartal 1 2023]]-Table10[[#This Row],[Ticket Sold]]</f>
        <v>57</v>
      </c>
    </row>
    <row r="12" spans="2:17" x14ac:dyDescent="0.35">
      <c r="B12" s="6">
        <v>9</v>
      </c>
      <c r="C12" s="86">
        <v>44994</v>
      </c>
      <c r="D12" s="6" t="s">
        <v>319</v>
      </c>
      <c r="E12" t="s">
        <v>303</v>
      </c>
      <c r="F12" t="s">
        <v>519</v>
      </c>
      <c r="G12" s="6">
        <v>25</v>
      </c>
      <c r="J12" s="6">
        <v>9</v>
      </c>
      <c r="K12" s="86">
        <v>44994</v>
      </c>
      <c r="L12" s="6" t="s">
        <v>319</v>
      </c>
      <c r="M12" t="s">
        <v>303</v>
      </c>
      <c r="N12" t="s">
        <v>519</v>
      </c>
      <c r="O12" s="6">
        <v>55</v>
      </c>
      <c r="P12">
        <f>SUMIF(Table10[Airlines],Table10[[#This Row],[Airlines]],Table1[])</f>
        <v>40</v>
      </c>
      <c r="Q12">
        <f>Table10[[#This Row],[Stock on Quartal 1 2023]]-Table10[[#This Row],[Ticket Sold]]</f>
        <v>15</v>
      </c>
    </row>
    <row r="13" spans="2:17" x14ac:dyDescent="0.35">
      <c r="B13" s="6">
        <v>10</v>
      </c>
      <c r="C13" s="86">
        <v>44995</v>
      </c>
      <c r="D13" s="6" t="s">
        <v>327</v>
      </c>
      <c r="E13" t="s">
        <v>304</v>
      </c>
      <c r="F13" t="s">
        <v>519</v>
      </c>
      <c r="G13" s="6">
        <v>72</v>
      </c>
      <c r="J13" s="6">
        <v>10</v>
      </c>
      <c r="K13" s="86">
        <v>44995</v>
      </c>
      <c r="L13" s="6" t="s">
        <v>327</v>
      </c>
      <c r="M13" t="s">
        <v>304</v>
      </c>
      <c r="N13" t="s">
        <v>519</v>
      </c>
      <c r="O13" s="6">
        <v>100</v>
      </c>
      <c r="P13">
        <f>SUMIF(Table10[Airlines],Table10[[#This Row],[Airlines]],Table1[])</f>
        <v>42</v>
      </c>
      <c r="Q13">
        <f>Table10[[#This Row],[Stock on Quartal 1 2023]]-Table10[[#This Row],[Ticket Sold]]</f>
        <v>58</v>
      </c>
    </row>
    <row r="14" spans="2:17" x14ac:dyDescent="0.35">
      <c r="B14" s="6">
        <v>11</v>
      </c>
      <c r="C14" s="86">
        <v>44996</v>
      </c>
      <c r="D14" s="6" t="s">
        <v>323</v>
      </c>
      <c r="E14" t="s">
        <v>305</v>
      </c>
      <c r="F14" t="s">
        <v>519</v>
      </c>
      <c r="G14" s="6">
        <v>65</v>
      </c>
      <c r="J14" s="6">
        <v>11</v>
      </c>
      <c r="K14" s="86">
        <v>44996</v>
      </c>
      <c r="L14" s="6" t="s">
        <v>323</v>
      </c>
      <c r="M14" t="s">
        <v>305</v>
      </c>
      <c r="N14" t="s">
        <v>519</v>
      </c>
      <c r="O14" s="6">
        <v>100</v>
      </c>
      <c r="P14">
        <f>SUMIF(Table10[Airlines],Table10[[#This Row],[Airlines]],Table1[])</f>
        <v>44</v>
      </c>
      <c r="Q14">
        <f>Table10[[#This Row],[Stock on Quartal 1 2023]]-Table10[[#This Row],[Ticket Sold]]</f>
        <v>56</v>
      </c>
    </row>
    <row r="15" spans="2:17" x14ac:dyDescent="0.35">
      <c r="B15" s="6">
        <v>12</v>
      </c>
      <c r="C15" s="86">
        <v>44997</v>
      </c>
      <c r="D15" s="6" t="s">
        <v>328</v>
      </c>
      <c r="E15" t="s">
        <v>306</v>
      </c>
      <c r="F15" t="s">
        <v>520</v>
      </c>
      <c r="G15" s="6">
        <v>42</v>
      </c>
      <c r="J15" s="6">
        <v>12</v>
      </c>
      <c r="K15" s="86">
        <v>44997</v>
      </c>
      <c r="L15" s="6" t="s">
        <v>328</v>
      </c>
      <c r="M15" t="s">
        <v>306</v>
      </c>
      <c r="N15" t="s">
        <v>520</v>
      </c>
      <c r="O15" s="6">
        <v>100</v>
      </c>
      <c r="P15">
        <f>SUMIF(Table10[Airlines],Table10[[#This Row],[Airlines]],Table1[])</f>
        <v>46</v>
      </c>
      <c r="Q15">
        <f>Table10[[#This Row],[Stock on Quartal 1 2023]]-Table10[[#This Row],[Ticket Sold]]</f>
        <v>54</v>
      </c>
    </row>
    <row r="16" spans="2:17" x14ac:dyDescent="0.35">
      <c r="B16" s="6">
        <v>13</v>
      </c>
      <c r="C16" s="86">
        <v>44998</v>
      </c>
      <c r="D16" s="6" t="s">
        <v>329</v>
      </c>
      <c r="E16" t="s">
        <v>307</v>
      </c>
      <c r="F16" t="s">
        <v>520</v>
      </c>
      <c r="G16" s="6">
        <v>51</v>
      </c>
      <c r="J16" s="6">
        <v>13</v>
      </c>
      <c r="K16" s="86">
        <v>44998</v>
      </c>
      <c r="L16" s="6" t="s">
        <v>329</v>
      </c>
      <c r="M16" t="s">
        <v>307</v>
      </c>
      <c r="N16" t="s">
        <v>520</v>
      </c>
      <c r="O16" s="6">
        <v>130</v>
      </c>
      <c r="P16">
        <f>SUMIF(Table10[Airlines],Table10[[#This Row],[Airlines]],Table1[])</f>
        <v>48</v>
      </c>
      <c r="Q16">
        <f>Table10[[#This Row],[Stock on Quartal 1 2023]]-Table10[[#This Row],[Ticket Sold]]</f>
        <v>82</v>
      </c>
    </row>
    <row r="17" spans="2:17" x14ac:dyDescent="0.35">
      <c r="B17" s="6">
        <v>14</v>
      </c>
      <c r="C17" s="86">
        <v>44999</v>
      </c>
      <c r="D17" s="6" t="s">
        <v>330</v>
      </c>
      <c r="E17" t="s">
        <v>308</v>
      </c>
      <c r="F17" t="s">
        <v>520</v>
      </c>
      <c r="G17" s="6">
        <v>27</v>
      </c>
      <c r="J17" s="6">
        <v>14</v>
      </c>
      <c r="K17" s="86">
        <v>44999</v>
      </c>
      <c r="L17" s="6" t="s">
        <v>330</v>
      </c>
      <c r="M17" t="s">
        <v>308</v>
      </c>
      <c r="N17" t="s">
        <v>520</v>
      </c>
      <c r="O17" s="6">
        <v>120</v>
      </c>
      <c r="P17">
        <f>SUMIF(Table10[Airlines],Table10[[#This Row],[Airlines]],Table1[])</f>
        <v>50</v>
      </c>
      <c r="Q17">
        <f>Table10[[#This Row],[Stock on Quartal 1 2023]]-Table10[[#This Row],[Ticket Sold]]</f>
        <v>70</v>
      </c>
    </row>
    <row r="18" spans="2:17" x14ac:dyDescent="0.35">
      <c r="B18" s="6">
        <v>15</v>
      </c>
      <c r="C18" s="86">
        <v>45000</v>
      </c>
      <c r="D18" s="6" t="s">
        <v>331</v>
      </c>
      <c r="E18" t="s">
        <v>309</v>
      </c>
      <c r="F18" t="s">
        <v>520</v>
      </c>
      <c r="G18" s="6">
        <v>39</v>
      </c>
      <c r="J18" s="6">
        <v>15</v>
      </c>
      <c r="K18" s="86">
        <v>45000</v>
      </c>
      <c r="L18" s="6" t="s">
        <v>331</v>
      </c>
      <c r="M18" t="s">
        <v>309</v>
      </c>
      <c r="N18" t="s">
        <v>520</v>
      </c>
      <c r="O18" s="6">
        <v>90</v>
      </c>
      <c r="P18">
        <f>SUMIF(Table10[Airlines],Table10[[#This Row],[Airlines]],Table1[])</f>
        <v>52</v>
      </c>
      <c r="Q18">
        <f>Table10[[#This Row],[Stock on Quartal 1 2023]]-Table10[[#This Row],[Ticket Sold]]</f>
        <v>38</v>
      </c>
    </row>
    <row r="19" spans="2:17" x14ac:dyDescent="0.35">
      <c r="B19" s="6">
        <v>16</v>
      </c>
      <c r="C19" s="86">
        <v>45001</v>
      </c>
      <c r="D19" s="6" t="s">
        <v>332</v>
      </c>
      <c r="E19" t="s">
        <v>310</v>
      </c>
      <c r="F19" t="s">
        <v>520</v>
      </c>
      <c r="G19" s="6">
        <v>26</v>
      </c>
      <c r="J19" s="6">
        <v>16</v>
      </c>
      <c r="K19" s="86">
        <v>45001</v>
      </c>
      <c r="L19" s="6" t="s">
        <v>332</v>
      </c>
      <c r="M19" t="s">
        <v>310</v>
      </c>
      <c r="N19" t="s">
        <v>520</v>
      </c>
      <c r="O19" s="6">
        <v>85</v>
      </c>
      <c r="P19">
        <f>SUMIF(Table10[Airlines],Table10[[#This Row],[Airlines]],Table1[])</f>
        <v>54</v>
      </c>
      <c r="Q19">
        <f>Table10[[#This Row],[Stock on Quartal 1 2023]]-Table10[[#This Row],[Ticket Sold]]</f>
        <v>31</v>
      </c>
    </row>
    <row r="20" spans="2:17" x14ac:dyDescent="0.35">
      <c r="B20" s="6">
        <v>17</v>
      </c>
      <c r="C20" s="86">
        <v>45002</v>
      </c>
      <c r="D20" s="6" t="s">
        <v>333</v>
      </c>
      <c r="E20" t="s">
        <v>311</v>
      </c>
      <c r="F20" t="s">
        <v>520</v>
      </c>
      <c r="G20" s="6">
        <v>45</v>
      </c>
      <c r="J20" s="6">
        <v>17</v>
      </c>
      <c r="K20" s="86">
        <v>45002</v>
      </c>
      <c r="L20" s="6" t="s">
        <v>333</v>
      </c>
      <c r="M20" t="s">
        <v>311</v>
      </c>
      <c r="N20" t="s">
        <v>520</v>
      </c>
      <c r="O20" s="6">
        <v>85</v>
      </c>
      <c r="P20">
        <f>SUMIF(Table10[Airlines],Table10[[#This Row],[Airlines]],Table1[])</f>
        <v>56</v>
      </c>
      <c r="Q20">
        <f>Table10[[#This Row],[Stock on Quartal 1 2023]]-Table10[[#This Row],[Ticket Sold]]</f>
        <v>29</v>
      </c>
    </row>
    <row r="21" spans="2:17" x14ac:dyDescent="0.35">
      <c r="B21" s="6">
        <v>18</v>
      </c>
      <c r="C21" s="86">
        <v>45003</v>
      </c>
      <c r="D21" s="6" t="s">
        <v>334</v>
      </c>
      <c r="E21" t="s">
        <v>312</v>
      </c>
      <c r="F21" t="s">
        <v>520</v>
      </c>
      <c r="G21" s="6">
        <v>50</v>
      </c>
      <c r="J21" s="6">
        <v>18</v>
      </c>
      <c r="K21" s="86">
        <v>45003</v>
      </c>
      <c r="L21" s="6" t="s">
        <v>334</v>
      </c>
      <c r="M21" t="s">
        <v>312</v>
      </c>
      <c r="N21" t="s">
        <v>520</v>
      </c>
      <c r="O21" s="6">
        <v>85</v>
      </c>
      <c r="P21">
        <f>SUMIF(Table10[Airlines],Table10[[#This Row],[Airlines]],Table1[])</f>
        <v>58</v>
      </c>
      <c r="Q21">
        <f>Table10[[#This Row],[Stock on Quartal 1 2023]]-Table10[[#This Row],[Ticket Sold]]</f>
        <v>27</v>
      </c>
    </row>
    <row r="22" spans="2:17" x14ac:dyDescent="0.35">
      <c r="B22" s="6">
        <v>19</v>
      </c>
      <c r="C22" s="86">
        <v>45004</v>
      </c>
      <c r="D22" s="6" t="s">
        <v>335</v>
      </c>
      <c r="E22" t="s">
        <v>313</v>
      </c>
      <c r="F22" t="s">
        <v>520</v>
      </c>
      <c r="G22" s="6">
        <v>37</v>
      </c>
      <c r="J22" s="6">
        <v>19</v>
      </c>
      <c r="K22" s="86">
        <v>45004</v>
      </c>
      <c r="L22" s="6" t="s">
        <v>335</v>
      </c>
      <c r="M22" t="s">
        <v>313</v>
      </c>
      <c r="N22" t="s">
        <v>520</v>
      </c>
      <c r="O22" s="6">
        <v>70</v>
      </c>
      <c r="P22">
        <f>SUMIF(Table10[Airlines],Table10[[#This Row],[Airlines]],Table1[])</f>
        <v>60</v>
      </c>
      <c r="Q22">
        <f>Table10[[#This Row],[Stock on Quartal 1 2023]]-Table10[[#This Row],[Ticket Sold]]</f>
        <v>10</v>
      </c>
    </row>
    <row r="23" spans="2:17" x14ac:dyDescent="0.35">
      <c r="B23" s="6">
        <v>20</v>
      </c>
      <c r="C23" s="86">
        <v>45005</v>
      </c>
      <c r="D23" s="6" t="s">
        <v>336</v>
      </c>
      <c r="E23" t="s">
        <v>314</v>
      </c>
      <c r="F23" t="s">
        <v>520</v>
      </c>
      <c r="G23" s="6">
        <v>32</v>
      </c>
      <c r="J23" s="6">
        <v>20</v>
      </c>
      <c r="K23" s="86">
        <v>45005</v>
      </c>
      <c r="L23" s="6" t="s">
        <v>336</v>
      </c>
      <c r="M23" t="s">
        <v>314</v>
      </c>
      <c r="N23" t="s">
        <v>520</v>
      </c>
      <c r="O23" s="6">
        <v>50</v>
      </c>
      <c r="P23">
        <f>SUMIF(Table10[Airlines],Table10[[#This Row],[Airlines]],Table1[])</f>
        <v>62</v>
      </c>
      <c r="Q23">
        <f>Table10[[#This Row],[Stock on Quartal 1 2023]]-Table10[[#This Row],[Ticket Sold]]</f>
        <v>-12</v>
      </c>
    </row>
    <row r="24" spans="2:17" x14ac:dyDescent="0.35">
      <c r="B24" s="6">
        <v>21</v>
      </c>
      <c r="C24" s="86">
        <v>45006</v>
      </c>
      <c r="D24" s="6" t="s">
        <v>337</v>
      </c>
      <c r="E24" t="s">
        <v>315</v>
      </c>
      <c r="F24" t="s">
        <v>520</v>
      </c>
      <c r="G24" s="6">
        <v>77</v>
      </c>
      <c r="J24" s="6">
        <v>21</v>
      </c>
      <c r="K24" s="86">
        <v>45006</v>
      </c>
      <c r="L24" s="6" t="s">
        <v>337</v>
      </c>
      <c r="M24" t="s">
        <v>315</v>
      </c>
      <c r="N24" t="s">
        <v>520</v>
      </c>
      <c r="O24" s="6">
        <v>100</v>
      </c>
      <c r="P24">
        <f>SUMIF(Table10[Airlines],Table10[[#This Row],[Airlines]],Table1[])</f>
        <v>64</v>
      </c>
      <c r="Q24">
        <f>Table10[[#This Row],[Stock on Quartal 1 2023]]-Table10[[#This Row],[Ticket Sold]]</f>
        <v>36</v>
      </c>
    </row>
    <row r="25" spans="2:17" x14ac:dyDescent="0.35">
      <c r="B25" s="6">
        <v>22</v>
      </c>
      <c r="C25" s="86">
        <v>45007</v>
      </c>
      <c r="D25" s="6" t="s">
        <v>338</v>
      </c>
      <c r="E25" t="s">
        <v>316</v>
      </c>
      <c r="F25" t="s">
        <v>520</v>
      </c>
      <c r="G25" s="6">
        <v>64</v>
      </c>
      <c r="J25" s="6">
        <v>22</v>
      </c>
      <c r="K25" s="86">
        <v>45007</v>
      </c>
      <c r="L25" s="6" t="s">
        <v>338</v>
      </c>
      <c r="M25" t="s">
        <v>316</v>
      </c>
      <c r="N25" t="s">
        <v>520</v>
      </c>
      <c r="O25" s="6">
        <v>90</v>
      </c>
      <c r="P25">
        <f>SUMIF(Table10[Airlines],Table10[[#This Row],[Airlines]],Table1[])</f>
        <v>66</v>
      </c>
      <c r="Q25">
        <f>Table10[[#This Row],[Stock on Quartal 1 2023]]-Table10[[#This Row],[Ticket Sold]]</f>
        <v>24</v>
      </c>
    </row>
    <row r="26" spans="2:17" x14ac:dyDescent="0.35">
      <c r="B26" s="6">
        <v>23</v>
      </c>
      <c r="C26" s="86">
        <v>45008</v>
      </c>
      <c r="D26" s="6" t="s">
        <v>322</v>
      </c>
      <c r="E26" t="s">
        <v>295</v>
      </c>
      <c r="F26" t="s">
        <v>519</v>
      </c>
      <c r="G26" s="6">
        <v>80</v>
      </c>
      <c r="J26" s="6">
        <v>23</v>
      </c>
      <c r="K26" s="86">
        <v>45008</v>
      </c>
      <c r="L26" s="6" t="s">
        <v>322</v>
      </c>
      <c r="M26" t="s">
        <v>295</v>
      </c>
      <c r="N26" t="s">
        <v>519</v>
      </c>
      <c r="O26" s="6">
        <v>100</v>
      </c>
      <c r="P26">
        <f>SUMIF(Table10[Airlines],Table10[[#This Row],[Airlines]],Table1[])</f>
        <v>69</v>
      </c>
      <c r="Q26">
        <f>Table10[[#This Row],[Stock on Quartal 1 2023]]-Table10[[#This Row],[Ticket Sold]]</f>
        <v>31</v>
      </c>
    </row>
    <row r="27" spans="2:17" x14ac:dyDescent="0.35">
      <c r="B27" s="6">
        <v>24</v>
      </c>
      <c r="C27" s="86">
        <v>45009</v>
      </c>
      <c r="D27" s="6" t="s">
        <v>324</v>
      </c>
      <c r="E27" t="s">
        <v>296</v>
      </c>
      <c r="F27" t="s">
        <v>519</v>
      </c>
      <c r="G27" s="6">
        <v>65</v>
      </c>
      <c r="J27" s="6">
        <v>24</v>
      </c>
      <c r="K27" s="86">
        <v>45009</v>
      </c>
      <c r="L27" s="6" t="s">
        <v>324</v>
      </c>
      <c r="M27" t="s">
        <v>296</v>
      </c>
      <c r="N27" t="s">
        <v>519</v>
      </c>
      <c r="O27" s="6">
        <v>110</v>
      </c>
      <c r="P27">
        <f>SUMIF(Table10[Airlines],Table10[[#This Row],[Airlines]],Table1[])</f>
        <v>72</v>
      </c>
      <c r="Q27">
        <f>Table10[[#This Row],[Stock on Quartal 1 2023]]-Table10[[#This Row],[Ticket Sold]]</f>
        <v>38</v>
      </c>
    </row>
    <row r="28" spans="2:17" x14ac:dyDescent="0.35">
      <c r="B28" s="6">
        <v>25</v>
      </c>
      <c r="C28" s="86">
        <v>45010</v>
      </c>
      <c r="D28" s="6" t="s">
        <v>320</v>
      </c>
      <c r="E28" t="s">
        <v>297</v>
      </c>
      <c r="F28" t="s">
        <v>519</v>
      </c>
      <c r="G28" s="6">
        <v>32</v>
      </c>
      <c r="J28" s="6">
        <v>25</v>
      </c>
      <c r="K28" s="86">
        <v>45010</v>
      </c>
      <c r="L28" s="6" t="s">
        <v>320</v>
      </c>
      <c r="M28" t="s">
        <v>297</v>
      </c>
      <c r="N28" t="s">
        <v>519</v>
      </c>
      <c r="O28" s="6">
        <v>100</v>
      </c>
      <c r="P28">
        <f>SUMIF(Table10[Airlines],Table10[[#This Row],[Airlines]],Table1[])</f>
        <v>28</v>
      </c>
      <c r="Q28">
        <f>Table10[[#This Row],[Stock on Quartal 1 2023]]-Table10[[#This Row],[Ticket Sold]]</f>
        <v>72</v>
      </c>
    </row>
    <row r="29" spans="2:17" x14ac:dyDescent="0.35">
      <c r="B29" s="6">
        <v>26</v>
      </c>
      <c r="C29" s="86">
        <v>45011</v>
      </c>
      <c r="D29" s="6" t="s">
        <v>325</v>
      </c>
      <c r="E29" t="s">
        <v>298</v>
      </c>
      <c r="F29" t="s">
        <v>519</v>
      </c>
      <c r="G29" s="6">
        <v>30</v>
      </c>
      <c r="J29" s="6">
        <v>26</v>
      </c>
      <c r="K29" s="86">
        <v>45011</v>
      </c>
      <c r="L29" s="6" t="s">
        <v>325</v>
      </c>
      <c r="M29" t="s">
        <v>298</v>
      </c>
      <c r="N29" t="s">
        <v>519</v>
      </c>
      <c r="O29" s="6">
        <v>50</v>
      </c>
      <c r="P29">
        <f>SUMIF(Table10[Airlines],Table10[[#This Row],[Airlines]],Table1[])</f>
        <v>30</v>
      </c>
      <c r="Q29">
        <f>Table10[[#This Row],[Stock on Quartal 1 2023]]-Table10[[#This Row],[Ticket Sold]]</f>
        <v>20</v>
      </c>
    </row>
    <row r="30" spans="2:17" x14ac:dyDescent="0.35">
      <c r="B30" s="6">
        <v>27</v>
      </c>
      <c r="C30" s="86">
        <v>45012</v>
      </c>
      <c r="D30" s="6" t="s">
        <v>317</v>
      </c>
      <c r="E30" t="s">
        <v>299</v>
      </c>
      <c r="F30" t="s">
        <v>519</v>
      </c>
      <c r="G30" s="6">
        <v>80</v>
      </c>
      <c r="J30" s="6">
        <v>27</v>
      </c>
      <c r="K30" s="86">
        <v>45012</v>
      </c>
      <c r="L30" s="6" t="s">
        <v>317</v>
      </c>
      <c r="M30" t="s">
        <v>299</v>
      </c>
      <c r="N30" t="s">
        <v>519</v>
      </c>
      <c r="O30" s="6">
        <v>90</v>
      </c>
      <c r="P30">
        <f>SUMIF(Table10[Airlines],Table10[[#This Row],[Airlines]],Table1[])</f>
        <v>32</v>
      </c>
      <c r="Q30">
        <f>Table10[[#This Row],[Stock on Quartal 1 2023]]-Table10[[#This Row],[Ticket Sold]]</f>
        <v>58</v>
      </c>
    </row>
    <row r="31" spans="2:17" x14ac:dyDescent="0.35">
      <c r="B31" s="6">
        <v>28</v>
      </c>
      <c r="C31" s="86">
        <v>45013</v>
      </c>
      <c r="D31" s="6" t="s">
        <v>318</v>
      </c>
      <c r="E31" t="s">
        <v>300</v>
      </c>
      <c r="F31" t="s">
        <v>519</v>
      </c>
      <c r="G31" s="6">
        <v>70</v>
      </c>
      <c r="J31" s="6">
        <v>28</v>
      </c>
      <c r="K31" s="86">
        <v>45013</v>
      </c>
      <c r="L31" s="6" t="s">
        <v>318</v>
      </c>
      <c r="M31" t="s">
        <v>300</v>
      </c>
      <c r="N31" t="s">
        <v>519</v>
      </c>
      <c r="O31" s="6">
        <v>80</v>
      </c>
      <c r="P31">
        <f>SUMIF(Table10[Airlines],Table10[[#This Row],[Airlines]],Table1[])</f>
        <v>34</v>
      </c>
      <c r="Q31">
        <f>Table10[[#This Row],[Stock on Quartal 1 2023]]-Table10[[#This Row],[Ticket Sold]]</f>
        <v>46</v>
      </c>
    </row>
    <row r="32" spans="2:17" x14ac:dyDescent="0.35">
      <c r="B32" s="6">
        <v>29</v>
      </c>
      <c r="C32" s="86">
        <v>45014</v>
      </c>
      <c r="D32" s="6" t="s">
        <v>326</v>
      </c>
      <c r="E32" t="s">
        <v>301</v>
      </c>
      <c r="F32" t="s">
        <v>519</v>
      </c>
      <c r="G32" s="6">
        <v>68</v>
      </c>
      <c r="J32" s="6">
        <v>29</v>
      </c>
      <c r="K32" s="86">
        <v>45014</v>
      </c>
      <c r="L32" s="6" t="s">
        <v>326</v>
      </c>
      <c r="M32" t="s">
        <v>301</v>
      </c>
      <c r="N32" t="s">
        <v>519</v>
      </c>
      <c r="O32" s="6">
        <v>110</v>
      </c>
      <c r="P32">
        <f>SUMIF(Table10[Airlines],Table10[[#This Row],[Airlines]],Table1[])</f>
        <v>36</v>
      </c>
      <c r="Q32">
        <f>Table10[[#This Row],[Stock on Quartal 1 2023]]-Table10[[#This Row],[Ticket Sold]]</f>
        <v>74</v>
      </c>
    </row>
    <row r="33" spans="2:17" x14ac:dyDescent="0.35">
      <c r="B33" s="6">
        <v>30</v>
      </c>
      <c r="C33" s="86">
        <v>45015</v>
      </c>
      <c r="D33" s="6" t="s">
        <v>321</v>
      </c>
      <c r="E33" t="s">
        <v>302</v>
      </c>
      <c r="F33" t="s">
        <v>519</v>
      </c>
      <c r="G33" s="6">
        <v>101</v>
      </c>
      <c r="J33" s="6">
        <v>30</v>
      </c>
      <c r="K33" s="86">
        <v>45015</v>
      </c>
      <c r="L33" s="6" t="s">
        <v>321</v>
      </c>
      <c r="M33" t="s">
        <v>302</v>
      </c>
      <c r="N33" t="s">
        <v>519</v>
      </c>
      <c r="O33" s="6">
        <v>150</v>
      </c>
      <c r="P33">
        <f>SUMIF(Table10[Airlines],Table10[[#This Row],[Airlines]],Table1[])</f>
        <v>38</v>
      </c>
      <c r="Q33">
        <f>Table10[[#This Row],[Stock on Quartal 1 2023]]-Table10[[#This Row],[Ticket Sold]]</f>
        <v>112</v>
      </c>
    </row>
    <row r="34" spans="2:17" x14ac:dyDescent="0.35">
      <c r="B34" s="6">
        <v>31</v>
      </c>
      <c r="C34" s="86">
        <v>45016</v>
      </c>
      <c r="D34" s="6" t="s">
        <v>319</v>
      </c>
      <c r="E34" t="s">
        <v>303</v>
      </c>
      <c r="F34" t="s">
        <v>519</v>
      </c>
      <c r="G34" s="6">
        <v>92</v>
      </c>
      <c r="J34" s="6">
        <v>31</v>
      </c>
      <c r="K34" s="86">
        <v>45016</v>
      </c>
      <c r="L34" s="6" t="s">
        <v>319</v>
      </c>
      <c r="M34" t="s">
        <v>303</v>
      </c>
      <c r="N34" t="s">
        <v>519</v>
      </c>
      <c r="O34" s="6">
        <v>130</v>
      </c>
      <c r="P34">
        <f>SUMIF(Table10[Airlines],Table10[[#This Row],[Airlines]],Table1[])</f>
        <v>40</v>
      </c>
      <c r="Q34">
        <f>Table10[[#This Row],[Stock on Quartal 1 2023]]-Table10[[#This Row],[Ticket Sold]]</f>
        <v>90</v>
      </c>
    </row>
    <row r="35" spans="2:17" x14ac:dyDescent="0.35">
      <c r="B35" s="6">
        <v>32</v>
      </c>
      <c r="C35" s="86">
        <v>45017</v>
      </c>
      <c r="D35" s="6" t="s">
        <v>327</v>
      </c>
      <c r="E35" t="s">
        <v>304</v>
      </c>
      <c r="F35" t="s">
        <v>519</v>
      </c>
      <c r="G35" s="6">
        <v>115</v>
      </c>
      <c r="J35" s="6">
        <v>32</v>
      </c>
      <c r="K35" s="86">
        <v>45017</v>
      </c>
      <c r="L35" s="6" t="s">
        <v>327</v>
      </c>
      <c r="M35" t="s">
        <v>304</v>
      </c>
      <c r="N35" t="s">
        <v>519</v>
      </c>
      <c r="O35" s="6">
        <v>150</v>
      </c>
      <c r="P35">
        <f>SUMIF(Table10[Airlines],Table10[[#This Row],[Airlines]],Table1[])</f>
        <v>42</v>
      </c>
      <c r="Q35">
        <f>Table10[[#This Row],[Stock on Quartal 1 2023]]-Table10[[#This Row],[Ticket Sold]]</f>
        <v>108</v>
      </c>
    </row>
    <row r="36" spans="2:17" x14ac:dyDescent="0.35">
      <c r="B36" s="6">
        <v>33</v>
      </c>
      <c r="C36" s="86">
        <v>45018</v>
      </c>
      <c r="D36" s="6" t="s">
        <v>323</v>
      </c>
      <c r="E36" t="s">
        <v>305</v>
      </c>
      <c r="F36" t="s">
        <v>519</v>
      </c>
      <c r="G36" s="6">
        <v>88</v>
      </c>
      <c r="J36" s="6">
        <v>33</v>
      </c>
      <c r="K36" s="86">
        <v>45018</v>
      </c>
      <c r="L36" s="6" t="s">
        <v>323</v>
      </c>
      <c r="M36" t="s">
        <v>305</v>
      </c>
      <c r="N36" t="s">
        <v>519</v>
      </c>
      <c r="O36" s="6">
        <v>100</v>
      </c>
      <c r="P36">
        <f>SUMIF(Table10[Airlines],Table10[[#This Row],[Airlines]],Table1[])</f>
        <v>44</v>
      </c>
      <c r="Q36">
        <f>Table10[[#This Row],[Stock on Quartal 1 2023]]-Table10[[#This Row],[Ticket Sold]]</f>
        <v>56</v>
      </c>
    </row>
    <row r="37" spans="2:17" x14ac:dyDescent="0.35">
      <c r="B37" s="6">
        <v>34</v>
      </c>
      <c r="C37" s="86">
        <v>45019</v>
      </c>
      <c r="D37" s="6" t="s">
        <v>328</v>
      </c>
      <c r="E37" t="s">
        <v>306</v>
      </c>
      <c r="F37" t="s">
        <v>520</v>
      </c>
      <c r="G37" s="6">
        <v>76</v>
      </c>
      <c r="J37" s="6">
        <v>34</v>
      </c>
      <c r="K37" s="86">
        <v>45019</v>
      </c>
      <c r="L37" s="6" t="s">
        <v>328</v>
      </c>
      <c r="M37" t="s">
        <v>306</v>
      </c>
      <c r="N37" t="s">
        <v>520</v>
      </c>
      <c r="O37" s="6">
        <v>100</v>
      </c>
      <c r="P37">
        <f>SUMIF(Table10[Airlines],Table10[[#This Row],[Airlines]],Table1[])</f>
        <v>46</v>
      </c>
      <c r="Q37">
        <f>Table10[[#This Row],[Stock on Quartal 1 2023]]-Table10[[#This Row],[Ticket Sold]]</f>
        <v>54</v>
      </c>
    </row>
    <row r="38" spans="2:17" x14ac:dyDescent="0.35">
      <c r="B38" s="6">
        <v>35</v>
      </c>
      <c r="C38" s="86">
        <v>45020</v>
      </c>
      <c r="D38" s="6" t="s">
        <v>329</v>
      </c>
      <c r="E38" t="s">
        <v>307</v>
      </c>
      <c r="F38" t="s">
        <v>520</v>
      </c>
      <c r="G38" s="6">
        <v>35</v>
      </c>
      <c r="J38" s="6">
        <v>35</v>
      </c>
      <c r="K38" s="86">
        <v>45020</v>
      </c>
      <c r="L38" s="6" t="s">
        <v>329</v>
      </c>
      <c r="M38" t="s">
        <v>307</v>
      </c>
      <c r="N38" t="s">
        <v>520</v>
      </c>
      <c r="O38" s="6">
        <v>100</v>
      </c>
      <c r="P38">
        <f>SUMIF(Table10[Airlines],Table10[[#This Row],[Airlines]],Table1[])</f>
        <v>48</v>
      </c>
      <c r="Q38">
        <f>Table10[[#This Row],[Stock on Quartal 1 2023]]-Table10[[#This Row],[Ticket Sold]]</f>
        <v>52</v>
      </c>
    </row>
    <row r="39" spans="2:17" x14ac:dyDescent="0.35">
      <c r="B39" s="6">
        <v>36</v>
      </c>
      <c r="C39" s="86">
        <v>45021</v>
      </c>
      <c r="D39" s="6" t="s">
        <v>330</v>
      </c>
      <c r="E39" t="s">
        <v>308</v>
      </c>
      <c r="F39" t="s">
        <v>520</v>
      </c>
      <c r="G39" s="6">
        <v>39</v>
      </c>
      <c r="J39" s="6">
        <v>36</v>
      </c>
      <c r="K39" s="86">
        <v>45021</v>
      </c>
      <c r="L39" s="6" t="s">
        <v>330</v>
      </c>
      <c r="M39" t="s">
        <v>308</v>
      </c>
      <c r="N39" t="s">
        <v>520</v>
      </c>
      <c r="O39" s="6">
        <v>80</v>
      </c>
      <c r="P39">
        <f>SUMIF(Table10[Airlines],Table10[[#This Row],[Airlines]],Table1[])</f>
        <v>50</v>
      </c>
      <c r="Q39">
        <f>Table10[[#This Row],[Stock on Quartal 1 2023]]-Table10[[#This Row],[Ticket Sold]]</f>
        <v>30</v>
      </c>
    </row>
    <row r="40" spans="2:17" x14ac:dyDescent="0.35">
      <c r="B40" s="6">
        <v>37</v>
      </c>
      <c r="C40" s="86">
        <v>45022</v>
      </c>
      <c r="D40" s="6" t="s">
        <v>331</v>
      </c>
      <c r="E40" t="s">
        <v>309</v>
      </c>
      <c r="F40" t="s">
        <v>520</v>
      </c>
      <c r="G40" s="6">
        <v>46</v>
      </c>
      <c r="J40" s="6">
        <v>37</v>
      </c>
      <c r="K40" s="86">
        <v>45022</v>
      </c>
      <c r="L40" s="6" t="s">
        <v>331</v>
      </c>
      <c r="M40" t="s">
        <v>309</v>
      </c>
      <c r="N40" t="s">
        <v>520</v>
      </c>
      <c r="O40" s="6">
        <v>100</v>
      </c>
      <c r="P40">
        <f>SUMIF(Table10[Airlines],Table10[[#This Row],[Airlines]],Table1[])</f>
        <v>52</v>
      </c>
      <c r="Q40">
        <f>Table10[[#This Row],[Stock on Quartal 1 2023]]-Table10[[#This Row],[Ticket Sold]]</f>
        <v>48</v>
      </c>
    </row>
    <row r="41" spans="2:17" x14ac:dyDescent="0.35">
      <c r="B41" s="6">
        <v>38</v>
      </c>
      <c r="C41" s="86">
        <v>45023</v>
      </c>
      <c r="D41" s="6" t="s">
        <v>332</v>
      </c>
      <c r="E41" t="s">
        <v>310</v>
      </c>
      <c r="F41" t="s">
        <v>520</v>
      </c>
      <c r="G41" s="6">
        <v>42</v>
      </c>
      <c r="J41" s="6">
        <v>38</v>
      </c>
      <c r="K41" s="86">
        <v>45023</v>
      </c>
      <c r="L41" s="6" t="s">
        <v>332</v>
      </c>
      <c r="M41" t="s">
        <v>310</v>
      </c>
      <c r="N41" t="s">
        <v>520</v>
      </c>
      <c r="O41" s="6">
        <v>80</v>
      </c>
      <c r="P41">
        <f>SUMIF(Table10[Airlines],Table10[[#This Row],[Airlines]],Table1[])</f>
        <v>54</v>
      </c>
      <c r="Q41">
        <f>Table10[[#This Row],[Stock on Quartal 1 2023]]-Table10[[#This Row],[Ticket Sold]]</f>
        <v>26</v>
      </c>
    </row>
    <row r="42" spans="2:17" x14ac:dyDescent="0.35">
      <c r="B42" s="6">
        <v>39</v>
      </c>
      <c r="C42" s="86">
        <v>45024</v>
      </c>
      <c r="D42" s="6" t="s">
        <v>333</v>
      </c>
      <c r="E42" t="s">
        <v>311</v>
      </c>
      <c r="F42" t="s">
        <v>520</v>
      </c>
      <c r="G42" s="6">
        <v>31</v>
      </c>
      <c r="J42" s="6">
        <v>39</v>
      </c>
      <c r="K42" s="86">
        <v>45024</v>
      </c>
      <c r="L42" s="6" t="s">
        <v>333</v>
      </c>
      <c r="M42" t="s">
        <v>311</v>
      </c>
      <c r="N42" t="s">
        <v>520</v>
      </c>
      <c r="O42" s="6">
        <v>50</v>
      </c>
      <c r="P42">
        <f>SUMIF(Table10[Airlines],Table10[[#This Row],[Airlines]],Table1[])</f>
        <v>56</v>
      </c>
      <c r="Q42">
        <f>Table10[[#This Row],[Stock on Quartal 1 2023]]-Table10[[#This Row],[Ticket Sold]]</f>
        <v>-6</v>
      </c>
    </row>
    <row r="43" spans="2:17" x14ac:dyDescent="0.35">
      <c r="B43" s="6">
        <v>40</v>
      </c>
      <c r="C43" s="86">
        <v>45025</v>
      </c>
      <c r="D43" s="6" t="s">
        <v>334</v>
      </c>
      <c r="E43" t="s">
        <v>312</v>
      </c>
      <c r="F43" t="s">
        <v>520</v>
      </c>
      <c r="G43" s="6">
        <v>38</v>
      </c>
      <c r="J43" s="6">
        <v>40</v>
      </c>
      <c r="K43" s="86">
        <v>45025</v>
      </c>
      <c r="L43" s="6" t="s">
        <v>334</v>
      </c>
      <c r="M43" t="s">
        <v>312</v>
      </c>
      <c r="N43" t="s">
        <v>520</v>
      </c>
      <c r="O43" s="6">
        <v>50</v>
      </c>
      <c r="P43">
        <f>SUMIF(Table10[Airlines],Table10[[#This Row],[Airlines]],Table1[])</f>
        <v>58</v>
      </c>
      <c r="Q43">
        <f>Table10[[#This Row],[Stock on Quartal 1 2023]]-Table10[[#This Row],[Ticket Sold]]</f>
        <v>-8</v>
      </c>
    </row>
    <row r="44" spans="2:17" x14ac:dyDescent="0.35">
      <c r="B44" s="6">
        <v>41</v>
      </c>
      <c r="C44" s="86">
        <v>45026</v>
      </c>
      <c r="D44" s="6" t="s">
        <v>335</v>
      </c>
      <c r="E44" t="s">
        <v>313</v>
      </c>
      <c r="F44" t="s">
        <v>520</v>
      </c>
      <c r="G44" s="6">
        <v>52</v>
      </c>
      <c r="J44" s="6">
        <v>41</v>
      </c>
      <c r="K44" s="86">
        <v>45026</v>
      </c>
      <c r="L44" s="6" t="s">
        <v>335</v>
      </c>
      <c r="M44" t="s">
        <v>313</v>
      </c>
      <c r="N44" t="s">
        <v>520</v>
      </c>
      <c r="O44" s="6">
        <v>80</v>
      </c>
      <c r="P44">
        <f>SUMIF(Table10[Airlines],Table10[[#This Row],[Airlines]],Table1[])</f>
        <v>60</v>
      </c>
      <c r="Q44">
        <f>Table10[[#This Row],[Stock on Quartal 1 2023]]-Table10[[#This Row],[Ticket Sold]]</f>
        <v>20</v>
      </c>
    </row>
    <row r="45" spans="2:17" x14ac:dyDescent="0.35">
      <c r="B45" s="6">
        <v>42</v>
      </c>
      <c r="C45" s="86">
        <v>45027</v>
      </c>
      <c r="D45" s="6" t="s">
        <v>336</v>
      </c>
      <c r="E45" t="s">
        <v>314</v>
      </c>
      <c r="F45" t="s">
        <v>520</v>
      </c>
      <c r="G45" s="6">
        <v>55</v>
      </c>
      <c r="J45" s="6">
        <v>42</v>
      </c>
      <c r="K45" s="86">
        <v>45027</v>
      </c>
      <c r="L45" s="6" t="s">
        <v>336</v>
      </c>
      <c r="M45" t="s">
        <v>314</v>
      </c>
      <c r="N45" t="s">
        <v>520</v>
      </c>
      <c r="O45" s="6">
        <v>75</v>
      </c>
      <c r="P45">
        <f>SUMIF(Table10[Airlines],Table10[[#This Row],[Airlines]],Table1[])</f>
        <v>62</v>
      </c>
      <c r="Q45">
        <f>Table10[[#This Row],[Stock on Quartal 1 2023]]-Table10[[#This Row],[Ticket Sold]]</f>
        <v>13</v>
      </c>
    </row>
    <row r="46" spans="2:17" x14ac:dyDescent="0.35">
      <c r="B46" s="6">
        <v>43</v>
      </c>
      <c r="C46" s="86">
        <v>45028</v>
      </c>
      <c r="D46" s="6" t="s">
        <v>337</v>
      </c>
      <c r="E46" t="s">
        <v>315</v>
      </c>
      <c r="F46" t="s">
        <v>520</v>
      </c>
      <c r="G46" s="6">
        <v>135</v>
      </c>
      <c r="J46" s="6">
        <v>43</v>
      </c>
      <c r="K46" s="86">
        <v>45028</v>
      </c>
      <c r="L46" s="6" t="s">
        <v>337</v>
      </c>
      <c r="M46" t="s">
        <v>315</v>
      </c>
      <c r="N46" t="s">
        <v>520</v>
      </c>
      <c r="O46" s="6">
        <v>150</v>
      </c>
      <c r="P46">
        <f>SUMIF(Table10[Airlines],Table10[[#This Row],[Airlines]],Table1[])</f>
        <v>64</v>
      </c>
      <c r="Q46">
        <f>Table10[[#This Row],[Stock on Quartal 1 2023]]-Table10[[#This Row],[Ticket Sold]]</f>
        <v>86</v>
      </c>
    </row>
    <row r="47" spans="2:17" x14ac:dyDescent="0.35">
      <c r="B47" s="6">
        <v>44</v>
      </c>
      <c r="C47" s="86">
        <v>45029</v>
      </c>
      <c r="D47" s="6" t="s">
        <v>338</v>
      </c>
      <c r="E47" t="s">
        <v>316</v>
      </c>
      <c r="F47" t="s">
        <v>520</v>
      </c>
      <c r="G47" s="6">
        <v>75</v>
      </c>
      <c r="J47" s="6">
        <v>44</v>
      </c>
      <c r="K47" s="86">
        <v>45029</v>
      </c>
      <c r="L47" s="6" t="s">
        <v>338</v>
      </c>
      <c r="M47" t="s">
        <v>316</v>
      </c>
      <c r="N47" t="s">
        <v>520</v>
      </c>
      <c r="O47" s="6">
        <v>100</v>
      </c>
      <c r="P47">
        <f>SUMIF(Table10[Airlines],Table10[[#This Row],[Airlines]],Table1[])</f>
        <v>66</v>
      </c>
      <c r="Q47">
        <f>Table10[[#This Row],[Stock on Quartal 1 2023]]-Table10[[#This Row],[Ticket Sold]]</f>
        <v>34</v>
      </c>
    </row>
    <row r="48" spans="2:17" x14ac:dyDescent="0.35">
      <c r="B48" s="6">
        <v>45</v>
      </c>
      <c r="C48" s="86">
        <v>45030</v>
      </c>
      <c r="D48" s="6" t="s">
        <v>322</v>
      </c>
      <c r="E48" t="s">
        <v>295</v>
      </c>
      <c r="F48" t="s">
        <v>519</v>
      </c>
      <c r="G48" s="6">
        <v>144</v>
      </c>
      <c r="J48" s="6">
        <v>45</v>
      </c>
      <c r="K48" s="86">
        <v>45030</v>
      </c>
      <c r="L48" s="6" t="s">
        <v>322</v>
      </c>
      <c r="M48" t="s">
        <v>295</v>
      </c>
      <c r="N48" t="s">
        <v>519</v>
      </c>
      <c r="O48" s="6">
        <v>150</v>
      </c>
      <c r="P48">
        <f>SUMIF(Table10[Airlines],Table10[[#This Row],[Airlines]],Table1[])</f>
        <v>69</v>
      </c>
      <c r="Q48">
        <f>Table10[[#This Row],[Stock on Quartal 1 2023]]-Table10[[#This Row],[Ticket Sold]]</f>
        <v>81</v>
      </c>
    </row>
    <row r="49" spans="2:17" x14ac:dyDescent="0.35">
      <c r="B49" s="6">
        <v>46</v>
      </c>
      <c r="C49" s="86">
        <v>45031</v>
      </c>
      <c r="D49" s="6" t="s">
        <v>324</v>
      </c>
      <c r="E49" t="s">
        <v>296</v>
      </c>
      <c r="F49" t="s">
        <v>519</v>
      </c>
      <c r="G49" s="6">
        <v>62</v>
      </c>
      <c r="J49" s="6">
        <v>46</v>
      </c>
      <c r="K49" s="86">
        <v>45031</v>
      </c>
      <c r="L49" s="6" t="s">
        <v>324</v>
      </c>
      <c r="M49" t="s">
        <v>296</v>
      </c>
      <c r="N49" t="s">
        <v>519</v>
      </c>
      <c r="O49" s="6">
        <v>100</v>
      </c>
      <c r="P49">
        <f>SUMIF(Table10[Airlines],Table10[[#This Row],[Airlines]],Table1[])</f>
        <v>72</v>
      </c>
      <c r="Q49">
        <f>Table10[[#This Row],[Stock on Quartal 1 2023]]-Table10[[#This Row],[Ticket Sold]]</f>
        <v>28</v>
      </c>
    </row>
    <row r="50" spans="2:17" x14ac:dyDescent="0.35">
      <c r="B50" s="14" t="s">
        <v>613</v>
      </c>
      <c r="J50" s="14" t="s">
        <v>613</v>
      </c>
      <c r="O50" s="6">
        <v>100</v>
      </c>
    </row>
    <row r="51" spans="2:17" x14ac:dyDescent="0.35">
      <c r="B51" s="14" t="s">
        <v>596</v>
      </c>
      <c r="J51" s="14" t="s">
        <v>596</v>
      </c>
      <c r="O51" s="6">
        <v>100</v>
      </c>
    </row>
    <row r="52" spans="2:17" x14ac:dyDescent="0.35">
      <c r="B52" s="14" t="s">
        <v>597</v>
      </c>
      <c r="J52" s="14" t="s">
        <v>597</v>
      </c>
      <c r="O52" s="6">
        <v>100</v>
      </c>
    </row>
    <row r="53" spans="2:17" x14ac:dyDescent="0.35">
      <c r="O53" s="6">
        <v>80</v>
      </c>
    </row>
  </sheetData>
  <pageMargins left="0.7" right="0.7" top="0.75" bottom="0.75" header="0.3" footer="0.3"/>
  <drawing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A835B-197A-704B-9C3F-F09310705446}">
  <sheetPr codeName="Sheet16">
    <tabColor theme="8" tint="0.39997558519241921"/>
  </sheetPr>
  <dimension ref="B2:Q43"/>
  <sheetViews>
    <sheetView topLeftCell="F1" zoomScale="115" zoomScaleNormal="140" workbookViewId="0">
      <selection activeCell="T20" sqref="T20"/>
    </sheetView>
  </sheetViews>
  <sheetFormatPr defaultColWidth="10.6640625" defaultRowHeight="15.5" x14ac:dyDescent="0.35"/>
  <cols>
    <col min="2" max="2" width="39.33203125" bestFit="1" customWidth="1"/>
    <col min="3" max="3" width="19.5" style="18" bestFit="1" customWidth="1"/>
    <col min="6" max="6" width="22.6640625" customWidth="1"/>
    <col min="7" max="7" width="19.5" bestFit="1" customWidth="1"/>
    <col min="9" max="9" width="10.83203125" style="84"/>
    <col min="11" max="11" width="17.5" customWidth="1"/>
    <col min="12" max="12" width="23" customWidth="1"/>
    <col min="13" max="13" width="23.6640625" customWidth="1"/>
    <col min="14" max="14" width="17.1640625" customWidth="1"/>
    <col min="15" max="15" width="17" bestFit="1" customWidth="1"/>
    <col min="16" max="16" width="18.5" customWidth="1"/>
    <col min="18" max="18" width="25.83203125" customWidth="1"/>
    <col min="20" max="20" width="19.1640625" customWidth="1"/>
  </cols>
  <sheetData>
    <row r="2" spans="2:17" ht="16" thickBot="1" x14ac:dyDescent="0.4"/>
    <row r="3" spans="2:17" x14ac:dyDescent="0.35">
      <c r="B3" s="14" t="s">
        <v>819</v>
      </c>
      <c r="F3" t="s">
        <v>857</v>
      </c>
      <c r="G3" s="18">
        <f>C25</f>
        <v>2234699111</v>
      </c>
      <c r="K3" s="14" t="s">
        <v>880</v>
      </c>
      <c r="L3" s="18">
        <v>22488212</v>
      </c>
      <c r="N3" s="270" t="s">
        <v>884</v>
      </c>
      <c r="O3" s="268" t="s">
        <v>890</v>
      </c>
      <c r="P3" s="269"/>
    </row>
    <row r="4" spans="2:17" x14ac:dyDescent="0.35">
      <c r="B4" s="84" t="s">
        <v>820</v>
      </c>
      <c r="C4" s="114">
        <v>22488212</v>
      </c>
      <c r="F4" t="s">
        <v>842</v>
      </c>
      <c r="G4" s="18">
        <f>C38</f>
        <v>6063819704</v>
      </c>
      <c r="K4" s="119" t="s">
        <v>881</v>
      </c>
      <c r="L4" s="177">
        <f>IF(L5="Flat",10%,15%)</f>
        <v>0.1</v>
      </c>
      <c r="N4" s="271"/>
      <c r="O4" s="16" t="s">
        <v>891</v>
      </c>
      <c r="P4" s="98" t="s">
        <v>892</v>
      </c>
    </row>
    <row r="5" spans="2:17" x14ac:dyDescent="0.35">
      <c r="B5" s="14" t="s">
        <v>821</v>
      </c>
      <c r="F5" t="s">
        <v>858</v>
      </c>
      <c r="G5" s="18">
        <f>G3+G4</f>
        <v>8298518815</v>
      </c>
      <c r="K5" s="14" t="s">
        <v>879</v>
      </c>
      <c r="L5" s="47" t="s">
        <v>886</v>
      </c>
      <c r="M5" s="119" t="s">
        <v>974</v>
      </c>
      <c r="N5" s="26" t="s">
        <v>885</v>
      </c>
      <c r="O5" s="6" t="s">
        <v>893</v>
      </c>
      <c r="P5" s="118">
        <v>0.15</v>
      </c>
      <c r="Q5" s="14" t="s">
        <v>906</v>
      </c>
    </row>
    <row r="6" spans="2:17" x14ac:dyDescent="0.35">
      <c r="B6" t="s">
        <v>822</v>
      </c>
      <c r="C6" s="18">
        <v>221840764</v>
      </c>
      <c r="F6" t="s">
        <v>859</v>
      </c>
      <c r="G6" s="109">
        <v>0.1</v>
      </c>
      <c r="K6" s="119" t="s">
        <v>890</v>
      </c>
      <c r="L6" s="133" t="str">
        <f>IF(AND(L5="Flat",L4=10%),"Short-term",IF(AND(L5="Efektif",L4=15%),"Short-term",IF(AND(L5="Anuitas",L4=15%),"Long-term","")))</f>
        <v>Short-term</v>
      </c>
      <c r="N6" s="26" t="s">
        <v>886</v>
      </c>
      <c r="O6" s="116">
        <v>0.1</v>
      </c>
      <c r="P6" s="99" t="s">
        <v>893</v>
      </c>
      <c r="Q6" s="14" t="s">
        <v>894</v>
      </c>
    </row>
    <row r="7" spans="2:17" ht="16" thickBot="1" x14ac:dyDescent="0.4">
      <c r="B7" t="s">
        <v>823</v>
      </c>
      <c r="C7" s="18">
        <v>267384175</v>
      </c>
      <c r="F7" t="s">
        <v>860</v>
      </c>
      <c r="G7">
        <v>20</v>
      </c>
      <c r="K7" s="119" t="s">
        <v>903</v>
      </c>
      <c r="L7" s="178">
        <f>L4/12</f>
        <v>8.3333333333333332E-3</v>
      </c>
      <c r="N7" s="29" t="s">
        <v>887</v>
      </c>
      <c r="O7" s="117">
        <v>0.15</v>
      </c>
      <c r="P7" s="101" t="s">
        <v>893</v>
      </c>
    </row>
    <row r="8" spans="2:17" x14ac:dyDescent="0.35">
      <c r="B8" t="s">
        <v>824</v>
      </c>
      <c r="C8" s="18">
        <v>282794233</v>
      </c>
      <c r="F8" t="s">
        <v>861</v>
      </c>
      <c r="G8" s="18">
        <v>185000000</v>
      </c>
      <c r="K8" s="14" t="s">
        <v>861</v>
      </c>
      <c r="L8" s="133" t="s">
        <v>911</v>
      </c>
      <c r="O8" s="6"/>
      <c r="P8" s="6"/>
    </row>
    <row r="9" spans="2:17" ht="16" thickBot="1" x14ac:dyDescent="0.4">
      <c r="B9" t="s">
        <v>825</v>
      </c>
      <c r="C9" s="18">
        <v>43912892</v>
      </c>
      <c r="F9" s="14" t="s">
        <v>862</v>
      </c>
      <c r="G9" s="110">
        <f>NPER(G6/G7,G8,-G5)</f>
        <v>50.920715429595525</v>
      </c>
      <c r="K9" s="14" t="s">
        <v>882</v>
      </c>
      <c r="L9">
        <v>15</v>
      </c>
    </row>
    <row r="10" spans="2:17" x14ac:dyDescent="0.35">
      <c r="B10" s="14" t="s">
        <v>826</v>
      </c>
      <c r="F10" s="14" t="s">
        <v>580</v>
      </c>
      <c r="G10" s="19">
        <f>G8*G9</f>
        <v>9420332354.475172</v>
      </c>
      <c r="N10" s="108" t="s">
        <v>900</v>
      </c>
      <c r="O10" s="35" t="s">
        <v>901</v>
      </c>
      <c r="P10" t="s">
        <v>895</v>
      </c>
    </row>
    <row r="11" spans="2:17" x14ac:dyDescent="0.35">
      <c r="B11" t="s">
        <v>827</v>
      </c>
      <c r="C11" s="18">
        <v>816672</v>
      </c>
      <c r="N11" s="24" t="s">
        <v>896</v>
      </c>
      <c r="O11" s="25" t="s">
        <v>897</v>
      </c>
      <c r="P11" s="80" t="s">
        <v>905</v>
      </c>
    </row>
    <row r="12" spans="2:17" x14ac:dyDescent="0.35">
      <c r="B12" t="s">
        <v>828</v>
      </c>
      <c r="C12" s="18">
        <v>201564259</v>
      </c>
      <c r="N12" s="24" t="s">
        <v>898</v>
      </c>
      <c r="O12" s="25" t="s">
        <v>899</v>
      </c>
    </row>
    <row r="13" spans="2:17" ht="16" thickBot="1" x14ac:dyDescent="0.4">
      <c r="B13" t="s">
        <v>829</v>
      </c>
      <c r="C13" s="18">
        <v>391223602</v>
      </c>
      <c r="F13" t="s">
        <v>820</v>
      </c>
      <c r="G13" s="18">
        <v>22488212</v>
      </c>
      <c r="N13" s="102" t="s">
        <v>902</v>
      </c>
      <c r="O13" s="41" t="s">
        <v>880</v>
      </c>
    </row>
    <row r="14" spans="2:17" x14ac:dyDescent="0.35">
      <c r="B14" t="s">
        <v>830</v>
      </c>
      <c r="C14" s="18">
        <v>225893940</v>
      </c>
      <c r="F14" t="s">
        <v>833</v>
      </c>
      <c r="G14" s="18">
        <v>13485935</v>
      </c>
    </row>
    <row r="15" spans="2:17" ht="16" thickBot="1" x14ac:dyDescent="0.4">
      <c r="B15" t="s">
        <v>831</v>
      </c>
      <c r="C15" s="18">
        <v>48455330</v>
      </c>
      <c r="G15" s="18">
        <f>G13+G14</f>
        <v>35974147</v>
      </c>
      <c r="K15" s="14" t="s">
        <v>910</v>
      </c>
    </row>
    <row r="16" spans="2:17" x14ac:dyDescent="0.35">
      <c r="B16" t="s">
        <v>832</v>
      </c>
      <c r="F16" t="s">
        <v>833</v>
      </c>
      <c r="G16" s="18">
        <v>637376643</v>
      </c>
      <c r="K16" s="270" t="s">
        <v>482</v>
      </c>
      <c r="L16" s="268" t="s">
        <v>883</v>
      </c>
      <c r="M16" s="268"/>
      <c r="N16" s="268" t="s">
        <v>580</v>
      </c>
      <c r="O16" s="273" t="s">
        <v>908</v>
      </c>
    </row>
    <row r="17" spans="2:16" x14ac:dyDescent="0.35">
      <c r="B17" s="84" t="s">
        <v>833</v>
      </c>
      <c r="C17" s="114">
        <v>13485935</v>
      </c>
      <c r="F17" s="14" t="s">
        <v>878</v>
      </c>
      <c r="G17" s="115">
        <f>(G15/G16)*100</f>
        <v>5.6440955901171925</v>
      </c>
      <c r="K17" s="271"/>
      <c r="L17" s="123" t="s">
        <v>888</v>
      </c>
      <c r="M17" s="123" t="s">
        <v>889</v>
      </c>
      <c r="N17" s="262"/>
      <c r="O17" s="274"/>
    </row>
    <row r="18" spans="2:16" x14ac:dyDescent="0.35">
      <c r="B18" t="s">
        <v>834</v>
      </c>
      <c r="C18" s="18">
        <v>14850452</v>
      </c>
      <c r="K18" s="124">
        <v>0</v>
      </c>
      <c r="L18" s="84"/>
      <c r="M18" s="84"/>
      <c r="O18" s="125">
        <f>L3</f>
        <v>22488212</v>
      </c>
    </row>
    <row r="19" spans="2:16" x14ac:dyDescent="0.35">
      <c r="B19" t="s">
        <v>835</v>
      </c>
      <c r="C19" s="18">
        <v>216941950</v>
      </c>
      <c r="K19" s="124">
        <v>1</v>
      </c>
      <c r="L19" s="126">
        <f>IF($L$5="Flat",$O$18/$L$9,IF($L$5="Efektif",PPMT($L$7,K19,$L$9,-$O$18)))</f>
        <v>1499214.1333333333</v>
      </c>
      <c r="M19" s="127">
        <f>IF($L$5="Flat",$L$3*$L$7,IF($L$5="Efektif",IPMT($L$7,K19,$L$9,$L$3)))</f>
        <v>187401.76666666666</v>
      </c>
      <c r="N19" s="18">
        <f>L19+M19</f>
        <v>1686615.9</v>
      </c>
      <c r="O19" s="125">
        <f>O18-L19</f>
        <v>20988997.866666667</v>
      </c>
      <c r="P19" s="14" t="s">
        <v>909</v>
      </c>
    </row>
    <row r="20" spans="2:16" ht="31" x14ac:dyDescent="0.35">
      <c r="B20" s="11" t="s">
        <v>836</v>
      </c>
      <c r="C20" s="106">
        <v>217608718</v>
      </c>
      <c r="K20" s="124">
        <v>2</v>
      </c>
      <c r="L20" s="126">
        <f>IF($L$5="Flat",$O$18/$L$9,IF($L$5="Efektif",PPMT($L$7,K20,$L$9,-$O$18)))</f>
        <v>1499214.1333333333</v>
      </c>
      <c r="M20" s="126">
        <f>IF($L$5="Flat",$L$3*$L$7,IF($L$5="Efektif",IPMT($L$7,K20,$L$9,$L$3)))</f>
        <v>187401.76666666666</v>
      </c>
      <c r="N20" s="106">
        <f>L20+M20</f>
        <v>1686615.9</v>
      </c>
      <c r="O20" s="125">
        <f>O19-L20</f>
        <v>19489783.733333334</v>
      </c>
    </row>
    <row r="21" spans="2:16" x14ac:dyDescent="0.35">
      <c r="B21" t="s">
        <v>837</v>
      </c>
      <c r="K21" s="124">
        <v>3</v>
      </c>
      <c r="L21" s="126">
        <f>IF($L$5="Flat",$O$18/$L$9,IF($L$5="Efektif",PPMT($L$7,K21,$L$9,-$O$18)))</f>
        <v>1499214.1333333333</v>
      </c>
      <c r="M21" s="126">
        <f>IF($L$5="Flat",$L$3*$L$7,IF($L$5="Efektif",IPMT($L$7,K21,$L$9,$L$3)))</f>
        <v>187401.76666666666</v>
      </c>
      <c r="N21" s="106">
        <f t="shared" ref="N21:N33" si="0">L21+M21</f>
        <v>1686615.9</v>
      </c>
      <c r="O21" s="125">
        <f t="shared" ref="O21:O33" si="1">O20-L21</f>
        <v>17990569.600000001</v>
      </c>
    </row>
    <row r="22" spans="2:16" x14ac:dyDescent="0.35">
      <c r="B22" t="s">
        <v>838</v>
      </c>
      <c r="K22" s="124">
        <v>4</v>
      </c>
      <c r="L22" s="126">
        <f>IF($L$5="Flat",$O$18/$L$9,IF($L$5="Efektif",PPMT($L$7,K22,$L$9,-$O$18)))</f>
        <v>1499214.1333333333</v>
      </c>
      <c r="M22" s="126">
        <f>IF($L$5="Flat",$L$3*$L$7,IF($L$5="Efektif",IPMT($L$7,K22,$L$9,$L$3)))</f>
        <v>187401.76666666666</v>
      </c>
      <c r="N22" s="106">
        <f t="shared" si="0"/>
        <v>1686615.9</v>
      </c>
      <c r="O22" s="125">
        <f t="shared" si="1"/>
        <v>16491355.466666669</v>
      </c>
    </row>
    <row r="23" spans="2:16" x14ac:dyDescent="0.35">
      <c r="B23" t="s">
        <v>839</v>
      </c>
      <c r="K23" s="124">
        <v>5</v>
      </c>
      <c r="L23" s="126">
        <f t="shared" ref="L23:L33" si="2">IF($L$5="Flat",$O$18/$L$9,IF($L$5="Efektif",PPMT($L$7,K23,$L$9,-$O$18)))</f>
        <v>1499214.1333333333</v>
      </c>
      <c r="M23" s="126">
        <f t="shared" ref="M23:M33" si="3">IF($L$5="Flat",$L$3*$L$7,IF($L$5="Efektif",IPMT($L$7,K23,$L$9,$L$3)))</f>
        <v>187401.76666666666</v>
      </c>
      <c r="N23" s="106">
        <f t="shared" si="0"/>
        <v>1686615.9</v>
      </c>
      <c r="O23" s="125">
        <f t="shared" si="1"/>
        <v>14992141.333333336</v>
      </c>
    </row>
    <row r="24" spans="2:16" x14ac:dyDescent="0.35">
      <c r="B24" t="s">
        <v>840</v>
      </c>
      <c r="C24" s="18">
        <v>65437977</v>
      </c>
      <c r="K24" s="124">
        <v>6</v>
      </c>
      <c r="L24" s="126">
        <f t="shared" si="2"/>
        <v>1499214.1333333333</v>
      </c>
      <c r="M24" s="126">
        <f t="shared" si="3"/>
        <v>187401.76666666666</v>
      </c>
      <c r="N24" s="106">
        <f t="shared" si="0"/>
        <v>1686615.9</v>
      </c>
      <c r="O24" s="125">
        <f t="shared" si="1"/>
        <v>13492927.200000003</v>
      </c>
    </row>
    <row r="25" spans="2:16" x14ac:dyDescent="0.35">
      <c r="B25" s="14" t="s">
        <v>841</v>
      </c>
      <c r="C25" s="19">
        <f>SUM(C4:C24)</f>
        <v>2234699111</v>
      </c>
      <c r="K25" s="124">
        <v>7</v>
      </c>
      <c r="L25" s="126">
        <f t="shared" si="2"/>
        <v>1499214.1333333333</v>
      </c>
      <c r="M25" s="126">
        <f t="shared" si="3"/>
        <v>187401.76666666666</v>
      </c>
      <c r="N25" s="106">
        <f t="shared" si="0"/>
        <v>1686615.9</v>
      </c>
      <c r="O25" s="125">
        <f t="shared" si="1"/>
        <v>11993713.06666667</v>
      </c>
    </row>
    <row r="26" spans="2:16" x14ac:dyDescent="0.35">
      <c r="B26" s="14" t="s">
        <v>842</v>
      </c>
      <c r="K26" s="124">
        <v>8</v>
      </c>
      <c r="L26" s="126">
        <f t="shared" si="2"/>
        <v>1499214.1333333333</v>
      </c>
      <c r="M26" s="126">
        <f t="shared" si="3"/>
        <v>187401.76666666666</v>
      </c>
      <c r="N26" s="106">
        <f t="shared" si="0"/>
        <v>1686615.9</v>
      </c>
      <c r="O26" s="125">
        <f t="shared" si="1"/>
        <v>10494498.933333337</v>
      </c>
    </row>
    <row r="27" spans="2:16" x14ac:dyDescent="0.35">
      <c r="B27" t="s">
        <v>843</v>
      </c>
      <c r="K27" s="124">
        <v>9</v>
      </c>
      <c r="L27" s="126">
        <f t="shared" si="2"/>
        <v>1499214.1333333333</v>
      </c>
      <c r="M27" s="126">
        <f t="shared" si="3"/>
        <v>187401.76666666666</v>
      </c>
      <c r="N27" s="106">
        <f t="shared" si="0"/>
        <v>1686615.9</v>
      </c>
      <c r="O27" s="125">
        <f t="shared" si="1"/>
        <v>8995284.8000000045</v>
      </c>
    </row>
    <row r="28" spans="2:16" x14ac:dyDescent="0.35">
      <c r="B28" t="s">
        <v>844</v>
      </c>
      <c r="K28" s="124">
        <v>10</v>
      </c>
      <c r="L28" s="126">
        <f t="shared" si="2"/>
        <v>1499214.1333333333</v>
      </c>
      <c r="M28" s="126">
        <f t="shared" si="3"/>
        <v>187401.76666666666</v>
      </c>
      <c r="N28" s="106">
        <f t="shared" si="0"/>
        <v>1686615.9</v>
      </c>
      <c r="O28" s="125">
        <f t="shared" si="1"/>
        <v>7496070.6666666716</v>
      </c>
    </row>
    <row r="29" spans="2:16" x14ac:dyDescent="0.35">
      <c r="B29" t="s">
        <v>822</v>
      </c>
      <c r="C29" s="18">
        <v>212192321</v>
      </c>
      <c r="K29" s="124">
        <v>11</v>
      </c>
      <c r="L29" s="126">
        <f t="shared" si="2"/>
        <v>1499214.1333333333</v>
      </c>
      <c r="M29" s="126">
        <f t="shared" si="3"/>
        <v>187401.76666666666</v>
      </c>
      <c r="N29" s="106">
        <f t="shared" si="0"/>
        <v>1686615.9</v>
      </c>
      <c r="O29" s="125">
        <f t="shared" si="1"/>
        <v>5996856.5333333388</v>
      </c>
    </row>
    <row r="30" spans="2:16" x14ac:dyDescent="0.35">
      <c r="B30" t="s">
        <v>824</v>
      </c>
      <c r="C30" s="18">
        <v>702488216</v>
      </c>
      <c r="K30" s="124">
        <v>12</v>
      </c>
      <c r="L30" s="126">
        <f t="shared" si="2"/>
        <v>1499214.1333333333</v>
      </c>
      <c r="M30" s="126">
        <f t="shared" si="3"/>
        <v>187401.76666666666</v>
      </c>
      <c r="N30" s="106">
        <f t="shared" si="0"/>
        <v>1686615.9</v>
      </c>
      <c r="O30" s="125">
        <f>O29-L30</f>
        <v>4497642.400000006</v>
      </c>
    </row>
    <row r="31" spans="2:16" x14ac:dyDescent="0.35">
      <c r="B31" s="84" t="s">
        <v>833</v>
      </c>
      <c r="C31" s="114">
        <v>637376643</v>
      </c>
      <c r="K31" s="124">
        <v>13</v>
      </c>
      <c r="L31" s="126">
        <f t="shared" si="2"/>
        <v>1499214.1333333333</v>
      </c>
      <c r="M31" s="126">
        <f t="shared" si="3"/>
        <v>187401.76666666666</v>
      </c>
      <c r="N31" s="106">
        <f t="shared" si="0"/>
        <v>1686615.9</v>
      </c>
      <c r="O31" s="125">
        <f>O30-L31</f>
        <v>2998428.2666666727</v>
      </c>
    </row>
    <row r="32" spans="2:16" x14ac:dyDescent="0.35">
      <c r="B32" t="s">
        <v>834</v>
      </c>
      <c r="C32" s="18">
        <v>76078045</v>
      </c>
      <c r="K32" s="124">
        <v>14</v>
      </c>
      <c r="L32" s="126">
        <f t="shared" si="2"/>
        <v>1499214.1333333333</v>
      </c>
      <c r="M32" s="126">
        <f t="shared" si="3"/>
        <v>187401.76666666666</v>
      </c>
      <c r="N32" s="106">
        <f t="shared" si="0"/>
        <v>1686615.9</v>
      </c>
      <c r="O32" s="125">
        <f t="shared" si="1"/>
        <v>1499214.1333333394</v>
      </c>
    </row>
    <row r="33" spans="2:15" ht="16" thickBot="1" x14ac:dyDescent="0.4">
      <c r="B33" t="s">
        <v>835</v>
      </c>
      <c r="C33" s="18">
        <v>2339188894</v>
      </c>
      <c r="K33" s="128">
        <v>15</v>
      </c>
      <c r="L33" s="129">
        <f t="shared" si="2"/>
        <v>1499214.1333333333</v>
      </c>
      <c r="M33" s="130">
        <f t="shared" si="3"/>
        <v>187401.76666666666</v>
      </c>
      <c r="N33" s="131">
        <f t="shared" si="0"/>
        <v>1686615.9</v>
      </c>
      <c r="O33" s="132">
        <f t="shared" si="1"/>
        <v>6.0535967350006104E-9</v>
      </c>
    </row>
    <row r="34" spans="2:15" ht="31" x14ac:dyDescent="0.35">
      <c r="B34" s="11" t="s">
        <v>836</v>
      </c>
      <c r="C34" s="106">
        <v>2047296702</v>
      </c>
    </row>
    <row r="35" spans="2:15" x14ac:dyDescent="0.35">
      <c r="B35" t="s">
        <v>845</v>
      </c>
      <c r="C35" s="18">
        <v>31102635</v>
      </c>
    </row>
    <row r="36" spans="2:15" x14ac:dyDescent="0.35">
      <c r="B36" t="s">
        <v>846</v>
      </c>
      <c r="C36" s="18">
        <v>698476</v>
      </c>
    </row>
    <row r="37" spans="2:15" x14ac:dyDescent="0.35">
      <c r="B37" t="s">
        <v>847</v>
      </c>
      <c r="C37" s="18">
        <v>17397772</v>
      </c>
    </row>
    <row r="38" spans="2:15" x14ac:dyDescent="0.35">
      <c r="B38" s="14" t="s">
        <v>848</v>
      </c>
      <c r="C38" s="19">
        <f>SUM(C29:C37)</f>
        <v>6063819704</v>
      </c>
      <c r="K38" s="14" t="s">
        <v>888</v>
      </c>
    </row>
    <row r="39" spans="2:15" ht="85" customHeight="1" x14ac:dyDescent="0.35">
      <c r="B39" s="272" t="s">
        <v>851</v>
      </c>
      <c r="C39" s="272"/>
      <c r="K39" s="120" t="s">
        <v>904</v>
      </c>
    </row>
    <row r="40" spans="2:15" x14ac:dyDescent="0.35">
      <c r="B40" s="107"/>
      <c r="C40" s="107"/>
    </row>
    <row r="41" spans="2:15" x14ac:dyDescent="0.35">
      <c r="B41" s="107"/>
      <c r="C41" s="107"/>
    </row>
    <row r="42" spans="2:15" x14ac:dyDescent="0.35">
      <c r="K42" s="14" t="s">
        <v>889</v>
      </c>
    </row>
    <row r="43" spans="2:15" ht="68" customHeight="1" x14ac:dyDescent="0.35">
      <c r="K43" s="122" t="s">
        <v>907</v>
      </c>
      <c r="L43" s="121"/>
      <c r="M43" s="121"/>
      <c r="N43" s="121"/>
      <c r="O43" s="121"/>
    </row>
  </sheetData>
  <mergeCells count="7">
    <mergeCell ref="O3:P3"/>
    <mergeCell ref="N3:N4"/>
    <mergeCell ref="B39:C39"/>
    <mergeCell ref="L16:M16"/>
    <mergeCell ref="K16:K17"/>
    <mergeCell ref="N16:N17"/>
    <mergeCell ref="O16:O17"/>
  </mergeCells>
  <dataValidations count="1">
    <dataValidation type="list" allowBlank="1" showInputMessage="1" showErrorMessage="1" sqref="L5" xr:uid="{F4BA3780-ABB5-0C4E-B9AA-2250A150E03E}">
      <formula1>$N$5:$N$7</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DFF8D-8200-5346-AF8B-11AE61B942DF}">
  <sheetPr codeName="Sheet17">
    <tabColor theme="8" tint="0.39997558519241921"/>
  </sheetPr>
  <dimension ref="A1:D49"/>
  <sheetViews>
    <sheetView zoomScale="75" workbookViewId="0">
      <selection activeCell="C13" sqref="C13"/>
    </sheetView>
  </sheetViews>
  <sheetFormatPr defaultColWidth="10.6640625" defaultRowHeight="15.5" x14ac:dyDescent="0.35"/>
  <cols>
    <col min="1" max="1" width="48.6640625" bestFit="1" customWidth="1"/>
    <col min="2" max="2" width="20.83203125" bestFit="1" customWidth="1"/>
    <col min="3" max="4" width="15.5" bestFit="1" customWidth="1"/>
    <col min="5" max="5" width="16.5" bestFit="1" customWidth="1"/>
    <col min="6" max="6" width="14.5" bestFit="1" customWidth="1"/>
    <col min="7" max="7" width="31.5" bestFit="1" customWidth="1"/>
    <col min="8" max="8" width="21.83203125" bestFit="1" customWidth="1"/>
    <col min="9" max="9" width="16.5" bestFit="1" customWidth="1"/>
    <col min="10" max="10" width="23" bestFit="1" customWidth="1"/>
    <col min="11" max="11" width="31" bestFit="1" customWidth="1"/>
    <col min="12" max="12" width="27.83203125" bestFit="1" customWidth="1"/>
    <col min="13" max="13" width="34.33203125" bestFit="1" customWidth="1"/>
    <col min="14" max="14" width="24.5" bestFit="1" customWidth="1"/>
    <col min="15" max="15" width="21.1640625" bestFit="1" customWidth="1"/>
    <col min="16" max="16" width="27.83203125" bestFit="1" customWidth="1"/>
    <col min="17" max="23" width="13.5" bestFit="1" customWidth="1"/>
    <col min="24" max="36" width="14.5" bestFit="1" customWidth="1"/>
    <col min="37" max="37" width="26.6640625" bestFit="1" customWidth="1"/>
    <col min="38" max="38" width="16.5" bestFit="1" customWidth="1"/>
    <col min="39" max="39" width="10.83203125" bestFit="1" customWidth="1"/>
    <col min="40" max="40" width="14.5" bestFit="1" customWidth="1"/>
    <col min="41" max="41" width="19.33203125" bestFit="1" customWidth="1"/>
    <col min="42" max="42" width="14.5" bestFit="1" customWidth="1"/>
    <col min="43" max="43" width="19.33203125" bestFit="1" customWidth="1"/>
    <col min="44" max="44" width="14.5" bestFit="1" customWidth="1"/>
    <col min="45" max="45" width="20.33203125" bestFit="1" customWidth="1"/>
    <col min="46" max="46" width="14.5" bestFit="1" customWidth="1"/>
    <col min="47" max="47" width="20.33203125" bestFit="1" customWidth="1"/>
    <col min="48" max="48" width="14.5" bestFit="1" customWidth="1"/>
    <col min="49" max="49" width="20.33203125" bestFit="1" customWidth="1"/>
    <col min="50" max="50" width="14.5" bestFit="1" customWidth="1"/>
    <col min="51" max="51" width="20.33203125" bestFit="1" customWidth="1"/>
    <col min="52" max="52" width="14.5" bestFit="1" customWidth="1"/>
    <col min="53" max="53" width="20.33203125" bestFit="1" customWidth="1"/>
    <col min="54" max="54" width="14.5" bestFit="1" customWidth="1"/>
    <col min="55" max="55" width="20.33203125" bestFit="1" customWidth="1"/>
    <col min="56" max="56" width="14.5" bestFit="1" customWidth="1"/>
    <col min="57" max="57" width="20.33203125" bestFit="1" customWidth="1"/>
    <col min="58" max="58" width="14.5" bestFit="1" customWidth="1"/>
    <col min="59" max="59" width="20.33203125" bestFit="1" customWidth="1"/>
    <col min="60" max="60" width="14.5" bestFit="1" customWidth="1"/>
    <col min="61" max="61" width="20.33203125" bestFit="1" customWidth="1"/>
    <col min="62" max="62" width="14.5" bestFit="1" customWidth="1"/>
    <col min="63" max="63" width="20.33203125" bestFit="1" customWidth="1"/>
    <col min="64" max="64" width="14.5" bestFit="1" customWidth="1"/>
    <col min="65" max="65" width="20.33203125" bestFit="1" customWidth="1"/>
    <col min="66" max="66" width="14.5" bestFit="1" customWidth="1"/>
    <col min="67" max="67" width="20.33203125" bestFit="1" customWidth="1"/>
    <col min="68" max="68" width="14.5" bestFit="1" customWidth="1"/>
    <col min="69" max="69" width="20.33203125" bestFit="1" customWidth="1"/>
    <col min="70" max="70" width="26.6640625" bestFit="1" customWidth="1"/>
    <col min="71" max="71" width="16.5" bestFit="1" customWidth="1"/>
    <col min="72" max="72" width="10.83203125" bestFit="1" customWidth="1"/>
    <col min="73" max="120" width="30.6640625" bestFit="1" customWidth="1"/>
  </cols>
  <sheetData>
    <row r="1" spans="1:4" x14ac:dyDescent="0.35">
      <c r="A1" s="111" t="s">
        <v>0</v>
      </c>
      <c r="B1" t="s">
        <v>873</v>
      </c>
    </row>
    <row r="2" spans="1:4" x14ac:dyDescent="0.35">
      <c r="A2" s="111" t="s">
        <v>14</v>
      </c>
      <c r="B2" t="s">
        <v>302</v>
      </c>
    </row>
    <row r="4" spans="1:4" x14ac:dyDescent="0.35">
      <c r="B4" s="111" t="s">
        <v>863</v>
      </c>
    </row>
    <row r="5" spans="1:4" x14ac:dyDescent="0.35">
      <c r="B5" t="s">
        <v>198</v>
      </c>
      <c r="C5" t="s">
        <v>866</v>
      </c>
      <c r="D5" t="s">
        <v>864</v>
      </c>
    </row>
    <row r="6" spans="1:4" x14ac:dyDescent="0.35">
      <c r="A6" s="111" t="s">
        <v>865</v>
      </c>
      <c r="B6" t="s">
        <v>519</v>
      </c>
    </row>
    <row r="7" spans="1:4" x14ac:dyDescent="0.35">
      <c r="A7" s="83" t="s">
        <v>64</v>
      </c>
      <c r="B7" s="17"/>
      <c r="C7" s="17"/>
      <c r="D7" s="17"/>
    </row>
    <row r="8" spans="1:4" x14ac:dyDescent="0.35">
      <c r="A8" s="112" t="s">
        <v>273</v>
      </c>
      <c r="B8" s="17"/>
      <c r="C8" s="17"/>
      <c r="D8" s="17"/>
    </row>
    <row r="9" spans="1:4" x14ac:dyDescent="0.35">
      <c r="A9" s="113" t="s">
        <v>867</v>
      </c>
      <c r="B9" s="17">
        <v>2420000</v>
      </c>
      <c r="C9" s="17">
        <v>2420000</v>
      </c>
      <c r="D9" s="17">
        <v>2420000</v>
      </c>
    </row>
    <row r="10" spans="1:4" x14ac:dyDescent="0.35">
      <c r="A10" s="113" t="s">
        <v>870</v>
      </c>
      <c r="B10" s="17">
        <v>2200000</v>
      </c>
      <c r="C10" s="17">
        <v>2200000</v>
      </c>
      <c r="D10" s="17">
        <v>2200000</v>
      </c>
    </row>
    <row r="11" spans="1:4" x14ac:dyDescent="0.35">
      <c r="A11" s="113" t="s">
        <v>872</v>
      </c>
      <c r="B11" s="17"/>
      <c r="C11" s="17"/>
      <c r="D11" s="17"/>
    </row>
    <row r="12" spans="1:4" x14ac:dyDescent="0.35">
      <c r="A12" s="83" t="s">
        <v>912</v>
      </c>
      <c r="B12" s="17">
        <v>2420000</v>
      </c>
      <c r="C12" s="17">
        <v>2420000</v>
      </c>
      <c r="D12" s="17">
        <v>2420000</v>
      </c>
    </row>
    <row r="13" spans="1:4" x14ac:dyDescent="0.35">
      <c r="A13" s="83" t="s">
        <v>913</v>
      </c>
      <c r="B13" s="17">
        <v>2200000</v>
      </c>
      <c r="C13" s="17">
        <v>2200000</v>
      </c>
      <c r="D13" s="17">
        <v>2200000</v>
      </c>
    </row>
    <row r="14" spans="1:4" x14ac:dyDescent="0.35">
      <c r="A14" s="83" t="s">
        <v>914</v>
      </c>
      <c r="B14" s="17"/>
      <c r="C14" s="17"/>
      <c r="D14" s="17"/>
    </row>
    <row r="15" spans="1:4" x14ac:dyDescent="0.35">
      <c r="A15" s="83" t="s">
        <v>127</v>
      </c>
      <c r="B15" s="17"/>
      <c r="C15" s="17"/>
      <c r="D15" s="17"/>
    </row>
    <row r="16" spans="1:4" x14ac:dyDescent="0.35">
      <c r="A16" s="112" t="s">
        <v>292</v>
      </c>
      <c r="B16" s="17"/>
      <c r="C16" s="17"/>
      <c r="D16" s="17"/>
    </row>
    <row r="17" spans="1:4" x14ac:dyDescent="0.35">
      <c r="A17" s="113" t="s">
        <v>867</v>
      </c>
      <c r="B17" s="17">
        <v>2695000</v>
      </c>
      <c r="C17" s="17">
        <v>2695000</v>
      </c>
      <c r="D17" s="17">
        <v>2695000</v>
      </c>
    </row>
    <row r="18" spans="1:4" x14ac:dyDescent="0.35">
      <c r="A18" s="113" t="s">
        <v>870</v>
      </c>
      <c r="B18" s="17">
        <v>2450000</v>
      </c>
      <c r="C18" s="17">
        <v>2450000</v>
      </c>
      <c r="D18" s="17">
        <v>2450000</v>
      </c>
    </row>
    <row r="19" spans="1:4" x14ac:dyDescent="0.35">
      <c r="A19" s="113" t="s">
        <v>872</v>
      </c>
      <c r="B19" s="17"/>
      <c r="C19" s="17"/>
      <c r="D19" s="17"/>
    </row>
    <row r="20" spans="1:4" x14ac:dyDescent="0.35">
      <c r="A20" s="83" t="s">
        <v>915</v>
      </c>
      <c r="B20" s="17">
        <v>2695000</v>
      </c>
      <c r="C20" s="17">
        <v>2695000</v>
      </c>
      <c r="D20" s="17">
        <v>2695000</v>
      </c>
    </row>
    <row r="21" spans="1:4" x14ac:dyDescent="0.35">
      <c r="A21" s="83" t="s">
        <v>916</v>
      </c>
      <c r="B21" s="17">
        <v>2450000</v>
      </c>
      <c r="C21" s="17">
        <v>2450000</v>
      </c>
      <c r="D21" s="17">
        <v>2450000</v>
      </c>
    </row>
    <row r="22" spans="1:4" x14ac:dyDescent="0.35">
      <c r="A22" s="83" t="s">
        <v>917</v>
      </c>
      <c r="B22" s="17"/>
      <c r="C22" s="17"/>
      <c r="D22" s="17"/>
    </row>
    <row r="23" spans="1:4" x14ac:dyDescent="0.35">
      <c r="A23" s="83" t="s">
        <v>52</v>
      </c>
      <c r="B23" s="17"/>
      <c r="C23" s="17"/>
      <c r="D23" s="17"/>
    </row>
    <row r="24" spans="1:4" x14ac:dyDescent="0.35">
      <c r="A24" s="112" t="s">
        <v>262</v>
      </c>
      <c r="B24" s="17"/>
      <c r="C24" s="17"/>
      <c r="D24" s="17"/>
    </row>
    <row r="25" spans="1:4" x14ac:dyDescent="0.35">
      <c r="A25" s="113" t="s">
        <v>867</v>
      </c>
      <c r="B25" s="17">
        <v>2420000</v>
      </c>
      <c r="C25" s="17">
        <v>2420000</v>
      </c>
      <c r="D25" s="17">
        <v>2420000</v>
      </c>
    </row>
    <row r="26" spans="1:4" x14ac:dyDescent="0.35">
      <c r="A26" s="113" t="s">
        <v>870</v>
      </c>
      <c r="B26" s="17">
        <v>2200000</v>
      </c>
      <c r="C26" s="17">
        <v>2200000</v>
      </c>
      <c r="D26" s="17">
        <v>2200000</v>
      </c>
    </row>
    <row r="27" spans="1:4" x14ac:dyDescent="0.35">
      <c r="A27" s="113" t="s">
        <v>872</v>
      </c>
      <c r="B27" s="17"/>
      <c r="C27" s="17"/>
      <c r="D27" s="17"/>
    </row>
    <row r="28" spans="1:4" x14ac:dyDescent="0.35">
      <c r="A28" s="83" t="s">
        <v>918</v>
      </c>
      <c r="B28" s="17">
        <v>2420000</v>
      </c>
      <c r="C28" s="17">
        <v>2420000</v>
      </c>
      <c r="D28" s="17">
        <v>2420000</v>
      </c>
    </row>
    <row r="29" spans="1:4" x14ac:dyDescent="0.35">
      <c r="A29" s="83" t="s">
        <v>919</v>
      </c>
      <c r="B29" s="17">
        <v>2200000</v>
      </c>
      <c r="C29" s="17">
        <v>2200000</v>
      </c>
      <c r="D29" s="17">
        <v>2200000</v>
      </c>
    </row>
    <row r="30" spans="1:4" x14ac:dyDescent="0.35">
      <c r="A30" s="83" t="s">
        <v>920</v>
      </c>
      <c r="B30" s="17"/>
      <c r="C30" s="17"/>
      <c r="D30" s="17"/>
    </row>
    <row r="31" spans="1:4" x14ac:dyDescent="0.35">
      <c r="A31" s="83" t="s">
        <v>117</v>
      </c>
      <c r="B31" s="17"/>
      <c r="C31" s="17"/>
      <c r="D31" s="17"/>
    </row>
    <row r="32" spans="1:4" x14ac:dyDescent="0.35">
      <c r="A32" s="112" t="s">
        <v>257</v>
      </c>
      <c r="B32" s="17"/>
      <c r="C32" s="17"/>
      <c r="D32" s="17"/>
    </row>
    <row r="33" spans="1:4" x14ac:dyDescent="0.35">
      <c r="A33" s="113" t="s">
        <v>867</v>
      </c>
      <c r="B33" s="17">
        <v>2200000</v>
      </c>
      <c r="C33" s="17">
        <v>2200000</v>
      </c>
      <c r="D33" s="17">
        <v>2200000</v>
      </c>
    </row>
    <row r="34" spans="1:4" x14ac:dyDescent="0.35">
      <c r="A34" s="113" t="s">
        <v>870</v>
      </c>
      <c r="B34" s="17">
        <v>2000000</v>
      </c>
      <c r="C34" s="17">
        <v>2000000</v>
      </c>
      <c r="D34" s="17">
        <v>2000000</v>
      </c>
    </row>
    <row r="35" spans="1:4" x14ac:dyDescent="0.35">
      <c r="A35" s="113" t="s">
        <v>872</v>
      </c>
      <c r="B35" s="17"/>
      <c r="C35" s="17"/>
      <c r="D35" s="17"/>
    </row>
    <row r="36" spans="1:4" x14ac:dyDescent="0.35">
      <c r="A36" s="83" t="s">
        <v>921</v>
      </c>
      <c r="B36" s="17">
        <v>2200000</v>
      </c>
      <c r="C36" s="17">
        <v>2200000</v>
      </c>
      <c r="D36" s="17">
        <v>2200000</v>
      </c>
    </row>
    <row r="37" spans="1:4" x14ac:dyDescent="0.35">
      <c r="A37" s="83" t="s">
        <v>922</v>
      </c>
      <c r="B37" s="17">
        <v>2000000</v>
      </c>
      <c r="C37" s="17">
        <v>2000000</v>
      </c>
      <c r="D37" s="17">
        <v>2000000</v>
      </c>
    </row>
    <row r="38" spans="1:4" x14ac:dyDescent="0.35">
      <c r="A38" s="83" t="s">
        <v>923</v>
      </c>
      <c r="B38" s="17"/>
      <c r="C38" s="17"/>
      <c r="D38" s="17"/>
    </row>
    <row r="39" spans="1:4" x14ac:dyDescent="0.35">
      <c r="A39" s="83" t="s">
        <v>81</v>
      </c>
      <c r="B39" s="17"/>
      <c r="C39" s="17"/>
      <c r="D39" s="17"/>
    </row>
    <row r="40" spans="1:4" x14ac:dyDescent="0.35">
      <c r="A40" s="112" t="s">
        <v>262</v>
      </c>
      <c r="B40" s="17"/>
      <c r="C40" s="17"/>
      <c r="D40" s="17"/>
    </row>
    <row r="41" spans="1:4" x14ac:dyDescent="0.35">
      <c r="A41" s="113" t="s">
        <v>867</v>
      </c>
      <c r="B41" s="17">
        <v>2420000</v>
      </c>
      <c r="C41" s="17">
        <v>2420000</v>
      </c>
      <c r="D41" s="17">
        <v>2420000</v>
      </c>
    </row>
    <row r="42" spans="1:4" x14ac:dyDescent="0.35">
      <c r="A42" s="113" t="s">
        <v>870</v>
      </c>
      <c r="B42" s="17">
        <v>2200000</v>
      </c>
      <c r="C42" s="17">
        <v>2200000</v>
      </c>
      <c r="D42" s="17">
        <v>2200000</v>
      </c>
    </row>
    <row r="43" spans="1:4" x14ac:dyDescent="0.35">
      <c r="A43" s="113" t="s">
        <v>872</v>
      </c>
      <c r="B43" s="17"/>
      <c r="C43" s="17"/>
      <c r="D43" s="17"/>
    </row>
    <row r="44" spans="1:4" x14ac:dyDescent="0.35">
      <c r="A44" s="83" t="s">
        <v>924</v>
      </c>
      <c r="B44" s="17">
        <v>2420000</v>
      </c>
      <c r="C44" s="17">
        <v>2420000</v>
      </c>
      <c r="D44" s="17">
        <v>2420000</v>
      </c>
    </row>
    <row r="45" spans="1:4" x14ac:dyDescent="0.35">
      <c r="A45" s="83" t="s">
        <v>925</v>
      </c>
      <c r="B45" s="17">
        <v>2200000</v>
      </c>
      <c r="C45" s="17">
        <v>2200000</v>
      </c>
      <c r="D45" s="17">
        <v>2200000</v>
      </c>
    </row>
    <row r="46" spans="1:4" x14ac:dyDescent="0.35">
      <c r="A46" s="83" t="s">
        <v>926</v>
      </c>
      <c r="B46" s="17"/>
      <c r="C46" s="17"/>
      <c r="D46" s="17"/>
    </row>
    <row r="47" spans="1:4" x14ac:dyDescent="0.35">
      <c r="A47" s="83" t="s">
        <v>868</v>
      </c>
      <c r="B47" s="17">
        <v>12155000</v>
      </c>
      <c r="C47" s="17">
        <v>12155000</v>
      </c>
      <c r="D47" s="17">
        <v>12155000</v>
      </c>
    </row>
    <row r="48" spans="1:4" x14ac:dyDescent="0.35">
      <c r="A48" s="83" t="s">
        <v>869</v>
      </c>
      <c r="B48" s="17">
        <v>2450000</v>
      </c>
      <c r="C48" s="17">
        <v>2450000</v>
      </c>
      <c r="D48" s="17">
        <v>2450000</v>
      </c>
    </row>
    <row r="49" spans="1:4" x14ac:dyDescent="0.35">
      <c r="A49" s="83" t="s">
        <v>871</v>
      </c>
      <c r="B49" s="17"/>
      <c r="C49" s="17"/>
      <c r="D49" s="1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360C-A595-6440-B7B8-60338642E209}">
  <sheetPr codeName="Sheet18">
    <tabColor theme="8" tint="0.39997558519241921"/>
  </sheetPr>
  <dimension ref="B3:AC126"/>
  <sheetViews>
    <sheetView topLeftCell="A43" zoomScale="75" workbookViewId="0">
      <selection activeCell="E57" sqref="E57"/>
    </sheetView>
  </sheetViews>
  <sheetFormatPr defaultColWidth="10.6640625" defaultRowHeight="15.5" x14ac:dyDescent="0.35"/>
  <cols>
    <col min="2" max="3" width="10.83203125" style="1"/>
    <col min="4" max="4" width="31.1640625" style="4" customWidth="1"/>
    <col min="5" max="5" width="11.6640625" style="1" bestFit="1" customWidth="1"/>
    <col min="6" max="7" width="10.83203125" style="1"/>
    <col min="8" max="8" width="15" style="1" customWidth="1"/>
    <col min="9" max="9" width="23.83203125" style="1" bestFit="1" customWidth="1"/>
    <col min="10" max="10" width="38.6640625" style="4" bestFit="1" customWidth="1"/>
    <col min="11" max="11" width="35.6640625" style="4" customWidth="1"/>
    <col min="12" max="12" width="8" style="60" customWidth="1"/>
    <col min="13" max="13" width="11.6640625" style="1" bestFit="1" customWidth="1"/>
    <col min="14" max="14" width="10.83203125" style="1"/>
    <col min="15" max="15" width="11.6640625" style="1" bestFit="1" customWidth="1"/>
    <col min="16" max="16" width="10.83203125" style="1"/>
    <col min="17" max="18" width="15" style="1" customWidth="1"/>
    <col min="19" max="19" width="9" style="1" customWidth="1"/>
    <col min="20" max="20" width="31" style="1" bestFit="1" customWidth="1"/>
    <col min="21" max="21" width="12.83203125" style="1" customWidth="1"/>
    <col min="22" max="22" width="13.1640625" style="1" customWidth="1"/>
    <col min="23" max="23" width="18.5" customWidth="1"/>
    <col min="24" max="24" width="16.6640625" bestFit="1" customWidth="1"/>
    <col min="25" max="25" width="18" customWidth="1"/>
    <col min="26" max="27" width="11.5" customWidth="1"/>
    <col min="28" max="28" width="16.33203125" bestFit="1" customWidth="1"/>
    <col min="29" max="29" width="25" bestFit="1" customWidth="1"/>
    <col min="30" max="30" width="28.33203125" bestFit="1" customWidth="1"/>
  </cols>
  <sheetData>
    <row r="3" spans="2:29" s="14" customFormat="1" ht="25" customHeight="1" x14ac:dyDescent="0.35">
      <c r="B3" s="252" t="s">
        <v>2</v>
      </c>
      <c r="C3" s="252"/>
      <c r="D3" s="252"/>
      <c r="E3" s="252"/>
      <c r="F3" s="252"/>
      <c r="G3" s="252"/>
      <c r="H3" s="252"/>
      <c r="I3" s="252"/>
      <c r="J3" s="252"/>
      <c r="K3" s="252"/>
      <c r="L3" s="252"/>
      <c r="M3" s="252"/>
      <c r="N3" s="252"/>
      <c r="O3" s="252"/>
      <c r="P3" s="252"/>
      <c r="Q3" s="252"/>
      <c r="R3" s="252"/>
      <c r="S3" s="252"/>
      <c r="T3" s="252"/>
      <c r="U3" s="252"/>
      <c r="V3" s="252"/>
      <c r="W3" s="252"/>
      <c r="X3" s="252"/>
      <c r="Y3" s="252"/>
    </row>
    <row r="4" spans="2:29" s="14" customFormat="1" ht="31" x14ac:dyDescent="0.35">
      <c r="B4" s="13" t="s">
        <v>1</v>
      </c>
      <c r="C4" s="13" t="s">
        <v>0</v>
      </c>
      <c r="D4" s="13" t="s">
        <v>3</v>
      </c>
      <c r="E4" s="13" t="s">
        <v>4</v>
      </c>
      <c r="F4" s="13" t="s">
        <v>5</v>
      </c>
      <c r="G4" s="13" t="s">
        <v>419</v>
      </c>
      <c r="H4" s="13" t="s">
        <v>17</v>
      </c>
      <c r="I4" s="13" t="s">
        <v>7</v>
      </c>
      <c r="J4" s="13" t="s">
        <v>202</v>
      </c>
      <c r="K4" s="13" t="s">
        <v>343</v>
      </c>
      <c r="L4" s="59" t="s">
        <v>513</v>
      </c>
      <c r="M4" s="13" t="s">
        <v>9</v>
      </c>
      <c r="N4" s="13" t="s">
        <v>10</v>
      </c>
      <c r="O4" s="13" t="s">
        <v>11</v>
      </c>
      <c r="P4" s="13" t="s">
        <v>12</v>
      </c>
      <c r="Q4" s="13" t="s">
        <v>13</v>
      </c>
      <c r="R4" s="13" t="s">
        <v>342</v>
      </c>
      <c r="S4" s="13" t="s">
        <v>573</v>
      </c>
      <c r="T4" s="13" t="s">
        <v>14</v>
      </c>
      <c r="U4" s="13" t="s">
        <v>15</v>
      </c>
      <c r="V4" s="13" t="s">
        <v>577</v>
      </c>
      <c r="W4" s="15" t="s">
        <v>578</v>
      </c>
      <c r="X4" s="13" t="s">
        <v>579</v>
      </c>
      <c r="Y4" s="13" t="s">
        <v>580</v>
      </c>
      <c r="Z4" s="13"/>
      <c r="AA4" s="13"/>
    </row>
    <row r="5" spans="2:29" ht="25" customHeight="1" x14ac:dyDescent="0.35">
      <c r="B5" s="1">
        <v>1201</v>
      </c>
      <c r="C5" s="2">
        <v>44958</v>
      </c>
      <c r="D5" s="4" t="s">
        <v>42</v>
      </c>
      <c r="E5" s="2">
        <v>23754</v>
      </c>
      <c r="F5" s="1" t="s">
        <v>162</v>
      </c>
      <c r="G5" s="1" t="s">
        <v>196</v>
      </c>
      <c r="H5" s="1" t="s">
        <v>198</v>
      </c>
      <c r="I5" s="1" t="str">
        <f>IF(H5="Domestic","Soekarno-Hatta Airport","Singapore Changi Airport")</f>
        <v>Soekarno-Hatta Airport</v>
      </c>
      <c r="J5" s="12" t="str">
        <f>INDEX('ADD1'!$B$5:$B$27,MATCH(Master!R5,'ADD1'!$C$5:$C$27,0))</f>
        <v>Kualanamu, Medan</v>
      </c>
      <c r="L5" s="1">
        <v>101</v>
      </c>
      <c r="M5" s="1" t="str">
        <f t="shared" ref="M5:M36" si="0">VLOOKUP(L5,Departure,2,0)</f>
        <v>Sunday</v>
      </c>
      <c r="N5" s="1">
        <f t="shared" ref="N5:N36" si="1">VLOOKUP(L5,Departure,3,0)</f>
        <v>9</v>
      </c>
      <c r="O5" s="1" t="str">
        <f t="shared" ref="O5:O36" si="2">HLOOKUP(L5,Arrival,2,0)</f>
        <v>Sunday</v>
      </c>
      <c r="P5" s="1">
        <f t="shared" ref="P5:P36" si="3">HLOOKUP(L5,Arrival,3,0)</f>
        <v>11</v>
      </c>
      <c r="Q5" s="1" t="s">
        <v>339</v>
      </c>
      <c r="R5" s="1" t="str">
        <f>LEFT(Q5,3)</f>
        <v>KNO</v>
      </c>
      <c r="S5" s="1" t="s">
        <v>324</v>
      </c>
      <c r="T5" s="11" t="str">
        <f>INDEX('ADD1'!$B$32:$B$53,MATCH(Master!S5,'ADD1'!$C$32:$C$53,0))</f>
        <v>Super Air Jet</v>
      </c>
      <c r="U5" s="74">
        <f>IF(I5="Soekarno-Hatta Airport",100,50)</f>
        <v>100</v>
      </c>
      <c r="V5" s="77">
        <f t="shared" ref="V5:V36" si="4">VLOOKUP(R5,Price,3,0)</f>
        <v>147.17786444918684</v>
      </c>
      <c r="W5" s="78">
        <f t="shared" ref="W5:W36" si="5">VLOOKUP(R5,Price,2,0)</f>
        <v>2200000</v>
      </c>
      <c r="Y5" s="78">
        <f>W5+(W5*10%)</f>
        <v>2420000</v>
      </c>
      <c r="AB5" s="97" t="s">
        <v>874</v>
      </c>
    </row>
    <row r="6" spans="2:29" ht="25" customHeight="1" x14ac:dyDescent="0.35">
      <c r="B6" s="1">
        <v>1202</v>
      </c>
      <c r="C6" s="2">
        <v>44958</v>
      </c>
      <c r="D6" s="4" t="s">
        <v>43</v>
      </c>
      <c r="E6" s="2">
        <v>36229</v>
      </c>
      <c r="F6" s="1" t="s">
        <v>163</v>
      </c>
      <c r="G6" s="1" t="s">
        <v>197</v>
      </c>
      <c r="H6" s="1" t="s">
        <v>199</v>
      </c>
      <c r="I6" s="1" t="str">
        <f t="shared" ref="I6:I69" si="6">IF(H6="Domestic","Soekarno-Hatta Airport","Singapore Changi Airport")</f>
        <v>Singapore Changi Airport</v>
      </c>
      <c r="K6" s="12" t="str">
        <f>INDEX('ADD1'!$D$5:$D$27,MATCH(Master!R6,'ADD1'!$E$5:$E$27,0))</f>
        <v>Narita Tokyo International Airport</v>
      </c>
      <c r="L6" s="1">
        <v>101</v>
      </c>
      <c r="M6" s="1" t="str">
        <f t="shared" si="0"/>
        <v>Sunday</v>
      </c>
      <c r="N6" s="1">
        <f t="shared" si="1"/>
        <v>9</v>
      </c>
      <c r="O6" s="1" t="str">
        <f t="shared" si="2"/>
        <v>Sunday</v>
      </c>
      <c r="P6" s="1">
        <f t="shared" si="3"/>
        <v>11</v>
      </c>
      <c r="Q6" s="1" t="s">
        <v>340</v>
      </c>
      <c r="R6" s="1" t="str">
        <f t="shared" ref="R6:R69" si="7">LEFT(Q6,3)</f>
        <v>NRT</v>
      </c>
      <c r="S6" s="1" t="s">
        <v>328</v>
      </c>
      <c r="T6" s="11" t="str">
        <f>INDEX('ADD1'!$B$32:$B$53,MATCH(Master!S6,'ADD1'!$C$32:$C$53,0))</f>
        <v>Singapore Airlines</v>
      </c>
      <c r="U6" s="74">
        <f>IF(I6="Soekarno-Hatta Airport",100,50)</f>
        <v>50</v>
      </c>
      <c r="V6" s="77">
        <f t="shared" si="4"/>
        <v>551.91699168445064</v>
      </c>
      <c r="W6" s="78">
        <f t="shared" si="5"/>
        <v>8250000</v>
      </c>
      <c r="X6" s="78">
        <f>W6*50%</f>
        <v>4125000</v>
      </c>
      <c r="Y6" s="78">
        <f t="shared" ref="Y6:Y69" si="8">W6+(W6*10%)</f>
        <v>9075000</v>
      </c>
      <c r="Z6" s="79"/>
      <c r="AA6" s="79"/>
      <c r="AB6" s="97" t="s">
        <v>875</v>
      </c>
    </row>
    <row r="7" spans="2:29" ht="25" customHeight="1" x14ac:dyDescent="0.35">
      <c r="B7" s="1">
        <v>1203</v>
      </c>
      <c r="C7" s="2">
        <v>44958</v>
      </c>
      <c r="D7" s="4" t="s">
        <v>44</v>
      </c>
      <c r="E7" s="2">
        <v>29221</v>
      </c>
      <c r="F7" s="1" t="s">
        <v>163</v>
      </c>
      <c r="G7" s="1" t="s">
        <v>196</v>
      </c>
      <c r="H7" s="1" t="s">
        <v>199</v>
      </c>
      <c r="I7" s="1" t="str">
        <f t="shared" si="6"/>
        <v>Singapore Changi Airport</v>
      </c>
      <c r="K7" s="4" t="str">
        <f>INDEX('ADD1'!$D$5:$D$27,MATCH(Master!R7,'ADD1'!$E$5:$E$27,0))</f>
        <v>Istanbul Turkey International Airport</v>
      </c>
      <c r="L7" s="1">
        <v>103</v>
      </c>
      <c r="M7" s="1" t="str">
        <f t="shared" si="0"/>
        <v>Tuesday</v>
      </c>
      <c r="N7" s="1">
        <f t="shared" si="1"/>
        <v>3</v>
      </c>
      <c r="O7" s="1" t="str">
        <f t="shared" si="2"/>
        <v>Tuesday</v>
      </c>
      <c r="P7" s="1">
        <f t="shared" si="3"/>
        <v>5</v>
      </c>
      <c r="Q7" s="1" t="s">
        <v>341</v>
      </c>
      <c r="R7" s="1" t="str">
        <f t="shared" si="7"/>
        <v>IST</v>
      </c>
      <c r="S7" s="1" t="s">
        <v>329</v>
      </c>
      <c r="T7" s="11" t="str">
        <f>INDEX('ADD1'!$B$32:$B$53,MATCH(Master!S7,'ADD1'!$C$32:$C$53,0))</f>
        <v xml:space="preserve">Emirates </v>
      </c>
      <c r="U7" s="74">
        <f t="shared" ref="U7:U70" si="9">IF(I7="Soekarno-Hatta Airport",100,50)</f>
        <v>50</v>
      </c>
      <c r="V7" s="77">
        <f t="shared" si="4"/>
        <v>772.68378835823091</v>
      </c>
      <c r="W7" s="78">
        <f t="shared" si="5"/>
        <v>11550000</v>
      </c>
      <c r="X7" s="78">
        <f t="shared" ref="X7:X9" si="10">W7*50%</f>
        <v>5775000</v>
      </c>
      <c r="Y7" s="78">
        <f t="shared" si="8"/>
        <v>12705000</v>
      </c>
      <c r="AB7" s="97" t="s">
        <v>876</v>
      </c>
      <c r="AC7" s="97"/>
    </row>
    <row r="8" spans="2:29" ht="25" customHeight="1" x14ac:dyDescent="0.35">
      <c r="B8" s="1">
        <v>1204</v>
      </c>
      <c r="C8" s="2">
        <v>44958</v>
      </c>
      <c r="D8" s="4" t="s">
        <v>45</v>
      </c>
      <c r="E8" s="2">
        <v>31089</v>
      </c>
      <c r="F8" s="1" t="s">
        <v>163</v>
      </c>
      <c r="G8" s="1" t="s">
        <v>196</v>
      </c>
      <c r="H8" s="1" t="s">
        <v>199</v>
      </c>
      <c r="I8" s="1" t="str">
        <f t="shared" si="6"/>
        <v>Singapore Changi Airport</v>
      </c>
      <c r="K8" s="4" t="str">
        <f>INDEX('ADD1'!$D$5:$D$27,MATCH(Master!R8,'ADD1'!$E$5:$E$27,0))</f>
        <v>Schiphol International Airport</v>
      </c>
      <c r="L8" s="1">
        <v>102</v>
      </c>
      <c r="M8" s="1" t="str">
        <f t="shared" si="0"/>
        <v>Monday</v>
      </c>
      <c r="N8" s="1">
        <f t="shared" si="1"/>
        <v>1</v>
      </c>
      <c r="O8" s="1" t="str">
        <f t="shared" si="2"/>
        <v>Monday</v>
      </c>
      <c r="P8" s="1">
        <f t="shared" si="3"/>
        <v>3</v>
      </c>
      <c r="Q8" s="6" t="s">
        <v>351</v>
      </c>
      <c r="R8" s="1" t="str">
        <f t="shared" si="7"/>
        <v>AMS</v>
      </c>
      <c r="S8" s="1" t="s">
        <v>328</v>
      </c>
      <c r="T8" s="11" t="str">
        <f>INDEX('ADD1'!$B$32:$B$53,MATCH(Master!S8,'ADD1'!$C$32:$C$53,0))</f>
        <v>Singapore Airlines</v>
      </c>
      <c r="U8" s="74">
        <f t="shared" si="9"/>
        <v>50</v>
      </c>
      <c r="V8" s="77">
        <f t="shared" si="4"/>
        <v>839.91731279979126</v>
      </c>
      <c r="W8" s="78">
        <f t="shared" si="5"/>
        <v>12555000</v>
      </c>
      <c r="X8" s="78">
        <f t="shared" si="10"/>
        <v>6277500</v>
      </c>
      <c r="Y8" s="78">
        <f t="shared" si="8"/>
        <v>13810500</v>
      </c>
      <c r="AB8" s="97" t="s">
        <v>877</v>
      </c>
    </row>
    <row r="9" spans="2:29" ht="25" customHeight="1" x14ac:dyDescent="0.35">
      <c r="B9" s="1">
        <v>1205</v>
      </c>
      <c r="C9" s="2">
        <v>44986</v>
      </c>
      <c r="D9" s="4" t="s">
        <v>47</v>
      </c>
      <c r="E9" s="2">
        <v>31113</v>
      </c>
      <c r="F9" s="1" t="s">
        <v>162</v>
      </c>
      <c r="G9" s="1" t="s">
        <v>197</v>
      </c>
      <c r="H9" s="1" t="s">
        <v>199</v>
      </c>
      <c r="I9" s="1" t="str">
        <f t="shared" si="6"/>
        <v>Singapore Changi Airport</v>
      </c>
      <c r="K9" s="4" t="str">
        <f>INDEX('ADD1'!$D$5:$D$27,MATCH(Master!R9,'ADD1'!$E$5:$E$27,0))</f>
        <v>Osaka Japan International Airport</v>
      </c>
      <c r="L9" s="1">
        <v>102</v>
      </c>
      <c r="M9" s="1" t="str">
        <f t="shared" si="0"/>
        <v>Monday</v>
      </c>
      <c r="N9" s="1">
        <f t="shared" si="1"/>
        <v>1</v>
      </c>
      <c r="O9" s="1" t="str">
        <f t="shared" si="2"/>
        <v>Monday</v>
      </c>
      <c r="P9" s="1">
        <f t="shared" si="3"/>
        <v>3</v>
      </c>
      <c r="Q9" s="6" t="s">
        <v>352</v>
      </c>
      <c r="R9" s="1" t="str">
        <f t="shared" si="7"/>
        <v>KIX</v>
      </c>
      <c r="S9" s="1" t="s">
        <v>333</v>
      </c>
      <c r="T9" s="11" t="str">
        <f>INDEX('ADD1'!$B$32:$B$53,MATCH(Master!S9,'ADD1'!$C$32:$C$53,0))</f>
        <v xml:space="preserve">Japan Airlines </v>
      </c>
      <c r="U9" s="74">
        <f t="shared" si="9"/>
        <v>50</v>
      </c>
      <c r="V9" s="77">
        <f t="shared" si="4"/>
        <v>919.86165280741784</v>
      </c>
      <c r="W9" s="78">
        <f t="shared" si="5"/>
        <v>13750000</v>
      </c>
      <c r="X9" s="78">
        <f t="shared" si="10"/>
        <v>6875000</v>
      </c>
      <c r="Y9" s="78">
        <f t="shared" si="8"/>
        <v>15125000</v>
      </c>
    </row>
    <row r="10" spans="2:29" ht="25" customHeight="1" x14ac:dyDescent="0.35">
      <c r="B10" s="1">
        <v>1206</v>
      </c>
      <c r="C10" s="2">
        <v>44986</v>
      </c>
      <c r="D10" s="4" t="s">
        <v>46</v>
      </c>
      <c r="E10" s="2">
        <v>23748</v>
      </c>
      <c r="F10" s="1" t="s">
        <v>163</v>
      </c>
      <c r="G10" s="1" t="s">
        <v>196</v>
      </c>
      <c r="H10" s="1" t="s">
        <v>198</v>
      </c>
      <c r="I10" s="1" t="str">
        <f t="shared" si="6"/>
        <v>Soekarno-Hatta Airport</v>
      </c>
      <c r="J10" s="4" t="str">
        <f>INDEX('ADD1'!$B$5:$B$27,MATCH(Master!R10,'ADD1'!$C$5:$C$27,0))</f>
        <v>Ngurah Rai, Denpasar Bali</v>
      </c>
      <c r="L10" s="1">
        <v>107</v>
      </c>
      <c r="M10" s="1" t="str">
        <f t="shared" si="0"/>
        <v>Saturday</v>
      </c>
      <c r="N10" s="1">
        <f t="shared" si="1"/>
        <v>3</v>
      </c>
      <c r="O10" s="1" t="str">
        <f t="shared" si="2"/>
        <v>Saturday</v>
      </c>
      <c r="P10" s="1">
        <f t="shared" si="3"/>
        <v>5</v>
      </c>
      <c r="Q10" s="1" t="s">
        <v>344</v>
      </c>
      <c r="R10" s="1" t="str">
        <f t="shared" si="7"/>
        <v>DPS</v>
      </c>
      <c r="S10" s="1" t="s">
        <v>320</v>
      </c>
      <c r="T10" s="11" t="str">
        <f>INDEX('ADD1'!$B$32:$B$53,MATCH(Master!S10,'ADD1'!$C$32:$C$53,0))</f>
        <v>Sriwijaya Air</v>
      </c>
      <c r="U10" s="74">
        <f t="shared" si="9"/>
        <v>100</v>
      </c>
      <c r="V10" s="77">
        <f t="shared" si="4"/>
        <v>130.45310712541561</v>
      </c>
      <c r="W10" s="78">
        <f t="shared" si="5"/>
        <v>1950000</v>
      </c>
      <c r="Y10" s="78">
        <f t="shared" si="8"/>
        <v>2145000</v>
      </c>
    </row>
    <row r="11" spans="2:29" ht="25" customHeight="1" x14ac:dyDescent="0.35">
      <c r="B11" s="1">
        <v>1207</v>
      </c>
      <c r="C11" s="2">
        <v>44986</v>
      </c>
      <c r="D11" s="4" t="s">
        <v>48</v>
      </c>
      <c r="E11" s="2">
        <v>24511</v>
      </c>
      <c r="F11" s="1" t="s">
        <v>162</v>
      </c>
      <c r="G11" s="1" t="s">
        <v>196</v>
      </c>
      <c r="H11" s="1" t="s">
        <v>198</v>
      </c>
      <c r="I11" s="1" t="str">
        <f t="shared" si="6"/>
        <v>Soekarno-Hatta Airport</v>
      </c>
      <c r="J11" s="4" t="str">
        <f>INDEX('ADD1'!$B$5:$B$27,MATCH(Master!R11,'ADD1'!$C$5:$C$27,0))</f>
        <v xml:space="preserve">Adisutjipto, DIY </v>
      </c>
      <c r="L11" s="1">
        <v>103</v>
      </c>
      <c r="M11" s="1" t="str">
        <f t="shared" si="0"/>
        <v>Tuesday</v>
      </c>
      <c r="N11" s="1">
        <f t="shared" si="1"/>
        <v>3</v>
      </c>
      <c r="O11" s="1" t="str">
        <f t="shared" si="2"/>
        <v>Tuesday</v>
      </c>
      <c r="P11" s="1">
        <f t="shared" si="3"/>
        <v>5</v>
      </c>
      <c r="Q11" s="1" t="s">
        <v>345</v>
      </c>
      <c r="R11" s="1" t="str">
        <f t="shared" si="7"/>
        <v>JOG</v>
      </c>
      <c r="S11" s="1" t="s">
        <v>324</v>
      </c>
      <c r="T11" s="11" t="str">
        <f>INDEX('ADD1'!$B$32:$B$53,MATCH(Master!S11,'ADD1'!$C$32:$C$53,0))</f>
        <v>Super Air Jet</v>
      </c>
      <c r="U11" s="74">
        <f t="shared" si="9"/>
        <v>100</v>
      </c>
      <c r="V11" s="77">
        <f t="shared" si="4"/>
        <v>133.79805859016986</v>
      </c>
      <c r="W11" s="78">
        <f t="shared" si="5"/>
        <v>2000000</v>
      </c>
      <c r="Y11" s="78">
        <f t="shared" si="8"/>
        <v>2200000</v>
      </c>
    </row>
    <row r="12" spans="2:29" ht="25" customHeight="1" x14ac:dyDescent="0.35">
      <c r="B12" s="1">
        <v>1208</v>
      </c>
      <c r="C12" s="2">
        <v>45017</v>
      </c>
      <c r="D12" s="4" t="s">
        <v>49</v>
      </c>
      <c r="E12" s="1" t="s">
        <v>165</v>
      </c>
      <c r="F12" s="1" t="s">
        <v>162</v>
      </c>
      <c r="G12" s="1" t="s">
        <v>197</v>
      </c>
      <c r="H12" s="1" t="s">
        <v>199</v>
      </c>
      <c r="I12" s="1" t="str">
        <f t="shared" si="6"/>
        <v>Singapore Changi Airport</v>
      </c>
      <c r="K12" s="4" t="str">
        <f>INDEX('ADD1'!$D$5:$D$27,MATCH(Master!R12,'ADD1'!$E$5:$E$27,0))</f>
        <v>Seri BegawanInternational Airport</v>
      </c>
      <c r="L12" s="1">
        <v>102</v>
      </c>
      <c r="M12" s="1" t="str">
        <f t="shared" si="0"/>
        <v>Monday</v>
      </c>
      <c r="N12" s="1">
        <f t="shared" si="1"/>
        <v>1</v>
      </c>
      <c r="O12" s="1" t="str">
        <f t="shared" si="2"/>
        <v>Monday</v>
      </c>
      <c r="P12" s="1">
        <f t="shared" si="3"/>
        <v>3</v>
      </c>
      <c r="Q12" s="6" t="s">
        <v>409</v>
      </c>
      <c r="R12" s="1" t="str">
        <f t="shared" si="7"/>
        <v>BWN</v>
      </c>
      <c r="S12" s="1" t="s">
        <v>330</v>
      </c>
      <c r="T12" s="11" t="str">
        <f>INDEX('ADD1'!$B$32:$B$53,MATCH(Master!S12,'ADD1'!$C$32:$C$53,0))</f>
        <v>Qatar Airways</v>
      </c>
      <c r="U12" s="74">
        <f t="shared" si="9"/>
        <v>50</v>
      </c>
      <c r="V12" s="77">
        <f t="shared" si="4"/>
        <v>582.02155486723893</v>
      </c>
      <c r="W12" s="78">
        <f t="shared" si="5"/>
        <v>8700000</v>
      </c>
      <c r="X12" s="78">
        <f>W12*50%</f>
        <v>4350000</v>
      </c>
      <c r="Y12" s="78">
        <f t="shared" si="8"/>
        <v>9570000</v>
      </c>
    </row>
    <row r="13" spans="2:29" ht="25" customHeight="1" x14ac:dyDescent="0.35">
      <c r="B13" s="1">
        <v>1209</v>
      </c>
      <c r="C13" s="2">
        <v>45017</v>
      </c>
      <c r="D13" s="4" t="s">
        <v>50</v>
      </c>
      <c r="E13" s="1" t="s">
        <v>166</v>
      </c>
      <c r="F13" s="1" t="s">
        <v>163</v>
      </c>
      <c r="G13" s="1" t="s">
        <v>197</v>
      </c>
      <c r="H13" s="1" t="s">
        <v>198</v>
      </c>
      <c r="I13" s="1" t="str">
        <f t="shared" si="6"/>
        <v>Soekarno-Hatta Airport</v>
      </c>
      <c r="J13" s="4" t="str">
        <f>INDEX('ADD1'!$B$5:$B$27,MATCH(Master!R13,'ADD1'!$C$5:$C$27,0))</f>
        <v>Pattimura, Ambon</v>
      </c>
      <c r="L13" s="1">
        <v>103</v>
      </c>
      <c r="M13" s="1" t="str">
        <f t="shared" si="0"/>
        <v>Tuesday</v>
      </c>
      <c r="N13" s="1">
        <f t="shared" si="1"/>
        <v>3</v>
      </c>
      <c r="O13" s="1" t="str">
        <f t="shared" si="2"/>
        <v>Tuesday</v>
      </c>
      <c r="P13" s="1">
        <f t="shared" si="3"/>
        <v>5</v>
      </c>
      <c r="Q13" s="6" t="s">
        <v>411</v>
      </c>
      <c r="R13" s="1" t="str">
        <f t="shared" si="7"/>
        <v>AMQ</v>
      </c>
      <c r="S13" s="1" t="s">
        <v>317</v>
      </c>
      <c r="T13" s="11" t="str">
        <f>INDEX('ADD1'!$B$32:$B$53,MATCH(Master!S13,'ADD1'!$C$32:$C$53,0))</f>
        <v xml:space="preserve">Airfast </v>
      </c>
      <c r="U13" s="74">
        <f t="shared" si="9"/>
        <v>100</v>
      </c>
      <c r="V13" s="77">
        <f t="shared" si="4"/>
        <v>250.87135985656849</v>
      </c>
      <c r="W13" s="78">
        <f t="shared" si="5"/>
        <v>3750000</v>
      </c>
      <c r="Y13" s="78">
        <f t="shared" si="8"/>
        <v>4125000</v>
      </c>
    </row>
    <row r="14" spans="2:29" ht="25" customHeight="1" x14ac:dyDescent="0.35">
      <c r="B14" s="1">
        <v>1210</v>
      </c>
      <c r="C14" s="2">
        <v>45017</v>
      </c>
      <c r="D14" s="4" t="s">
        <v>51</v>
      </c>
      <c r="E14" s="2">
        <v>35769</v>
      </c>
      <c r="F14" s="1" t="s">
        <v>163</v>
      </c>
      <c r="G14" s="1" t="s">
        <v>197</v>
      </c>
      <c r="H14" s="1" t="s">
        <v>198</v>
      </c>
      <c r="I14" s="1" t="str">
        <f t="shared" si="6"/>
        <v>Soekarno-Hatta Airport</v>
      </c>
      <c r="J14" s="4" t="str">
        <f>INDEX('ADD1'!$B$5:$B$27,MATCH(Master!R14,'ADD1'!$C$5:$C$27,0))</f>
        <v>Juanda, Surabaya</v>
      </c>
      <c r="L14" s="1">
        <v>107</v>
      </c>
      <c r="M14" s="1" t="str">
        <f t="shared" si="0"/>
        <v>Saturday</v>
      </c>
      <c r="N14" s="1">
        <f t="shared" si="1"/>
        <v>3</v>
      </c>
      <c r="O14" s="1" t="str">
        <f t="shared" si="2"/>
        <v>Saturday</v>
      </c>
      <c r="P14" s="1">
        <f t="shared" si="3"/>
        <v>5</v>
      </c>
      <c r="Q14" s="6" t="s">
        <v>347</v>
      </c>
      <c r="R14" s="1" t="str">
        <f t="shared" si="7"/>
        <v>SUB</v>
      </c>
      <c r="S14" s="1" t="s">
        <v>317</v>
      </c>
      <c r="T14" s="11" t="str">
        <f>INDEX('ADD1'!$B$32:$B$53,MATCH(Master!S14,'ADD1'!$C$32:$C$53,0))</f>
        <v xml:space="preserve">Airfast </v>
      </c>
      <c r="U14" s="74">
        <f t="shared" si="9"/>
        <v>100</v>
      </c>
      <c r="V14" s="77">
        <f t="shared" si="4"/>
        <v>130.45310712541561</v>
      </c>
      <c r="W14" s="78">
        <f t="shared" si="5"/>
        <v>1950000</v>
      </c>
      <c r="Y14" s="78">
        <f t="shared" si="8"/>
        <v>2145000</v>
      </c>
    </row>
    <row r="15" spans="2:29" ht="25" customHeight="1" x14ac:dyDescent="0.35">
      <c r="B15" s="1">
        <v>1211</v>
      </c>
      <c r="C15" s="2">
        <v>45017</v>
      </c>
      <c r="D15" s="4" t="s">
        <v>52</v>
      </c>
      <c r="E15" s="1" t="s">
        <v>167</v>
      </c>
      <c r="F15" s="1" t="s">
        <v>162</v>
      </c>
      <c r="G15" s="1" t="s">
        <v>196</v>
      </c>
      <c r="H15" s="1" t="s">
        <v>198</v>
      </c>
      <c r="I15" s="1" t="str">
        <f t="shared" si="6"/>
        <v>Soekarno-Hatta Airport</v>
      </c>
      <c r="J15" s="4" t="str">
        <f>INDEX('ADD1'!$B$5:$B$27,MATCH(Master!R15,'ADD1'!$C$5:$C$27,0))</f>
        <v>Sultan Mahmud Badaruddin II, Palembang</v>
      </c>
      <c r="L15" s="1">
        <v>102</v>
      </c>
      <c r="M15" s="1" t="str">
        <f t="shared" si="0"/>
        <v>Monday</v>
      </c>
      <c r="N15" s="1">
        <f t="shared" si="1"/>
        <v>1</v>
      </c>
      <c r="O15" s="1" t="str">
        <f t="shared" si="2"/>
        <v>Monday</v>
      </c>
      <c r="P15" s="1">
        <f t="shared" si="3"/>
        <v>3</v>
      </c>
      <c r="Q15" s="6" t="s">
        <v>348</v>
      </c>
      <c r="R15" s="1" t="str">
        <f t="shared" si="7"/>
        <v>PLM</v>
      </c>
      <c r="S15" s="1" t="s">
        <v>321</v>
      </c>
      <c r="T15" s="11" t="str">
        <f>INDEX('ADD1'!$B$32:$B$53,MATCH(Master!S15,'ADD1'!$C$32:$C$53,0))</f>
        <v>Garuda Indonesia</v>
      </c>
      <c r="U15" s="74">
        <f t="shared" si="9"/>
        <v>100</v>
      </c>
      <c r="V15" s="77">
        <f t="shared" si="4"/>
        <v>147.17786444918684</v>
      </c>
      <c r="W15" s="78">
        <f t="shared" si="5"/>
        <v>2200000</v>
      </c>
      <c r="Y15" s="78">
        <f t="shared" si="8"/>
        <v>2420000</v>
      </c>
    </row>
    <row r="16" spans="2:29" ht="25" customHeight="1" x14ac:dyDescent="0.35">
      <c r="B16" s="1">
        <v>1212</v>
      </c>
      <c r="C16" s="2">
        <v>45017</v>
      </c>
      <c r="D16" s="4" t="s">
        <v>53</v>
      </c>
      <c r="E16" s="2">
        <v>32237</v>
      </c>
      <c r="F16" s="1" t="s">
        <v>162</v>
      </c>
      <c r="G16" s="1" t="s">
        <v>196</v>
      </c>
      <c r="H16" s="1" t="s">
        <v>199</v>
      </c>
      <c r="I16" s="1" t="str">
        <f t="shared" si="6"/>
        <v>Singapore Changi Airport</v>
      </c>
      <c r="K16" s="4" t="str">
        <f>INDEX('ADD1'!$D$5:$D$27,MATCH(Master!R16,'ADD1'!$E$5:$E$27,0))</f>
        <v>Baiyun International Airport</v>
      </c>
      <c r="L16" s="1">
        <v>105</v>
      </c>
      <c r="M16" s="1" t="str">
        <f t="shared" si="0"/>
        <v>Thursday</v>
      </c>
      <c r="N16" s="1">
        <f t="shared" si="1"/>
        <v>9</v>
      </c>
      <c r="O16" s="1" t="str">
        <f t="shared" si="2"/>
        <v>Thursday</v>
      </c>
      <c r="P16" s="1">
        <f t="shared" si="3"/>
        <v>11</v>
      </c>
      <c r="Q16" s="6" t="s">
        <v>401</v>
      </c>
      <c r="R16" s="1" t="str">
        <f t="shared" si="7"/>
        <v>CAN</v>
      </c>
      <c r="S16" s="1" t="s">
        <v>335</v>
      </c>
      <c r="T16" s="11" t="str">
        <f>INDEX('ADD1'!$B$32:$B$53,MATCH(Master!S16,'ADD1'!$C$32:$C$53,0))</f>
        <v>Air France Airlines</v>
      </c>
      <c r="U16" s="74">
        <f t="shared" si="9"/>
        <v>50</v>
      </c>
      <c r="V16" s="77">
        <f t="shared" si="4"/>
        <v>658.95543855658661</v>
      </c>
      <c r="W16" s="78">
        <f t="shared" si="5"/>
        <v>9850000</v>
      </c>
      <c r="X16" s="78">
        <f>W16*50%</f>
        <v>4925000</v>
      </c>
      <c r="Y16" s="78">
        <f t="shared" si="8"/>
        <v>10835000</v>
      </c>
    </row>
    <row r="17" spans="2:25" ht="25" customHeight="1" x14ac:dyDescent="0.35">
      <c r="B17" s="1">
        <v>1213</v>
      </c>
      <c r="C17" s="2">
        <v>45017</v>
      </c>
      <c r="D17" s="4" t="s">
        <v>54</v>
      </c>
      <c r="E17" s="1" t="s">
        <v>168</v>
      </c>
      <c r="F17" s="1" t="s">
        <v>163</v>
      </c>
      <c r="G17" s="1" t="s">
        <v>196</v>
      </c>
      <c r="H17" s="1" t="s">
        <v>199</v>
      </c>
      <c r="I17" s="1" t="str">
        <f t="shared" si="6"/>
        <v>Singapore Changi Airport</v>
      </c>
      <c r="K17" s="4" t="str">
        <f>INDEX('ADD1'!$D$5:$D$27,MATCH(Master!R17,'ADD1'!$E$5:$E$27,0))</f>
        <v>Zurich International Airport</v>
      </c>
      <c r="L17" s="1">
        <v>102</v>
      </c>
      <c r="M17" s="1" t="str">
        <f t="shared" si="0"/>
        <v>Monday</v>
      </c>
      <c r="N17" s="1">
        <f t="shared" si="1"/>
        <v>1</v>
      </c>
      <c r="O17" s="1" t="str">
        <f t="shared" si="2"/>
        <v>Monday</v>
      </c>
      <c r="P17" s="1">
        <f t="shared" si="3"/>
        <v>3</v>
      </c>
      <c r="Q17" s="6" t="s">
        <v>402</v>
      </c>
      <c r="R17" s="1" t="str">
        <f t="shared" si="7"/>
        <v>ZRH</v>
      </c>
      <c r="S17" s="1" t="s">
        <v>332</v>
      </c>
      <c r="T17" s="11" t="str">
        <f>INDEX('ADD1'!$B$32:$B$53,MATCH(Master!S17,'ADD1'!$C$32:$C$53,0))</f>
        <v>Turkish Airlines</v>
      </c>
      <c r="U17" s="74">
        <f t="shared" si="9"/>
        <v>50</v>
      </c>
      <c r="V17" s="77">
        <f t="shared" si="4"/>
        <v>699.429351280113</v>
      </c>
      <c r="W17" s="78">
        <f t="shared" si="5"/>
        <v>10455000</v>
      </c>
      <c r="X17" s="78">
        <f t="shared" ref="X17:X20" si="11">W17*50%</f>
        <v>5227500</v>
      </c>
      <c r="Y17" s="78">
        <f t="shared" si="8"/>
        <v>11500500</v>
      </c>
    </row>
    <row r="18" spans="2:25" ht="25" customHeight="1" x14ac:dyDescent="0.35">
      <c r="B18" s="1">
        <v>1214</v>
      </c>
      <c r="C18" s="2">
        <v>45017</v>
      </c>
      <c r="D18" s="4" t="s">
        <v>55</v>
      </c>
      <c r="E18" s="1" t="s">
        <v>169</v>
      </c>
      <c r="F18" s="1" t="s">
        <v>162</v>
      </c>
      <c r="G18" s="1" t="s">
        <v>196</v>
      </c>
      <c r="H18" s="1" t="s">
        <v>199</v>
      </c>
      <c r="I18" s="1" t="str">
        <f t="shared" si="6"/>
        <v>Singapore Changi Airport</v>
      </c>
      <c r="K18" s="4" t="str">
        <f>INDEX('ADD1'!$D$5:$D$27,MATCH(Master!R18,'ADD1'!$E$5:$E$27,0))</f>
        <v>Brisbane International Airport</v>
      </c>
      <c r="L18" s="1">
        <v>105</v>
      </c>
      <c r="M18" s="1" t="str">
        <f t="shared" si="0"/>
        <v>Thursday</v>
      </c>
      <c r="N18" s="1">
        <f t="shared" si="1"/>
        <v>9</v>
      </c>
      <c r="O18" s="1" t="str">
        <f t="shared" si="2"/>
        <v>Thursday</v>
      </c>
      <c r="P18" s="1">
        <f t="shared" si="3"/>
        <v>11</v>
      </c>
      <c r="Q18" s="6" t="s">
        <v>403</v>
      </c>
      <c r="R18" s="1" t="str">
        <f t="shared" si="7"/>
        <v>BNE</v>
      </c>
      <c r="S18" s="1" t="s">
        <v>330</v>
      </c>
      <c r="T18" s="11" t="str">
        <f>INDEX('ADD1'!$B$32:$B$53,MATCH(Master!S18,'ADD1'!$C$32:$C$53,0))</f>
        <v>Qatar Airways</v>
      </c>
      <c r="U18" s="74">
        <f t="shared" si="9"/>
        <v>50</v>
      </c>
      <c r="V18" s="77">
        <f t="shared" si="4"/>
        <v>692.40495320412901</v>
      </c>
      <c r="W18" s="78">
        <f t="shared" si="5"/>
        <v>10350000</v>
      </c>
      <c r="X18" s="78">
        <f t="shared" si="11"/>
        <v>5175000</v>
      </c>
      <c r="Y18" s="78">
        <f t="shared" si="8"/>
        <v>11385000</v>
      </c>
    </row>
    <row r="19" spans="2:25" ht="25" customHeight="1" x14ac:dyDescent="0.35">
      <c r="B19" s="1">
        <v>1215</v>
      </c>
      <c r="C19" s="2">
        <v>45017</v>
      </c>
      <c r="D19" s="4" t="s">
        <v>56</v>
      </c>
      <c r="E19" s="1" t="s">
        <v>170</v>
      </c>
      <c r="F19" s="1" t="s">
        <v>162</v>
      </c>
      <c r="G19" s="1" t="s">
        <v>196</v>
      </c>
      <c r="H19" s="1" t="s">
        <v>199</v>
      </c>
      <c r="I19" s="1" t="str">
        <f t="shared" si="6"/>
        <v>Singapore Changi Airport</v>
      </c>
      <c r="K19" s="4" t="str">
        <f>INDEX('ADD1'!$D$5:$D$27,MATCH(Master!R19,'ADD1'!$E$5:$E$27,0))</f>
        <v>Darwin International Airport</v>
      </c>
      <c r="L19" s="1">
        <v>102</v>
      </c>
      <c r="M19" s="1" t="str">
        <f t="shared" si="0"/>
        <v>Monday</v>
      </c>
      <c r="N19" s="1">
        <f t="shared" si="1"/>
        <v>1</v>
      </c>
      <c r="O19" s="1" t="str">
        <f t="shared" si="2"/>
        <v>Monday</v>
      </c>
      <c r="P19" s="1">
        <f t="shared" si="3"/>
        <v>3</v>
      </c>
      <c r="Q19" s="6" t="s">
        <v>404</v>
      </c>
      <c r="R19" s="1" t="str">
        <f t="shared" si="7"/>
        <v>DRW</v>
      </c>
      <c r="S19" s="1" t="s">
        <v>329</v>
      </c>
      <c r="T19" s="11" t="str">
        <f>INDEX('ADD1'!$B$32:$B$53,MATCH(Master!S19,'ADD1'!$C$32:$C$53,0))</f>
        <v xml:space="preserve">Emirates </v>
      </c>
      <c r="U19" s="74">
        <f t="shared" si="9"/>
        <v>50</v>
      </c>
      <c r="V19" s="77">
        <f t="shared" si="4"/>
        <v>705.784759063146</v>
      </c>
      <c r="W19" s="78">
        <f t="shared" si="5"/>
        <v>10550000</v>
      </c>
      <c r="X19" s="78">
        <f t="shared" si="11"/>
        <v>5275000</v>
      </c>
      <c r="Y19" s="78">
        <f t="shared" si="8"/>
        <v>11605000</v>
      </c>
    </row>
    <row r="20" spans="2:25" ht="25" customHeight="1" x14ac:dyDescent="0.35">
      <c r="B20" s="1">
        <v>1216</v>
      </c>
      <c r="C20" s="2">
        <v>45017</v>
      </c>
      <c r="D20" s="4" t="s">
        <v>57</v>
      </c>
      <c r="E20" s="1" t="s">
        <v>171</v>
      </c>
      <c r="F20" s="1" t="s">
        <v>162</v>
      </c>
      <c r="G20" s="1" t="s">
        <v>196</v>
      </c>
      <c r="H20" s="1" t="s">
        <v>199</v>
      </c>
      <c r="I20" s="1" t="str">
        <f t="shared" si="6"/>
        <v>Singapore Changi Airport</v>
      </c>
      <c r="K20" s="4" t="str">
        <f>INDEX('ADD1'!$D$5:$D$27,MATCH(Master!R20,'ADD1'!$E$5:$E$27,0))</f>
        <v>Schiphol International Airport</v>
      </c>
      <c r="L20" s="1">
        <v>105</v>
      </c>
      <c r="M20" s="1" t="str">
        <f t="shared" si="0"/>
        <v>Thursday</v>
      </c>
      <c r="N20" s="1">
        <f t="shared" si="1"/>
        <v>9</v>
      </c>
      <c r="O20" s="1" t="str">
        <f t="shared" si="2"/>
        <v>Thursday</v>
      </c>
      <c r="P20" s="1">
        <f t="shared" si="3"/>
        <v>11</v>
      </c>
      <c r="Q20" s="6" t="s">
        <v>405</v>
      </c>
      <c r="R20" s="1" t="str">
        <f t="shared" si="7"/>
        <v>AMS</v>
      </c>
      <c r="S20" s="1" t="s">
        <v>336</v>
      </c>
      <c r="T20" s="11" t="str">
        <f>INDEX('ADD1'!$B$32:$B$53,MATCH(Master!S20,'ADD1'!$C$32:$C$53,0))</f>
        <v>Cathay Pacific Airlines</v>
      </c>
      <c r="U20" s="74">
        <f t="shared" si="9"/>
        <v>50</v>
      </c>
      <c r="V20" s="77">
        <f t="shared" si="4"/>
        <v>839.91731279979126</v>
      </c>
      <c r="W20" s="78">
        <f t="shared" si="5"/>
        <v>12555000</v>
      </c>
      <c r="X20" s="78">
        <f t="shared" si="11"/>
        <v>6277500</v>
      </c>
      <c r="Y20" s="78">
        <f t="shared" si="8"/>
        <v>13810500</v>
      </c>
    </row>
    <row r="21" spans="2:25" ht="25" customHeight="1" x14ac:dyDescent="0.35">
      <c r="B21" s="1">
        <v>1217</v>
      </c>
      <c r="C21" s="2">
        <v>45047</v>
      </c>
      <c r="D21" s="4" t="s">
        <v>58</v>
      </c>
      <c r="E21" s="1" t="s">
        <v>172</v>
      </c>
      <c r="F21" s="1" t="s">
        <v>163</v>
      </c>
      <c r="G21" s="1" t="s">
        <v>196</v>
      </c>
      <c r="H21" s="1" t="s">
        <v>198</v>
      </c>
      <c r="I21" s="1" t="str">
        <f t="shared" si="6"/>
        <v>Soekarno-Hatta Airport</v>
      </c>
      <c r="J21" s="12" t="str">
        <f>INDEX('ADD1'!$B$5:$B$27,MATCH(Master!R21,'ADD1'!$C$5:$C$27,0))</f>
        <v>Ngurah Rai, Denpasar Bali</v>
      </c>
      <c r="L21" s="1">
        <v>104</v>
      </c>
      <c r="M21" s="1" t="str">
        <f t="shared" si="0"/>
        <v>Wednesday</v>
      </c>
      <c r="N21" s="1">
        <f t="shared" si="1"/>
        <v>7</v>
      </c>
      <c r="O21" s="1" t="str">
        <f t="shared" si="2"/>
        <v>Wednesday</v>
      </c>
      <c r="P21" s="1">
        <f t="shared" si="3"/>
        <v>9</v>
      </c>
      <c r="Q21" s="6" t="s">
        <v>356</v>
      </c>
      <c r="R21" s="1" t="str">
        <f t="shared" si="7"/>
        <v>DPS</v>
      </c>
      <c r="S21" s="1" t="s">
        <v>322</v>
      </c>
      <c r="T21" s="11" t="str">
        <f>INDEX('ADD1'!$B$32:$B$53,MATCH(Master!S21,'ADD1'!$C$32:$C$53,0))</f>
        <v>Indonesia AirAsia</v>
      </c>
      <c r="U21" s="74">
        <f t="shared" si="9"/>
        <v>100</v>
      </c>
      <c r="V21" s="77">
        <f t="shared" si="4"/>
        <v>130.45310712541561</v>
      </c>
      <c r="W21" s="78">
        <f t="shared" si="5"/>
        <v>1950000</v>
      </c>
      <c r="Y21" s="78">
        <f t="shared" si="8"/>
        <v>2145000</v>
      </c>
    </row>
    <row r="22" spans="2:25" ht="25" customHeight="1" x14ac:dyDescent="0.35">
      <c r="B22" s="1">
        <v>1218</v>
      </c>
      <c r="C22" s="2">
        <v>45047</v>
      </c>
      <c r="D22" s="4" t="s">
        <v>59</v>
      </c>
      <c r="E22" s="2">
        <v>36348</v>
      </c>
      <c r="F22" s="1" t="s">
        <v>162</v>
      </c>
      <c r="G22" s="1" t="s">
        <v>196</v>
      </c>
      <c r="H22" s="1" t="s">
        <v>199</v>
      </c>
      <c r="I22" s="1" t="str">
        <f t="shared" si="6"/>
        <v>Singapore Changi Airport</v>
      </c>
      <c r="K22" s="4" t="str">
        <f>INDEX('ADD1'!$D$5:$D$27,MATCH(Master!R22,'ADD1'!$E$5:$E$27,0))</f>
        <v>Incheon International Aiport</v>
      </c>
      <c r="L22" s="1">
        <v>104</v>
      </c>
      <c r="M22" s="1" t="str">
        <f t="shared" si="0"/>
        <v>Wednesday</v>
      </c>
      <c r="N22" s="1">
        <f t="shared" si="1"/>
        <v>7</v>
      </c>
      <c r="O22" s="1" t="str">
        <f t="shared" si="2"/>
        <v>Wednesday</v>
      </c>
      <c r="P22" s="1">
        <f t="shared" si="3"/>
        <v>9</v>
      </c>
      <c r="Q22" s="6" t="s">
        <v>379</v>
      </c>
      <c r="R22" s="1" t="str">
        <f t="shared" si="7"/>
        <v>ICN</v>
      </c>
      <c r="S22" s="1" t="s">
        <v>328</v>
      </c>
      <c r="T22" s="11" t="str">
        <f>INDEX('ADD1'!$B$32:$B$53,MATCH(Master!S22,'ADD1'!$C$32:$C$53,0))</f>
        <v>Singapore Airlines</v>
      </c>
      <c r="U22" s="74">
        <f t="shared" si="9"/>
        <v>50</v>
      </c>
      <c r="V22" s="77">
        <f t="shared" si="4"/>
        <v>558.94138976043462</v>
      </c>
      <c r="W22" s="78">
        <f t="shared" si="5"/>
        <v>8355000</v>
      </c>
      <c r="X22" s="78">
        <f>W22*50%</f>
        <v>4177500</v>
      </c>
      <c r="Y22" s="78">
        <f t="shared" si="8"/>
        <v>9190500</v>
      </c>
    </row>
    <row r="23" spans="2:25" ht="25" customHeight="1" x14ac:dyDescent="0.35">
      <c r="B23" s="1">
        <v>1219</v>
      </c>
      <c r="C23" s="2">
        <v>45047</v>
      </c>
      <c r="D23" s="4" t="s">
        <v>60</v>
      </c>
      <c r="E23" s="1" t="s">
        <v>173</v>
      </c>
      <c r="F23" s="1" t="s">
        <v>163</v>
      </c>
      <c r="G23" s="1" t="s">
        <v>197</v>
      </c>
      <c r="H23" s="1" t="s">
        <v>199</v>
      </c>
      <c r="I23" s="1" t="str">
        <f t="shared" si="6"/>
        <v>Singapore Changi Airport</v>
      </c>
      <c r="K23" s="4" t="str">
        <f>INDEX('ADD1'!$D$5:$D$27,MATCH(Master!R23,'ADD1'!$E$5:$E$27,0))</f>
        <v>Narita Tokyo International Airport</v>
      </c>
      <c r="L23" s="1">
        <v>103</v>
      </c>
      <c r="M23" s="1" t="str">
        <f t="shared" si="0"/>
        <v>Tuesday</v>
      </c>
      <c r="N23" s="1">
        <f t="shared" si="1"/>
        <v>3</v>
      </c>
      <c r="O23" s="1" t="str">
        <f t="shared" si="2"/>
        <v>Tuesday</v>
      </c>
      <c r="P23" s="1">
        <f t="shared" si="3"/>
        <v>5</v>
      </c>
      <c r="Q23" s="6" t="s">
        <v>380</v>
      </c>
      <c r="R23" s="1" t="str">
        <f t="shared" si="7"/>
        <v>NRT</v>
      </c>
      <c r="S23" s="1" t="s">
        <v>331</v>
      </c>
      <c r="T23" s="11" t="str">
        <f>INDEX('ADD1'!$B$32:$B$53,MATCH(Master!S23,'ADD1'!$C$32:$C$53,0))</f>
        <v>All Nippon Airways</v>
      </c>
      <c r="U23" s="74">
        <f t="shared" si="9"/>
        <v>50</v>
      </c>
      <c r="V23" s="77">
        <f t="shared" si="4"/>
        <v>551.91699168445064</v>
      </c>
      <c r="W23" s="78">
        <f t="shared" si="5"/>
        <v>8250000</v>
      </c>
      <c r="X23" s="78">
        <f t="shared" ref="X23:X24" si="12">W23*50%</f>
        <v>4125000</v>
      </c>
      <c r="Y23" s="78">
        <f t="shared" si="8"/>
        <v>9075000</v>
      </c>
    </row>
    <row r="24" spans="2:25" ht="25" customHeight="1" x14ac:dyDescent="0.35">
      <c r="B24" s="1">
        <v>1220</v>
      </c>
      <c r="C24" s="2">
        <v>45078</v>
      </c>
      <c r="D24" s="4" t="s">
        <v>61</v>
      </c>
      <c r="E24" s="1" t="s">
        <v>174</v>
      </c>
      <c r="F24" s="1" t="s">
        <v>162</v>
      </c>
      <c r="G24" s="1" t="s">
        <v>197</v>
      </c>
      <c r="H24" s="1" t="s">
        <v>199</v>
      </c>
      <c r="I24" s="1" t="str">
        <f t="shared" si="6"/>
        <v>Singapore Changi Airport</v>
      </c>
      <c r="K24" s="4" t="str">
        <f>INDEX('ADD1'!$D$5:$D$27,MATCH(Master!R24,'ADD1'!$E$5:$E$27,0))</f>
        <v>Incheon International Aiport</v>
      </c>
      <c r="L24" s="1">
        <v>103</v>
      </c>
      <c r="M24" s="1" t="str">
        <f t="shared" si="0"/>
        <v>Tuesday</v>
      </c>
      <c r="N24" s="1">
        <f t="shared" si="1"/>
        <v>3</v>
      </c>
      <c r="O24" s="1" t="str">
        <f t="shared" si="2"/>
        <v>Tuesday</v>
      </c>
      <c r="P24" s="1">
        <f t="shared" si="3"/>
        <v>5</v>
      </c>
      <c r="Q24" s="6" t="s">
        <v>381</v>
      </c>
      <c r="R24" s="1" t="str">
        <f t="shared" si="7"/>
        <v>ICN</v>
      </c>
      <c r="S24" s="1" t="s">
        <v>333</v>
      </c>
      <c r="T24" s="11" t="str">
        <f>INDEX('ADD1'!$B$32:$B$53,MATCH(Master!S24,'ADD1'!$C$32:$C$53,0))</f>
        <v xml:space="preserve">Japan Airlines </v>
      </c>
      <c r="U24" s="74">
        <f t="shared" si="9"/>
        <v>50</v>
      </c>
      <c r="V24" s="77">
        <f t="shared" si="4"/>
        <v>558.94138976043462</v>
      </c>
      <c r="W24" s="78">
        <f t="shared" si="5"/>
        <v>8355000</v>
      </c>
      <c r="X24" s="78">
        <f t="shared" si="12"/>
        <v>4177500</v>
      </c>
      <c r="Y24" s="78">
        <f t="shared" si="8"/>
        <v>9190500</v>
      </c>
    </row>
    <row r="25" spans="2:25" ht="25" customHeight="1" x14ac:dyDescent="0.35">
      <c r="B25" s="1">
        <v>1221</v>
      </c>
      <c r="C25" s="2">
        <v>45078</v>
      </c>
      <c r="D25" s="4" t="s">
        <v>62</v>
      </c>
      <c r="E25" s="2">
        <v>25118</v>
      </c>
      <c r="F25" s="1" t="s">
        <v>163</v>
      </c>
      <c r="G25" s="1" t="s">
        <v>196</v>
      </c>
      <c r="H25" s="1" t="s">
        <v>198</v>
      </c>
      <c r="I25" s="1" t="str">
        <f t="shared" si="6"/>
        <v>Soekarno-Hatta Airport</v>
      </c>
      <c r="J25" s="12" t="str">
        <f>INDEX('ADD1'!$B$5:$B$27,MATCH(Master!R25,'ADD1'!$C$5:$C$27,0))</f>
        <v>Sultan Hasanuddin, Sulawesi Selatan</v>
      </c>
      <c r="L25" s="1">
        <v>106</v>
      </c>
      <c r="M25" s="1" t="str">
        <f t="shared" si="0"/>
        <v>Friday</v>
      </c>
      <c r="N25" s="1">
        <f t="shared" si="1"/>
        <v>12</v>
      </c>
      <c r="O25" s="1" t="str">
        <f t="shared" si="2"/>
        <v>Friday</v>
      </c>
      <c r="P25" s="1">
        <f t="shared" si="3"/>
        <v>14</v>
      </c>
      <c r="Q25" s="6" t="s">
        <v>360</v>
      </c>
      <c r="R25" s="1" t="str">
        <f t="shared" si="7"/>
        <v>UPG</v>
      </c>
      <c r="S25" s="1" t="s">
        <v>325</v>
      </c>
      <c r="T25" s="11" t="str">
        <f>INDEX('ADD1'!$B$32:$B$53,MATCH(Master!S25,'ADD1'!$C$32:$C$53,0))</f>
        <v>NAM Air</v>
      </c>
      <c r="U25" s="74">
        <f t="shared" si="9"/>
        <v>100</v>
      </c>
      <c r="V25" s="77">
        <f t="shared" si="4"/>
        <v>157.21271884344958</v>
      </c>
      <c r="W25" s="78">
        <f t="shared" si="5"/>
        <v>2350000</v>
      </c>
      <c r="Y25" s="78">
        <f t="shared" si="8"/>
        <v>2585000</v>
      </c>
    </row>
    <row r="26" spans="2:25" ht="25" customHeight="1" x14ac:dyDescent="0.35">
      <c r="B26" s="1">
        <v>1222</v>
      </c>
      <c r="C26" s="2">
        <v>45078</v>
      </c>
      <c r="D26" s="4" t="s">
        <v>63</v>
      </c>
      <c r="E26" s="2">
        <v>24755</v>
      </c>
      <c r="F26" s="1" t="s">
        <v>162</v>
      </c>
      <c r="G26" s="1" t="s">
        <v>196</v>
      </c>
      <c r="H26" s="1" t="s">
        <v>198</v>
      </c>
      <c r="I26" s="1" t="str">
        <f t="shared" si="6"/>
        <v>Soekarno-Hatta Airport</v>
      </c>
      <c r="J26" s="12" t="str">
        <f>INDEX('ADD1'!$B$5:$B$27,MATCH(Master!R26,'ADD1'!$C$5:$C$27,0))</f>
        <v>Sultan Thaha, Jambi</v>
      </c>
      <c r="L26" s="1">
        <v>104</v>
      </c>
      <c r="M26" s="1" t="str">
        <f t="shared" si="0"/>
        <v>Wednesday</v>
      </c>
      <c r="N26" s="1">
        <f t="shared" si="1"/>
        <v>7</v>
      </c>
      <c r="O26" s="1" t="str">
        <f t="shared" si="2"/>
        <v>Wednesday</v>
      </c>
      <c r="P26" s="1">
        <f t="shared" si="3"/>
        <v>9</v>
      </c>
      <c r="Q26" s="6" t="s">
        <v>361</v>
      </c>
      <c r="R26" s="1" t="str">
        <f t="shared" si="7"/>
        <v>DJB</v>
      </c>
      <c r="S26" s="1" t="s">
        <v>326</v>
      </c>
      <c r="T26" s="11" t="str">
        <f>INDEX('ADD1'!$B$32:$B$53,MATCH(Master!S26,'ADD1'!$C$32:$C$53,0))</f>
        <v>Lion Air</v>
      </c>
      <c r="U26" s="74">
        <f t="shared" si="9"/>
        <v>100</v>
      </c>
      <c r="V26" s="77">
        <f t="shared" si="4"/>
        <v>157.54721398992501</v>
      </c>
      <c r="W26" s="78">
        <f t="shared" si="5"/>
        <v>2355000</v>
      </c>
      <c r="Y26" s="78">
        <f t="shared" si="8"/>
        <v>2590500</v>
      </c>
    </row>
    <row r="27" spans="2:25" ht="25" customHeight="1" x14ac:dyDescent="0.35">
      <c r="B27" s="1">
        <v>1223</v>
      </c>
      <c r="C27" s="2">
        <v>45078</v>
      </c>
      <c r="D27" s="4" t="s">
        <v>64</v>
      </c>
      <c r="E27" s="1" t="s">
        <v>175</v>
      </c>
      <c r="F27" s="1" t="s">
        <v>162</v>
      </c>
      <c r="G27" s="1" t="s">
        <v>197</v>
      </c>
      <c r="H27" s="1" t="s">
        <v>198</v>
      </c>
      <c r="I27" s="1" t="str">
        <f t="shared" si="6"/>
        <v>Soekarno-Hatta Airport</v>
      </c>
      <c r="J27" s="12" t="str">
        <f>INDEX('ADD1'!$B$5:$B$27,MATCH(Master!R27,'ADD1'!$C$5:$C$27,0))</f>
        <v>Minangkabau, Padang</v>
      </c>
      <c r="L27" s="1">
        <v>104</v>
      </c>
      <c r="M27" s="1" t="str">
        <f t="shared" si="0"/>
        <v>Wednesday</v>
      </c>
      <c r="N27" s="1">
        <f t="shared" si="1"/>
        <v>7</v>
      </c>
      <c r="O27" s="1" t="str">
        <f t="shared" si="2"/>
        <v>Wednesday</v>
      </c>
      <c r="P27" s="1">
        <f t="shared" si="3"/>
        <v>9</v>
      </c>
      <c r="Q27" s="6" t="s">
        <v>362</v>
      </c>
      <c r="R27" s="1" t="str">
        <f t="shared" si="7"/>
        <v>PDG</v>
      </c>
      <c r="S27" s="1" t="s">
        <v>321</v>
      </c>
      <c r="T27" s="11" t="str">
        <f>INDEX('ADD1'!$B$32:$B$53,MATCH(Master!S27,'ADD1'!$C$32:$C$53,0))</f>
        <v>Garuda Indonesia</v>
      </c>
      <c r="U27" s="74">
        <f t="shared" si="9"/>
        <v>100</v>
      </c>
      <c r="V27" s="77">
        <f t="shared" si="4"/>
        <v>147.17786444918684</v>
      </c>
      <c r="W27" s="78">
        <f t="shared" si="5"/>
        <v>2200000</v>
      </c>
      <c r="Y27" s="78">
        <f t="shared" si="8"/>
        <v>2420000</v>
      </c>
    </row>
    <row r="28" spans="2:25" ht="25" customHeight="1" x14ac:dyDescent="0.35">
      <c r="B28" s="1">
        <v>1224</v>
      </c>
      <c r="C28" s="2">
        <v>45078</v>
      </c>
      <c r="D28" s="4" t="s">
        <v>65</v>
      </c>
      <c r="E28" s="2">
        <v>34950</v>
      </c>
      <c r="F28" s="1" t="s">
        <v>163</v>
      </c>
      <c r="G28" s="1" t="s">
        <v>197</v>
      </c>
      <c r="H28" s="1" t="s">
        <v>198</v>
      </c>
      <c r="I28" s="1" t="str">
        <f t="shared" si="6"/>
        <v>Soekarno-Hatta Airport</v>
      </c>
      <c r="J28" s="12" t="str">
        <f>INDEX('ADD1'!$B$5:$B$27,MATCH(Master!R28,'ADD1'!$C$5:$C$27,0))</f>
        <v>Minangkabau, Padang</v>
      </c>
      <c r="L28" s="1">
        <v>103</v>
      </c>
      <c r="M28" s="1" t="str">
        <f t="shared" si="0"/>
        <v>Tuesday</v>
      </c>
      <c r="N28" s="1">
        <f t="shared" si="1"/>
        <v>3</v>
      </c>
      <c r="O28" s="1" t="str">
        <f t="shared" si="2"/>
        <v>Tuesday</v>
      </c>
      <c r="P28" s="1">
        <f t="shared" si="3"/>
        <v>5</v>
      </c>
      <c r="Q28" s="6" t="s">
        <v>363</v>
      </c>
      <c r="R28" s="1" t="str">
        <f t="shared" si="7"/>
        <v>PDG</v>
      </c>
      <c r="S28" s="1" t="s">
        <v>324</v>
      </c>
      <c r="T28" s="11" t="str">
        <f>INDEX('ADD1'!$B$32:$B$53,MATCH(Master!S28,'ADD1'!$C$32:$C$53,0))</f>
        <v>Super Air Jet</v>
      </c>
      <c r="U28" s="74">
        <f t="shared" si="9"/>
        <v>100</v>
      </c>
      <c r="V28" s="77">
        <f t="shared" si="4"/>
        <v>147.17786444918684</v>
      </c>
      <c r="W28" s="78">
        <f t="shared" si="5"/>
        <v>2200000</v>
      </c>
      <c r="Y28" s="78">
        <f t="shared" si="8"/>
        <v>2420000</v>
      </c>
    </row>
    <row r="29" spans="2:25" ht="25" customHeight="1" x14ac:dyDescent="0.35">
      <c r="B29" s="1">
        <v>1225</v>
      </c>
      <c r="C29" s="2">
        <v>45078</v>
      </c>
      <c r="D29" s="4" t="s">
        <v>66</v>
      </c>
      <c r="E29" s="1" t="s">
        <v>176</v>
      </c>
      <c r="F29" s="1" t="s">
        <v>162</v>
      </c>
      <c r="G29" s="1" t="s">
        <v>197</v>
      </c>
      <c r="H29" s="1" t="s">
        <v>198</v>
      </c>
      <c r="I29" s="1" t="str">
        <f t="shared" si="6"/>
        <v>Soekarno-Hatta Airport</v>
      </c>
      <c r="J29" s="12" t="str">
        <f>INDEX('ADD1'!$B$5:$B$27,MATCH(Master!R29,'ADD1'!$C$5:$C$27,0))</f>
        <v>Ngurah Rai, Denpasar Bali</v>
      </c>
      <c r="L29" s="1">
        <v>106</v>
      </c>
      <c r="M29" s="1" t="str">
        <f t="shared" si="0"/>
        <v>Friday</v>
      </c>
      <c r="N29" s="1">
        <f t="shared" si="1"/>
        <v>12</v>
      </c>
      <c r="O29" s="1" t="str">
        <f t="shared" si="2"/>
        <v>Friday</v>
      </c>
      <c r="P29" s="1">
        <f t="shared" si="3"/>
        <v>14</v>
      </c>
      <c r="Q29" s="6" t="s">
        <v>364</v>
      </c>
      <c r="R29" s="1" t="str">
        <f t="shared" si="7"/>
        <v>DPS</v>
      </c>
      <c r="S29" s="1" t="s">
        <v>322</v>
      </c>
      <c r="T29" s="11" t="str">
        <f>INDEX('ADD1'!$B$32:$B$53,MATCH(Master!S29,'ADD1'!$C$32:$C$53,0))</f>
        <v>Indonesia AirAsia</v>
      </c>
      <c r="U29" s="74">
        <f t="shared" si="9"/>
        <v>100</v>
      </c>
      <c r="V29" s="77">
        <f t="shared" si="4"/>
        <v>130.45310712541561</v>
      </c>
      <c r="W29" s="78">
        <f t="shared" si="5"/>
        <v>1950000</v>
      </c>
      <c r="Y29" s="78">
        <f t="shared" si="8"/>
        <v>2145000</v>
      </c>
    </row>
    <row r="30" spans="2:25" ht="25" customHeight="1" x14ac:dyDescent="0.35">
      <c r="B30" s="1">
        <v>1226</v>
      </c>
      <c r="C30" s="2">
        <v>45078</v>
      </c>
      <c r="D30" s="4" t="s">
        <v>67</v>
      </c>
      <c r="E30" s="2">
        <v>35737</v>
      </c>
      <c r="F30" s="1" t="s">
        <v>162</v>
      </c>
      <c r="G30" s="1" t="s">
        <v>196</v>
      </c>
      <c r="H30" s="1" t="s">
        <v>198</v>
      </c>
      <c r="I30" s="1" t="str">
        <f t="shared" si="6"/>
        <v>Soekarno-Hatta Airport</v>
      </c>
      <c r="J30" s="12" t="str">
        <f>INDEX('ADD1'!$B$5:$B$27,MATCH(Master!R30,'ADD1'!$C$5:$C$27,0))</f>
        <v>Ngurah Rai, Denpasar Bali</v>
      </c>
      <c r="L30" s="1">
        <v>103</v>
      </c>
      <c r="M30" s="1" t="str">
        <f t="shared" si="0"/>
        <v>Tuesday</v>
      </c>
      <c r="N30" s="1">
        <f t="shared" si="1"/>
        <v>3</v>
      </c>
      <c r="O30" s="1" t="str">
        <f t="shared" si="2"/>
        <v>Tuesday</v>
      </c>
      <c r="P30" s="1">
        <f t="shared" si="3"/>
        <v>5</v>
      </c>
      <c r="Q30" s="6" t="s">
        <v>365</v>
      </c>
      <c r="R30" s="1" t="str">
        <f t="shared" si="7"/>
        <v>DPS</v>
      </c>
      <c r="S30" s="1" t="s">
        <v>322</v>
      </c>
      <c r="T30" s="11" t="str">
        <f>INDEX('ADD1'!$B$32:$B$53,MATCH(Master!S30,'ADD1'!$C$32:$C$53,0))</f>
        <v>Indonesia AirAsia</v>
      </c>
      <c r="U30" s="74">
        <f t="shared" si="9"/>
        <v>100</v>
      </c>
      <c r="V30" s="77">
        <f t="shared" si="4"/>
        <v>130.45310712541561</v>
      </c>
      <c r="W30" s="78">
        <f t="shared" si="5"/>
        <v>1950000</v>
      </c>
      <c r="Y30" s="78">
        <f t="shared" si="8"/>
        <v>2145000</v>
      </c>
    </row>
    <row r="31" spans="2:25" ht="25" customHeight="1" x14ac:dyDescent="0.35">
      <c r="B31" s="1">
        <v>1227</v>
      </c>
      <c r="C31" s="2">
        <v>45078</v>
      </c>
      <c r="D31" s="4" t="s">
        <v>68</v>
      </c>
      <c r="E31" s="2">
        <v>35771</v>
      </c>
      <c r="F31" s="1" t="s">
        <v>162</v>
      </c>
      <c r="G31" s="1" t="s">
        <v>196</v>
      </c>
      <c r="H31" s="1" t="s">
        <v>198</v>
      </c>
      <c r="I31" s="1" t="str">
        <f t="shared" si="6"/>
        <v>Soekarno-Hatta Airport</v>
      </c>
      <c r="J31" s="12" t="str">
        <f>INDEX('ADD1'!$B$5:$B$27,MATCH(Master!R31,'ADD1'!$C$5:$C$27,0))</f>
        <v>Pattimura, Ambon</v>
      </c>
      <c r="L31" s="1">
        <v>104</v>
      </c>
      <c r="M31" s="1" t="str">
        <f t="shared" si="0"/>
        <v>Wednesday</v>
      </c>
      <c r="N31" s="1">
        <f t="shared" si="1"/>
        <v>7</v>
      </c>
      <c r="O31" s="1" t="str">
        <f t="shared" si="2"/>
        <v>Wednesday</v>
      </c>
      <c r="P31" s="1">
        <f t="shared" si="3"/>
        <v>9</v>
      </c>
      <c r="Q31" s="6" t="s">
        <v>366</v>
      </c>
      <c r="R31" s="1" t="str">
        <f t="shared" si="7"/>
        <v>AMQ</v>
      </c>
      <c r="S31" s="1" t="s">
        <v>326</v>
      </c>
      <c r="T31" s="11" t="str">
        <f>INDEX('ADD1'!$B$32:$B$53,MATCH(Master!S31,'ADD1'!$C$32:$C$53,0))</f>
        <v>Lion Air</v>
      </c>
      <c r="U31" s="74">
        <f t="shared" si="9"/>
        <v>100</v>
      </c>
      <c r="V31" s="77">
        <f t="shared" si="4"/>
        <v>250.87135985656849</v>
      </c>
      <c r="W31" s="78">
        <f t="shared" si="5"/>
        <v>3750000</v>
      </c>
      <c r="Y31" s="78">
        <f t="shared" si="8"/>
        <v>4125000</v>
      </c>
    </row>
    <row r="32" spans="2:25" ht="25" customHeight="1" x14ac:dyDescent="0.35">
      <c r="B32" s="1">
        <v>1228</v>
      </c>
      <c r="C32" s="2">
        <v>45078</v>
      </c>
      <c r="D32" s="4" t="s">
        <v>69</v>
      </c>
      <c r="E32" s="2">
        <v>31599</v>
      </c>
      <c r="F32" s="1" t="s">
        <v>162</v>
      </c>
      <c r="G32" s="1" t="s">
        <v>196</v>
      </c>
      <c r="H32" s="1" t="s">
        <v>198</v>
      </c>
      <c r="I32" s="1" t="str">
        <f t="shared" si="6"/>
        <v>Soekarno-Hatta Airport</v>
      </c>
      <c r="J32" s="12" t="str">
        <f>INDEX('ADD1'!$B$5:$B$27,MATCH(Master!R32,'ADD1'!$C$5:$C$27,0))</f>
        <v>Adisumarno, Solo</v>
      </c>
      <c r="L32" s="1">
        <v>105</v>
      </c>
      <c r="M32" s="1" t="str">
        <f t="shared" si="0"/>
        <v>Thursday</v>
      </c>
      <c r="N32" s="1">
        <f t="shared" si="1"/>
        <v>9</v>
      </c>
      <c r="O32" s="1" t="str">
        <f t="shared" si="2"/>
        <v>Thursday</v>
      </c>
      <c r="P32" s="1">
        <f t="shared" si="3"/>
        <v>11</v>
      </c>
      <c r="Q32" s="6" t="s">
        <v>367</v>
      </c>
      <c r="R32" s="1" t="str">
        <f t="shared" si="7"/>
        <v>SOC</v>
      </c>
      <c r="S32" s="1" t="s">
        <v>318</v>
      </c>
      <c r="T32" s="11" t="str">
        <f>INDEX('ADD1'!$B$32:$B$53,MATCH(Master!S32,'ADD1'!$C$32:$C$53,0))</f>
        <v>Batik Air</v>
      </c>
      <c r="U32" s="74">
        <f t="shared" si="9"/>
        <v>100</v>
      </c>
      <c r="V32" s="77">
        <f t="shared" si="4"/>
        <v>173.93747616722081</v>
      </c>
      <c r="W32" s="78">
        <f t="shared" si="5"/>
        <v>2600000</v>
      </c>
      <c r="Y32" s="78">
        <f t="shared" si="8"/>
        <v>2860000</v>
      </c>
    </row>
    <row r="33" spans="2:25" ht="25" customHeight="1" x14ac:dyDescent="0.35">
      <c r="B33" s="1">
        <v>1229</v>
      </c>
      <c r="C33" s="2">
        <v>45078</v>
      </c>
      <c r="D33" s="4" t="s">
        <v>70</v>
      </c>
      <c r="E33" s="2">
        <v>29285</v>
      </c>
      <c r="F33" s="1" t="s">
        <v>163</v>
      </c>
      <c r="G33" s="1" t="s">
        <v>196</v>
      </c>
      <c r="H33" s="1" t="s">
        <v>198</v>
      </c>
      <c r="I33" s="1" t="str">
        <f t="shared" si="6"/>
        <v>Soekarno-Hatta Airport</v>
      </c>
      <c r="J33" s="12" t="str">
        <f>INDEX('ADD1'!$B$5:$B$27,MATCH(Master!R33,'ADD1'!$C$5:$C$27,0))</f>
        <v>Abdul Rachman Saleh, Malang</v>
      </c>
      <c r="L33" s="1">
        <v>101</v>
      </c>
      <c r="M33" s="1" t="str">
        <f t="shared" si="0"/>
        <v>Sunday</v>
      </c>
      <c r="N33" s="1">
        <f t="shared" si="1"/>
        <v>9</v>
      </c>
      <c r="O33" s="1" t="str">
        <f t="shared" si="2"/>
        <v>Sunday</v>
      </c>
      <c r="P33" s="1">
        <f t="shared" si="3"/>
        <v>11</v>
      </c>
      <c r="Q33" s="6" t="s">
        <v>368</v>
      </c>
      <c r="R33" s="1" t="str">
        <f t="shared" si="7"/>
        <v>MLG</v>
      </c>
      <c r="S33" s="1" t="s">
        <v>320</v>
      </c>
      <c r="T33" s="11" t="str">
        <f>INDEX('ADD1'!$B$32:$B$53,MATCH(Master!S33,'ADD1'!$C$32:$C$53,0))</f>
        <v>Sriwijaya Air</v>
      </c>
      <c r="U33" s="74">
        <f t="shared" si="9"/>
        <v>100</v>
      </c>
      <c r="V33" s="77">
        <f t="shared" si="4"/>
        <v>147.17786444918684</v>
      </c>
      <c r="W33" s="78">
        <f t="shared" si="5"/>
        <v>2200000</v>
      </c>
      <c r="Y33" s="78">
        <f t="shared" si="8"/>
        <v>2420000</v>
      </c>
    </row>
    <row r="34" spans="2:25" ht="25" customHeight="1" x14ac:dyDescent="0.35">
      <c r="B34" s="1">
        <v>1230</v>
      </c>
      <c r="C34" s="2">
        <v>45108</v>
      </c>
      <c r="D34" s="4" t="s">
        <v>71</v>
      </c>
      <c r="E34" s="2">
        <v>29567</v>
      </c>
      <c r="F34" s="1" t="s">
        <v>162</v>
      </c>
      <c r="G34" s="1" t="s">
        <v>196</v>
      </c>
      <c r="H34" s="1" t="s">
        <v>198</v>
      </c>
      <c r="I34" s="1" t="str">
        <f t="shared" si="6"/>
        <v>Soekarno-Hatta Airport</v>
      </c>
      <c r="J34" s="12" t="str">
        <f>INDEX('ADD1'!$B$5:$B$27,MATCH(Master!R34,'ADD1'!$C$5:$C$27,0))</f>
        <v>Zainuddin Abdul Madjid, Praya</v>
      </c>
      <c r="L34" s="1">
        <v>105</v>
      </c>
      <c r="M34" s="1" t="str">
        <f t="shared" si="0"/>
        <v>Thursday</v>
      </c>
      <c r="N34" s="1">
        <f t="shared" si="1"/>
        <v>9</v>
      </c>
      <c r="O34" s="1" t="str">
        <f t="shared" si="2"/>
        <v>Thursday</v>
      </c>
      <c r="P34" s="1">
        <f t="shared" si="3"/>
        <v>11</v>
      </c>
      <c r="Q34" s="6" t="s">
        <v>369</v>
      </c>
      <c r="R34" s="1" t="str">
        <f t="shared" si="7"/>
        <v>LOP</v>
      </c>
      <c r="S34" s="1" t="s">
        <v>325</v>
      </c>
      <c r="T34" s="11" t="str">
        <f>INDEX('ADD1'!$B$32:$B$53,MATCH(Master!S34,'ADD1'!$C$32:$C$53,0))</f>
        <v>NAM Air</v>
      </c>
      <c r="U34" s="74">
        <f t="shared" si="9"/>
        <v>100</v>
      </c>
      <c r="V34" s="77">
        <f t="shared" si="4"/>
        <v>157.21271884344958</v>
      </c>
      <c r="W34" s="78">
        <f t="shared" si="5"/>
        <v>2350000</v>
      </c>
      <c r="Y34" s="78">
        <f t="shared" si="8"/>
        <v>2585000</v>
      </c>
    </row>
    <row r="35" spans="2:25" ht="25" customHeight="1" x14ac:dyDescent="0.35">
      <c r="B35" s="1">
        <v>1231</v>
      </c>
      <c r="C35" s="2">
        <v>45108</v>
      </c>
      <c r="D35" s="4" t="s">
        <v>72</v>
      </c>
      <c r="E35" s="2">
        <v>29688</v>
      </c>
      <c r="F35" s="1" t="s">
        <v>162</v>
      </c>
      <c r="G35" s="1" t="s">
        <v>196</v>
      </c>
      <c r="H35" s="1" t="s">
        <v>199</v>
      </c>
      <c r="I35" s="1" t="str">
        <f t="shared" si="6"/>
        <v>Singapore Changi Airport</v>
      </c>
      <c r="K35" s="4" t="str">
        <f>INDEX('ADD1'!$D$5:$D$27,MATCH(Master!R35,'ADD1'!$E$5:$E$27,0))</f>
        <v>Da Nang International Airport</v>
      </c>
      <c r="L35" s="1">
        <v>104</v>
      </c>
      <c r="M35" s="1" t="str">
        <f t="shared" si="0"/>
        <v>Wednesday</v>
      </c>
      <c r="N35" s="1">
        <f t="shared" si="1"/>
        <v>7</v>
      </c>
      <c r="O35" s="1" t="str">
        <f t="shared" si="2"/>
        <v>Wednesday</v>
      </c>
      <c r="P35" s="1">
        <f t="shared" si="3"/>
        <v>9</v>
      </c>
      <c r="Q35" s="6" t="s">
        <v>388</v>
      </c>
      <c r="R35" s="1" t="str">
        <f t="shared" si="7"/>
        <v>DAD</v>
      </c>
      <c r="S35" s="1" t="s">
        <v>337</v>
      </c>
      <c r="T35" s="11" t="str">
        <f>INDEX('ADD1'!$B$32:$B$53,MATCH(Master!S35,'ADD1'!$C$32:$C$53,0))</f>
        <v>Thai Airways International Airlines</v>
      </c>
      <c r="U35" s="74">
        <f t="shared" si="9"/>
        <v>50</v>
      </c>
      <c r="V35" s="77">
        <f t="shared" si="4"/>
        <v>759.30398249921393</v>
      </c>
      <c r="W35" s="78">
        <f t="shared" si="5"/>
        <v>11350000</v>
      </c>
      <c r="X35" s="78">
        <f>W35*50%</f>
        <v>5675000</v>
      </c>
      <c r="Y35" s="78">
        <f t="shared" si="8"/>
        <v>12485000</v>
      </c>
    </row>
    <row r="36" spans="2:25" ht="25" customHeight="1" x14ac:dyDescent="0.35">
      <c r="B36" s="1">
        <v>1232</v>
      </c>
      <c r="C36" s="2">
        <v>45108</v>
      </c>
      <c r="D36" s="4" t="s">
        <v>73</v>
      </c>
      <c r="E36" s="1" t="s">
        <v>177</v>
      </c>
      <c r="F36" s="1" t="s">
        <v>162</v>
      </c>
      <c r="G36" s="1" t="s">
        <v>196</v>
      </c>
      <c r="H36" s="1" t="s">
        <v>198</v>
      </c>
      <c r="I36" s="1" t="str">
        <f t="shared" si="6"/>
        <v>Soekarno-Hatta Airport</v>
      </c>
      <c r="J36" s="4" t="str">
        <f>INDEX('ADD1'!$B$5:$B$27,MATCH(Master!R36,'ADD1'!$C$5:$C$27,0))</f>
        <v>Supadio, Pontianak</v>
      </c>
      <c r="L36" s="1">
        <v>103</v>
      </c>
      <c r="M36" s="1" t="str">
        <f t="shared" si="0"/>
        <v>Tuesday</v>
      </c>
      <c r="N36" s="1">
        <f t="shared" si="1"/>
        <v>3</v>
      </c>
      <c r="O36" s="1" t="str">
        <f t="shared" si="2"/>
        <v>Tuesday</v>
      </c>
      <c r="P36" s="1">
        <f t="shared" si="3"/>
        <v>5</v>
      </c>
      <c r="Q36" s="6" t="s">
        <v>371</v>
      </c>
      <c r="R36" s="1" t="str">
        <f t="shared" si="7"/>
        <v>PNK</v>
      </c>
      <c r="S36" s="1" t="s">
        <v>319</v>
      </c>
      <c r="T36" s="11" t="str">
        <f>INDEX('ADD1'!$B$32:$B$53,MATCH(Master!S36,'ADD1'!$C$32:$C$53,0))</f>
        <v>Citilink</v>
      </c>
      <c r="U36" s="74">
        <f t="shared" si="9"/>
        <v>100</v>
      </c>
      <c r="V36" s="77">
        <f t="shared" si="4"/>
        <v>143.8329129844326</v>
      </c>
      <c r="W36" s="78">
        <f t="shared" si="5"/>
        <v>2150000</v>
      </c>
      <c r="Y36" s="78">
        <f t="shared" si="8"/>
        <v>2365000</v>
      </c>
    </row>
    <row r="37" spans="2:25" ht="25" customHeight="1" x14ac:dyDescent="0.35">
      <c r="B37" s="1">
        <v>1233</v>
      </c>
      <c r="C37" s="2">
        <v>45108</v>
      </c>
      <c r="D37" s="4" t="s">
        <v>74</v>
      </c>
      <c r="E37" s="2">
        <v>30108</v>
      </c>
      <c r="F37" s="1" t="s">
        <v>162</v>
      </c>
      <c r="G37" s="1" t="s">
        <v>196</v>
      </c>
      <c r="H37" s="1" t="s">
        <v>199</v>
      </c>
      <c r="I37" s="1" t="str">
        <f t="shared" si="6"/>
        <v>Singapore Changi Airport</v>
      </c>
      <c r="K37" s="4" t="str">
        <f>INDEX('ADD1'!$D$5:$D$27,MATCH(Master!R37,'ADD1'!$E$5:$E$27,0))</f>
        <v>Capital International Airport</v>
      </c>
      <c r="L37" s="1">
        <v>103</v>
      </c>
      <c r="M37" s="1" t="str">
        <f t="shared" ref="M37:M68" si="13">VLOOKUP(L37,Departure,2,0)</f>
        <v>Tuesday</v>
      </c>
      <c r="N37" s="1">
        <f t="shared" ref="N37:N68" si="14">VLOOKUP(L37,Departure,3,0)</f>
        <v>3</v>
      </c>
      <c r="O37" s="1" t="str">
        <f t="shared" ref="O37:O68" si="15">HLOOKUP(L37,Arrival,2,0)</f>
        <v>Tuesday</v>
      </c>
      <c r="P37" s="1">
        <f t="shared" ref="P37:P68" si="16">HLOOKUP(L37,Arrival,3,0)</f>
        <v>5</v>
      </c>
      <c r="Q37" s="6" t="s">
        <v>406</v>
      </c>
      <c r="R37" s="1" t="str">
        <f t="shared" si="7"/>
        <v>PEK</v>
      </c>
      <c r="S37" s="1" t="s">
        <v>338</v>
      </c>
      <c r="T37" s="11" t="str">
        <f>INDEX('ADD1'!$B$32:$B$53,MATCH(Master!S37,'ADD1'!$C$32:$C$53,0))</f>
        <v>Malaysia Airlines</v>
      </c>
      <c r="U37" s="74">
        <f t="shared" si="9"/>
        <v>50</v>
      </c>
      <c r="V37" s="77">
        <f t="shared" ref="V37:V68" si="17">VLOOKUP(R37,Price,3,0)</f>
        <v>702.43980759839178</v>
      </c>
      <c r="W37" s="78">
        <f t="shared" ref="W37:W68" si="18">VLOOKUP(R37,Price,2,0)</f>
        <v>10500000</v>
      </c>
      <c r="X37" s="78">
        <f>W37*50%</f>
        <v>5250000</v>
      </c>
      <c r="Y37" s="78">
        <f t="shared" si="8"/>
        <v>11550000</v>
      </c>
    </row>
    <row r="38" spans="2:25" ht="25" customHeight="1" x14ac:dyDescent="0.35">
      <c r="B38" s="1">
        <v>1234</v>
      </c>
      <c r="C38" s="2">
        <v>45139</v>
      </c>
      <c r="D38" s="4" t="s">
        <v>75</v>
      </c>
      <c r="E38" s="1" t="s">
        <v>178</v>
      </c>
      <c r="F38" s="1" t="s">
        <v>162</v>
      </c>
      <c r="G38" s="1" t="s">
        <v>196</v>
      </c>
      <c r="H38" s="1" t="s">
        <v>199</v>
      </c>
      <c r="I38" s="1" t="str">
        <f t="shared" si="6"/>
        <v>Singapore Changi Airport</v>
      </c>
      <c r="K38" s="4" t="str">
        <f>INDEX('ADD1'!$D$5:$D$27,MATCH(Master!R38,'ADD1'!$E$5:$E$27,0))</f>
        <v>Frankfut German International Airport</v>
      </c>
      <c r="L38" s="1">
        <v>106</v>
      </c>
      <c r="M38" s="1" t="str">
        <f t="shared" si="13"/>
        <v>Friday</v>
      </c>
      <c r="N38" s="1">
        <f t="shared" si="14"/>
        <v>12</v>
      </c>
      <c r="O38" s="1" t="str">
        <f t="shared" si="15"/>
        <v>Friday</v>
      </c>
      <c r="P38" s="1">
        <f t="shared" si="16"/>
        <v>14</v>
      </c>
      <c r="Q38" s="6" t="s">
        <v>407</v>
      </c>
      <c r="R38" s="1" t="str">
        <f t="shared" si="7"/>
        <v>FRA</v>
      </c>
      <c r="S38" s="1" t="s">
        <v>331</v>
      </c>
      <c r="T38" s="11" t="str">
        <f>INDEX('ADD1'!$B$32:$B$53,MATCH(Master!S38,'ADD1'!$C$32:$C$53,0))</f>
        <v>All Nippon Airways</v>
      </c>
      <c r="U38" s="74">
        <f t="shared" si="9"/>
        <v>50</v>
      </c>
      <c r="V38" s="77">
        <f t="shared" si="17"/>
        <v>692.73944835060445</v>
      </c>
      <c r="W38" s="78">
        <f t="shared" si="18"/>
        <v>10355000</v>
      </c>
      <c r="X38" s="78">
        <f t="shared" ref="X38:X40" si="19">W38*50%</f>
        <v>5177500</v>
      </c>
      <c r="Y38" s="78">
        <f t="shared" si="8"/>
        <v>11390500</v>
      </c>
    </row>
    <row r="39" spans="2:25" ht="25" customHeight="1" x14ac:dyDescent="0.35">
      <c r="B39" s="1">
        <v>1235</v>
      </c>
      <c r="C39" s="2">
        <v>45139</v>
      </c>
      <c r="D39" s="4" t="s">
        <v>76</v>
      </c>
      <c r="E39" s="2">
        <v>33920</v>
      </c>
      <c r="F39" s="1" t="s">
        <v>162</v>
      </c>
      <c r="G39" s="1" t="s">
        <v>197</v>
      </c>
      <c r="H39" s="1" t="s">
        <v>199</v>
      </c>
      <c r="I39" s="1" t="str">
        <f t="shared" si="6"/>
        <v>Singapore Changi Airport</v>
      </c>
      <c r="K39" s="4" t="str">
        <f>INDEX('ADD1'!$D$5:$D$27,MATCH(Master!R39,'ADD1'!$E$5:$E$27,0))</f>
        <v>Frankfut German International Airport</v>
      </c>
      <c r="L39" s="1">
        <v>103</v>
      </c>
      <c r="M39" s="1" t="str">
        <f t="shared" si="13"/>
        <v>Tuesday</v>
      </c>
      <c r="N39" s="1">
        <f t="shared" si="14"/>
        <v>3</v>
      </c>
      <c r="O39" s="1" t="str">
        <f t="shared" si="15"/>
        <v>Tuesday</v>
      </c>
      <c r="P39" s="1">
        <f t="shared" si="16"/>
        <v>5</v>
      </c>
      <c r="Q39" s="6" t="s">
        <v>408</v>
      </c>
      <c r="R39" s="1" t="str">
        <f t="shared" si="7"/>
        <v>FRA</v>
      </c>
      <c r="S39" s="1" t="s">
        <v>337</v>
      </c>
      <c r="T39" s="11" t="str">
        <f>INDEX('ADD1'!$B$32:$B$53,MATCH(Master!S39,'ADD1'!$C$32:$C$53,0))</f>
        <v>Thai Airways International Airlines</v>
      </c>
      <c r="U39" s="74">
        <f t="shared" si="9"/>
        <v>50</v>
      </c>
      <c r="V39" s="77">
        <f t="shared" si="17"/>
        <v>692.73944835060445</v>
      </c>
      <c r="W39" s="78">
        <f t="shared" si="18"/>
        <v>10355000</v>
      </c>
      <c r="X39" s="78">
        <f t="shared" si="19"/>
        <v>5177500</v>
      </c>
      <c r="Y39" s="78">
        <f t="shared" si="8"/>
        <v>11390500</v>
      </c>
    </row>
    <row r="40" spans="2:25" ht="25" customHeight="1" x14ac:dyDescent="0.35">
      <c r="B40" s="1">
        <v>1236</v>
      </c>
      <c r="C40" s="2">
        <v>45170</v>
      </c>
      <c r="D40" s="4" t="s">
        <v>77</v>
      </c>
      <c r="E40" s="2">
        <v>32143</v>
      </c>
      <c r="F40" s="1" t="s">
        <v>163</v>
      </c>
      <c r="G40" s="1" t="s">
        <v>197</v>
      </c>
      <c r="H40" s="1" t="s">
        <v>199</v>
      </c>
      <c r="I40" s="1" t="str">
        <f t="shared" si="6"/>
        <v>Singapore Changi Airport</v>
      </c>
      <c r="K40" s="4" t="str">
        <f>INDEX('ADD1'!$D$5:$D$27,MATCH(Master!R40,'ADD1'!$E$5:$E$27,0))</f>
        <v>Seri BegawanInternational Airport</v>
      </c>
      <c r="L40" s="1">
        <v>102</v>
      </c>
      <c r="M40" s="1" t="str">
        <f t="shared" si="13"/>
        <v>Monday</v>
      </c>
      <c r="N40" s="1">
        <f t="shared" si="14"/>
        <v>1</v>
      </c>
      <c r="O40" s="1" t="str">
        <f t="shared" si="15"/>
        <v>Monday</v>
      </c>
      <c r="P40" s="1">
        <f t="shared" si="16"/>
        <v>3</v>
      </c>
      <c r="Q40" s="6" t="s">
        <v>409</v>
      </c>
      <c r="R40" s="1" t="str">
        <f t="shared" si="7"/>
        <v>BWN</v>
      </c>
      <c r="S40" s="1" t="s">
        <v>330</v>
      </c>
      <c r="T40" s="11" t="str">
        <f>INDEX('ADD1'!$B$32:$B$53,MATCH(Master!S40,'ADD1'!$C$32:$C$53,0))</f>
        <v>Qatar Airways</v>
      </c>
      <c r="U40" s="74">
        <f t="shared" si="9"/>
        <v>50</v>
      </c>
      <c r="V40" s="77">
        <f t="shared" si="17"/>
        <v>582.02155486723893</v>
      </c>
      <c r="W40" s="78">
        <f t="shared" si="18"/>
        <v>8700000</v>
      </c>
      <c r="X40" s="78">
        <f t="shared" si="19"/>
        <v>4350000</v>
      </c>
      <c r="Y40" s="78">
        <f t="shared" si="8"/>
        <v>9570000</v>
      </c>
    </row>
    <row r="41" spans="2:25" ht="25" customHeight="1" x14ac:dyDescent="0.35">
      <c r="B41" s="1">
        <v>1237</v>
      </c>
      <c r="C41" s="2">
        <v>45170</v>
      </c>
      <c r="D41" s="4" t="s">
        <v>78</v>
      </c>
      <c r="E41" s="2">
        <v>36504</v>
      </c>
      <c r="F41" s="1" t="s">
        <v>163</v>
      </c>
      <c r="G41" s="1" t="s">
        <v>197</v>
      </c>
      <c r="H41" s="1" t="s">
        <v>198</v>
      </c>
      <c r="I41" s="1" t="str">
        <f t="shared" si="6"/>
        <v>Soekarno-Hatta Airport</v>
      </c>
      <c r="J41" s="4" t="str">
        <f>INDEX('ADD1'!$B$5:$B$27,MATCH(Master!R41,'ADD1'!$C$5:$C$27,0))</f>
        <v>Sultan Thaha, Jambi</v>
      </c>
      <c r="L41" s="1">
        <v>101</v>
      </c>
      <c r="M41" s="1" t="str">
        <f t="shared" si="13"/>
        <v>Sunday</v>
      </c>
      <c r="N41" s="1">
        <f t="shared" si="14"/>
        <v>9</v>
      </c>
      <c r="O41" s="1" t="str">
        <f t="shared" si="15"/>
        <v>Sunday</v>
      </c>
      <c r="P41" s="1">
        <f t="shared" si="16"/>
        <v>11</v>
      </c>
      <c r="Q41" s="6" t="s">
        <v>346</v>
      </c>
      <c r="R41" s="1" t="str">
        <f t="shared" si="7"/>
        <v>DJB</v>
      </c>
      <c r="S41" s="1" t="s">
        <v>319</v>
      </c>
      <c r="T41" s="11" t="str">
        <f>INDEX('ADD1'!$B$32:$B$53,MATCH(Master!S41,'ADD1'!$C$32:$C$53,0))</f>
        <v>Citilink</v>
      </c>
      <c r="U41" s="74">
        <f t="shared" si="9"/>
        <v>100</v>
      </c>
      <c r="V41" s="77">
        <f t="shared" si="17"/>
        <v>157.54721398992501</v>
      </c>
      <c r="W41" s="78">
        <f t="shared" si="18"/>
        <v>2355000</v>
      </c>
      <c r="Y41" s="78">
        <f t="shared" si="8"/>
        <v>2590500</v>
      </c>
    </row>
    <row r="42" spans="2:25" ht="25" customHeight="1" x14ac:dyDescent="0.35">
      <c r="B42" s="1">
        <v>1238</v>
      </c>
      <c r="C42" s="2">
        <v>45170</v>
      </c>
      <c r="D42" s="4" t="s">
        <v>79</v>
      </c>
      <c r="E42" s="1" t="s">
        <v>179</v>
      </c>
      <c r="F42" s="1" t="s">
        <v>162</v>
      </c>
      <c r="G42" s="1" t="s">
        <v>197</v>
      </c>
      <c r="H42" s="1" t="s">
        <v>198</v>
      </c>
      <c r="I42" s="1" t="str">
        <f t="shared" si="6"/>
        <v>Soekarno-Hatta Airport</v>
      </c>
      <c r="J42" s="4" t="str">
        <f>INDEX('ADD1'!$B$5:$B$27,MATCH(Master!R42,'ADD1'!$C$5:$C$27,0))</f>
        <v>Ngurah Rai, Denpasar Bali</v>
      </c>
      <c r="L42" s="1">
        <v>103</v>
      </c>
      <c r="M42" s="1" t="str">
        <f t="shared" si="13"/>
        <v>Tuesday</v>
      </c>
      <c r="N42" s="1">
        <f t="shared" si="14"/>
        <v>3</v>
      </c>
      <c r="O42" s="1" t="str">
        <f t="shared" si="15"/>
        <v>Tuesday</v>
      </c>
      <c r="P42" s="1">
        <f t="shared" si="16"/>
        <v>5</v>
      </c>
      <c r="Q42" s="6" t="s">
        <v>410</v>
      </c>
      <c r="R42" s="1" t="str">
        <f t="shared" si="7"/>
        <v>DPS</v>
      </c>
      <c r="S42" s="1" t="s">
        <v>317</v>
      </c>
      <c r="T42" s="11" t="str">
        <f>INDEX('ADD1'!$B$32:$B$53,MATCH(Master!S42,'ADD1'!$C$32:$C$53,0))</f>
        <v xml:space="preserve">Airfast </v>
      </c>
      <c r="U42" s="74">
        <f t="shared" si="9"/>
        <v>100</v>
      </c>
      <c r="V42" s="77">
        <f t="shared" si="17"/>
        <v>130.45310712541561</v>
      </c>
      <c r="W42" s="78">
        <f t="shared" si="18"/>
        <v>1950000</v>
      </c>
      <c r="Y42" s="78">
        <f t="shared" si="8"/>
        <v>2145000</v>
      </c>
    </row>
    <row r="43" spans="2:25" ht="25" customHeight="1" x14ac:dyDescent="0.35">
      <c r="B43" s="1">
        <v>1239</v>
      </c>
      <c r="C43" s="2">
        <v>45170</v>
      </c>
      <c r="D43" s="4" t="s">
        <v>80</v>
      </c>
      <c r="E43" s="1" t="s">
        <v>180</v>
      </c>
      <c r="F43" s="1" t="s">
        <v>162</v>
      </c>
      <c r="G43" s="1" t="s">
        <v>196</v>
      </c>
      <c r="H43" s="1" t="s">
        <v>198</v>
      </c>
      <c r="I43" s="1" t="str">
        <f t="shared" si="6"/>
        <v>Soekarno-Hatta Airport</v>
      </c>
      <c r="J43" s="4" t="str">
        <f>INDEX('ADD1'!$B$5:$B$27,MATCH(Master!R43,'ADD1'!$C$5:$C$27,0))</f>
        <v>Juanda, Surabaya</v>
      </c>
      <c r="L43" s="1">
        <v>107</v>
      </c>
      <c r="M43" s="1" t="str">
        <f t="shared" si="13"/>
        <v>Saturday</v>
      </c>
      <c r="N43" s="1">
        <f t="shared" si="14"/>
        <v>3</v>
      </c>
      <c r="O43" s="1" t="str">
        <f t="shared" si="15"/>
        <v>Saturday</v>
      </c>
      <c r="P43" s="1">
        <f t="shared" si="16"/>
        <v>5</v>
      </c>
      <c r="Q43" s="6" t="s">
        <v>347</v>
      </c>
      <c r="R43" s="1" t="str">
        <f t="shared" si="7"/>
        <v>SUB</v>
      </c>
      <c r="S43" s="1" t="s">
        <v>317</v>
      </c>
      <c r="T43" s="11" t="str">
        <f>INDEX('ADD1'!$B$32:$B$53,MATCH(Master!S43,'ADD1'!$C$32:$C$53,0))</f>
        <v xml:space="preserve">Airfast </v>
      </c>
      <c r="U43" s="74">
        <f t="shared" si="9"/>
        <v>100</v>
      </c>
      <c r="V43" s="77">
        <f t="shared" si="17"/>
        <v>130.45310712541561</v>
      </c>
      <c r="W43" s="78">
        <f t="shared" si="18"/>
        <v>1950000</v>
      </c>
      <c r="Y43" s="78">
        <f t="shared" si="8"/>
        <v>2145000</v>
      </c>
    </row>
    <row r="44" spans="2:25" ht="25" customHeight="1" x14ac:dyDescent="0.35">
      <c r="B44" s="1">
        <v>1240</v>
      </c>
      <c r="C44" s="2">
        <v>45170</v>
      </c>
      <c r="D44" s="4" t="s">
        <v>81</v>
      </c>
      <c r="E44" s="2">
        <v>36468</v>
      </c>
      <c r="F44" s="1" t="s">
        <v>162</v>
      </c>
      <c r="G44" s="1" t="s">
        <v>196</v>
      </c>
      <c r="H44" s="1" t="s">
        <v>198</v>
      </c>
      <c r="I44" s="1" t="str">
        <f t="shared" si="6"/>
        <v>Soekarno-Hatta Airport</v>
      </c>
      <c r="J44" s="4" t="str">
        <f>INDEX('ADD1'!$B$5:$B$27,MATCH(Master!R44,'ADD1'!$C$5:$C$27,0))</f>
        <v>Sultan Mahmud Badaruddin II, Palembang</v>
      </c>
      <c r="L44" s="1">
        <v>102</v>
      </c>
      <c r="M44" s="1" t="str">
        <f t="shared" si="13"/>
        <v>Monday</v>
      </c>
      <c r="N44" s="1">
        <f t="shared" si="14"/>
        <v>1</v>
      </c>
      <c r="O44" s="1" t="str">
        <f t="shared" si="15"/>
        <v>Monday</v>
      </c>
      <c r="P44" s="1">
        <f t="shared" si="16"/>
        <v>3</v>
      </c>
      <c r="Q44" s="6" t="s">
        <v>348</v>
      </c>
      <c r="R44" s="1" t="str">
        <f t="shared" si="7"/>
        <v>PLM</v>
      </c>
      <c r="S44" s="1" t="s">
        <v>321</v>
      </c>
      <c r="T44" s="11" t="str">
        <f>INDEX('ADD1'!$B$32:$B$53,MATCH(Master!S44,'ADD1'!$C$32:$C$53,0))</f>
        <v>Garuda Indonesia</v>
      </c>
      <c r="U44" s="74">
        <f t="shared" si="9"/>
        <v>100</v>
      </c>
      <c r="V44" s="77">
        <f t="shared" si="17"/>
        <v>147.17786444918684</v>
      </c>
      <c r="W44" s="78">
        <f t="shared" si="18"/>
        <v>2200000</v>
      </c>
      <c r="Y44" s="78">
        <f t="shared" si="8"/>
        <v>2420000</v>
      </c>
    </row>
    <row r="45" spans="2:25" ht="25" customHeight="1" x14ac:dyDescent="0.35">
      <c r="B45" s="1">
        <v>1241</v>
      </c>
      <c r="C45" s="2">
        <v>45200</v>
      </c>
      <c r="D45" s="4" t="s">
        <v>82</v>
      </c>
      <c r="E45" s="1" t="s">
        <v>181</v>
      </c>
      <c r="F45" s="1" t="s">
        <v>163</v>
      </c>
      <c r="G45" s="1" t="s">
        <v>196</v>
      </c>
      <c r="H45" s="1" t="s">
        <v>198</v>
      </c>
      <c r="I45" s="1" t="str">
        <f t="shared" si="6"/>
        <v>Soekarno-Hatta Airport</v>
      </c>
      <c r="J45" s="4" t="str">
        <f>INDEX('ADD1'!$B$5:$B$27,MATCH(Master!R45,'ADD1'!$C$5:$C$27,0))</f>
        <v>Juanda, Surabaya</v>
      </c>
      <c r="L45" s="1">
        <v>101</v>
      </c>
      <c r="M45" s="1" t="str">
        <f t="shared" si="13"/>
        <v>Sunday</v>
      </c>
      <c r="N45" s="1">
        <f t="shared" si="14"/>
        <v>9</v>
      </c>
      <c r="O45" s="1" t="str">
        <f t="shared" si="15"/>
        <v>Sunday</v>
      </c>
      <c r="P45" s="1">
        <f t="shared" si="16"/>
        <v>11</v>
      </c>
      <c r="Q45" s="6" t="s">
        <v>349</v>
      </c>
      <c r="R45" s="1" t="str">
        <f t="shared" si="7"/>
        <v>SUB</v>
      </c>
      <c r="S45" s="1" t="s">
        <v>326</v>
      </c>
      <c r="T45" s="11" t="str">
        <f>INDEX('ADD1'!$B$32:$B$53,MATCH(Master!S45,'ADD1'!$C$32:$C$53,0))</f>
        <v>Lion Air</v>
      </c>
      <c r="U45" s="74">
        <f t="shared" si="9"/>
        <v>100</v>
      </c>
      <c r="V45" s="77">
        <f t="shared" si="17"/>
        <v>130.45310712541561</v>
      </c>
      <c r="W45" s="78">
        <f t="shared" si="18"/>
        <v>1950000</v>
      </c>
      <c r="Y45" s="78">
        <f t="shared" si="8"/>
        <v>2145000</v>
      </c>
    </row>
    <row r="46" spans="2:25" ht="25" customHeight="1" x14ac:dyDescent="0.35">
      <c r="B46" s="1">
        <v>1242</v>
      </c>
      <c r="C46" s="2">
        <v>45200</v>
      </c>
      <c r="D46" s="4" t="s">
        <v>83</v>
      </c>
      <c r="E46" s="1" t="s">
        <v>182</v>
      </c>
      <c r="F46" s="1" t="s">
        <v>163</v>
      </c>
      <c r="G46" s="1" t="s">
        <v>196</v>
      </c>
      <c r="H46" s="1" t="s">
        <v>199</v>
      </c>
      <c r="I46" s="1" t="str">
        <f t="shared" si="6"/>
        <v>Singapore Changi Airport</v>
      </c>
      <c r="K46" s="4" t="str">
        <f>INDEX('ADD1'!$D$5:$D$27,MATCH(Master!R46,'ADD1'!$E$5:$E$27,0))</f>
        <v>Darwin International Airport</v>
      </c>
      <c r="L46" s="1">
        <v>104</v>
      </c>
      <c r="M46" s="1" t="str">
        <f t="shared" si="13"/>
        <v>Wednesday</v>
      </c>
      <c r="N46" s="1">
        <f t="shared" si="14"/>
        <v>7</v>
      </c>
      <c r="O46" s="1" t="str">
        <f t="shared" si="15"/>
        <v>Wednesday</v>
      </c>
      <c r="P46" s="1">
        <f t="shared" si="16"/>
        <v>9</v>
      </c>
      <c r="Q46" s="6" t="s">
        <v>390</v>
      </c>
      <c r="R46" s="1" t="str">
        <f t="shared" si="7"/>
        <v>DRW</v>
      </c>
      <c r="S46" s="1" t="s">
        <v>329</v>
      </c>
      <c r="T46" s="11" t="str">
        <f>INDEX('ADD1'!$B$32:$B$53,MATCH(Master!S46,'ADD1'!$C$32:$C$53,0))</f>
        <v xml:space="preserve">Emirates </v>
      </c>
      <c r="U46" s="74">
        <f t="shared" si="9"/>
        <v>50</v>
      </c>
      <c r="V46" s="77">
        <f t="shared" si="17"/>
        <v>705.784759063146</v>
      </c>
      <c r="W46" s="78">
        <f t="shared" si="18"/>
        <v>10550000</v>
      </c>
      <c r="X46" s="78">
        <f>W46*50%</f>
        <v>5275000</v>
      </c>
      <c r="Y46" s="78">
        <f t="shared" si="8"/>
        <v>11605000</v>
      </c>
    </row>
    <row r="47" spans="2:25" ht="25" customHeight="1" x14ac:dyDescent="0.35">
      <c r="B47" s="1">
        <v>1243</v>
      </c>
      <c r="C47" s="2">
        <v>45231</v>
      </c>
      <c r="D47" s="4" t="s">
        <v>84</v>
      </c>
      <c r="E47" s="1" t="s">
        <v>183</v>
      </c>
      <c r="F47" s="1" t="s">
        <v>163</v>
      </c>
      <c r="G47" s="1" t="s">
        <v>196</v>
      </c>
      <c r="H47" s="1" t="s">
        <v>199</v>
      </c>
      <c r="I47" s="1" t="str">
        <f t="shared" si="6"/>
        <v>Singapore Changi Airport</v>
      </c>
      <c r="K47" s="4" t="str">
        <f>INDEX('ADD1'!$D$5:$D$27,MATCH(Master!R47,'ADD1'!$E$5:$E$27,0))</f>
        <v>Adelaide International Airport</v>
      </c>
      <c r="L47" s="1">
        <v>106</v>
      </c>
      <c r="M47" s="1" t="str">
        <f t="shared" si="13"/>
        <v>Friday</v>
      </c>
      <c r="N47" s="1">
        <f t="shared" si="14"/>
        <v>12</v>
      </c>
      <c r="O47" s="1" t="str">
        <f t="shared" si="15"/>
        <v>Friday</v>
      </c>
      <c r="P47" s="1">
        <f t="shared" si="16"/>
        <v>14</v>
      </c>
      <c r="Q47" s="6" t="s">
        <v>391</v>
      </c>
      <c r="R47" s="1" t="str">
        <f t="shared" si="7"/>
        <v>ADL</v>
      </c>
      <c r="S47" s="1" t="s">
        <v>329</v>
      </c>
      <c r="T47" s="11" t="str">
        <f>INDEX('ADD1'!$B$32:$B$53,MATCH(Master!S47,'ADD1'!$C$32:$C$53,0))</f>
        <v xml:space="preserve">Emirates </v>
      </c>
      <c r="U47" s="74">
        <f t="shared" si="9"/>
        <v>50</v>
      </c>
      <c r="V47" s="77">
        <f t="shared" si="17"/>
        <v>786.0635942172479</v>
      </c>
      <c r="W47" s="78">
        <f t="shared" si="18"/>
        <v>11750000</v>
      </c>
      <c r="X47" s="78">
        <f t="shared" ref="X47:X59" si="20">W47*50%</f>
        <v>5875000</v>
      </c>
      <c r="Y47" s="78">
        <f t="shared" si="8"/>
        <v>12925000</v>
      </c>
    </row>
    <row r="48" spans="2:25" ht="25" customHeight="1" x14ac:dyDescent="0.35">
      <c r="B48" s="1">
        <v>1244</v>
      </c>
      <c r="C48" s="2">
        <v>45231</v>
      </c>
      <c r="D48" s="4" t="s">
        <v>85</v>
      </c>
      <c r="E48" s="1" t="s">
        <v>184</v>
      </c>
      <c r="F48" s="1" t="s">
        <v>162</v>
      </c>
      <c r="G48" s="1" t="s">
        <v>196</v>
      </c>
      <c r="H48" s="1" t="s">
        <v>199</v>
      </c>
      <c r="I48" s="1" t="str">
        <f t="shared" si="6"/>
        <v>Singapore Changi Airport</v>
      </c>
      <c r="K48" s="4" t="str">
        <f>INDEX('ADD1'!$D$5:$D$27,MATCH(Master!R48,'ADD1'!$E$5:$E$27,0))</f>
        <v>Istanbul Turkey International Airport</v>
      </c>
      <c r="L48" s="1">
        <v>103</v>
      </c>
      <c r="M48" s="1" t="str">
        <f t="shared" si="13"/>
        <v>Tuesday</v>
      </c>
      <c r="N48" s="1">
        <f t="shared" si="14"/>
        <v>3</v>
      </c>
      <c r="O48" s="1" t="str">
        <f t="shared" si="15"/>
        <v>Tuesday</v>
      </c>
      <c r="P48" s="1">
        <f t="shared" si="16"/>
        <v>5</v>
      </c>
      <c r="Q48" s="6" t="s">
        <v>392</v>
      </c>
      <c r="R48" s="1" t="str">
        <f t="shared" si="7"/>
        <v>IST</v>
      </c>
      <c r="S48" s="1" t="s">
        <v>332</v>
      </c>
      <c r="T48" s="11" t="str">
        <f>INDEX('ADD1'!$B$32:$B$53,MATCH(Master!S48,'ADD1'!$C$32:$C$53,0))</f>
        <v>Turkish Airlines</v>
      </c>
      <c r="U48" s="74">
        <f t="shared" si="9"/>
        <v>50</v>
      </c>
      <c r="V48" s="77">
        <f t="shared" si="17"/>
        <v>772.68378835823091</v>
      </c>
      <c r="W48" s="78">
        <f t="shared" si="18"/>
        <v>11550000</v>
      </c>
      <c r="X48" s="78">
        <f t="shared" si="20"/>
        <v>5775000</v>
      </c>
      <c r="Y48" s="78">
        <f t="shared" si="8"/>
        <v>12705000</v>
      </c>
    </row>
    <row r="49" spans="2:25" ht="25" customHeight="1" x14ac:dyDescent="0.35">
      <c r="B49" s="1">
        <v>1245</v>
      </c>
      <c r="C49" s="2">
        <v>45231</v>
      </c>
      <c r="D49" s="4" t="s">
        <v>86</v>
      </c>
      <c r="E49" s="1" t="s">
        <v>185</v>
      </c>
      <c r="F49" s="1" t="s">
        <v>162</v>
      </c>
      <c r="G49" s="1" t="s">
        <v>196</v>
      </c>
      <c r="H49" s="1" t="s">
        <v>199</v>
      </c>
      <c r="I49" s="1" t="str">
        <f t="shared" si="6"/>
        <v>Singapore Changi Airport</v>
      </c>
      <c r="K49" s="4" t="str">
        <f>INDEX('ADD1'!$D$5:$D$27,MATCH(Master!R49,'ADD1'!$E$5:$E$27,0))</f>
        <v>Suvarnabhumi International Airport</v>
      </c>
      <c r="L49" s="1">
        <v>105</v>
      </c>
      <c r="M49" s="1" t="str">
        <f t="shared" si="13"/>
        <v>Thursday</v>
      </c>
      <c r="N49" s="1">
        <f t="shared" si="14"/>
        <v>9</v>
      </c>
      <c r="O49" s="1" t="str">
        <f t="shared" si="15"/>
        <v>Thursday</v>
      </c>
      <c r="P49" s="1">
        <f t="shared" si="16"/>
        <v>11</v>
      </c>
      <c r="Q49" s="6" t="s">
        <v>393</v>
      </c>
      <c r="R49" s="1" t="str">
        <f t="shared" si="7"/>
        <v>BKK</v>
      </c>
      <c r="S49" s="1" t="s">
        <v>337</v>
      </c>
      <c r="T49" s="11" t="str">
        <f>INDEX('ADD1'!$B$32:$B$53,MATCH(Master!S49,'ADD1'!$C$32:$C$53,0))</f>
        <v>Thai Airways International Airlines</v>
      </c>
      <c r="U49" s="74">
        <f t="shared" si="9"/>
        <v>50</v>
      </c>
      <c r="V49" s="77">
        <f t="shared" si="17"/>
        <v>170.59252470246656</v>
      </c>
      <c r="W49" s="78">
        <f t="shared" si="18"/>
        <v>2550000</v>
      </c>
      <c r="X49" s="78">
        <f t="shared" si="20"/>
        <v>1275000</v>
      </c>
      <c r="Y49" s="78">
        <f t="shared" si="8"/>
        <v>2805000</v>
      </c>
    </row>
    <row r="50" spans="2:25" ht="25" customHeight="1" x14ac:dyDescent="0.35">
      <c r="B50" s="1">
        <v>1246</v>
      </c>
      <c r="C50" s="2">
        <v>45231</v>
      </c>
      <c r="D50" s="4" t="s">
        <v>87</v>
      </c>
      <c r="E50" s="1" t="s">
        <v>172</v>
      </c>
      <c r="F50" s="1" t="s">
        <v>163</v>
      </c>
      <c r="G50" s="1" t="s">
        <v>196</v>
      </c>
      <c r="H50" s="1" t="s">
        <v>199</v>
      </c>
      <c r="I50" s="1" t="str">
        <f t="shared" si="6"/>
        <v>Singapore Changi Airport</v>
      </c>
      <c r="K50" s="4" t="str">
        <f>INDEX('ADD1'!$D$5:$D$27,MATCH(Master!R50,'ADD1'!$E$5:$E$27,0))</f>
        <v>Suvarnabhumi International Airport</v>
      </c>
      <c r="L50" s="1">
        <v>106</v>
      </c>
      <c r="M50" s="1" t="str">
        <f t="shared" si="13"/>
        <v>Friday</v>
      </c>
      <c r="N50" s="1">
        <f t="shared" si="14"/>
        <v>12</v>
      </c>
      <c r="O50" s="1" t="str">
        <f t="shared" si="15"/>
        <v>Friday</v>
      </c>
      <c r="P50" s="1">
        <f t="shared" si="16"/>
        <v>14</v>
      </c>
      <c r="Q50" s="6" t="s">
        <v>394</v>
      </c>
      <c r="R50" s="1" t="str">
        <f t="shared" si="7"/>
        <v>BKK</v>
      </c>
      <c r="S50" s="1" t="s">
        <v>328</v>
      </c>
      <c r="T50" s="11" t="str">
        <f>INDEX('ADD1'!$B$32:$B$53,MATCH(Master!S50,'ADD1'!$C$32:$C$53,0))</f>
        <v>Singapore Airlines</v>
      </c>
      <c r="U50" s="74">
        <f t="shared" si="9"/>
        <v>50</v>
      </c>
      <c r="V50" s="77">
        <f t="shared" si="17"/>
        <v>170.59252470246656</v>
      </c>
      <c r="W50" s="78">
        <f t="shared" si="18"/>
        <v>2550000</v>
      </c>
      <c r="X50" s="78">
        <f t="shared" si="20"/>
        <v>1275000</v>
      </c>
      <c r="Y50" s="78">
        <f t="shared" si="8"/>
        <v>2805000</v>
      </c>
    </row>
    <row r="51" spans="2:25" ht="25" customHeight="1" x14ac:dyDescent="0.35">
      <c r="B51" s="1">
        <v>1247</v>
      </c>
      <c r="C51" s="2">
        <v>45231</v>
      </c>
      <c r="D51" s="4" t="s">
        <v>88</v>
      </c>
      <c r="E51" s="2">
        <v>36348</v>
      </c>
      <c r="F51" s="1" t="s">
        <v>163</v>
      </c>
      <c r="G51" s="1" t="s">
        <v>196</v>
      </c>
      <c r="H51" s="1" t="s">
        <v>199</v>
      </c>
      <c r="I51" s="1" t="str">
        <f t="shared" si="6"/>
        <v>Singapore Changi Airport</v>
      </c>
      <c r="K51" s="4" t="str">
        <f>INDEX('ADD1'!$D$5:$D$27,MATCH(Master!R51,'ADD1'!$E$5:$E$27,0))</f>
        <v>Hanoi International Airport</v>
      </c>
      <c r="L51" s="1">
        <v>104</v>
      </c>
      <c r="M51" s="1" t="str">
        <f t="shared" si="13"/>
        <v>Wednesday</v>
      </c>
      <c r="N51" s="1">
        <f t="shared" si="14"/>
        <v>7</v>
      </c>
      <c r="O51" s="1" t="str">
        <f t="shared" si="15"/>
        <v>Wednesday</v>
      </c>
      <c r="P51" s="1">
        <f t="shared" si="16"/>
        <v>9</v>
      </c>
      <c r="Q51" s="6" t="s">
        <v>395</v>
      </c>
      <c r="R51" s="1" t="str">
        <f t="shared" si="7"/>
        <v>HAN</v>
      </c>
      <c r="S51" s="1" t="s">
        <v>331</v>
      </c>
      <c r="T51" s="11" t="str">
        <f>INDEX('ADD1'!$B$32:$B$53,MATCH(Master!S51,'ADD1'!$C$32:$C$53,0))</f>
        <v>All Nippon Airways</v>
      </c>
      <c r="U51" s="74">
        <f t="shared" si="9"/>
        <v>50</v>
      </c>
      <c r="V51" s="77">
        <f t="shared" si="17"/>
        <v>638.88572976806108</v>
      </c>
      <c r="W51" s="78">
        <f t="shared" si="18"/>
        <v>9550000</v>
      </c>
      <c r="X51" s="78">
        <f t="shared" si="20"/>
        <v>4775000</v>
      </c>
      <c r="Y51" s="78">
        <f t="shared" si="8"/>
        <v>10505000</v>
      </c>
    </row>
    <row r="52" spans="2:25" ht="25" customHeight="1" x14ac:dyDescent="0.35">
      <c r="B52" s="1">
        <v>1248</v>
      </c>
      <c r="C52" s="2">
        <v>45231</v>
      </c>
      <c r="D52" s="4" t="s">
        <v>89</v>
      </c>
      <c r="E52" s="1" t="s">
        <v>173</v>
      </c>
      <c r="F52" s="1" t="s">
        <v>163</v>
      </c>
      <c r="G52" s="1" t="s">
        <v>196</v>
      </c>
      <c r="H52" s="1" t="s">
        <v>199</v>
      </c>
      <c r="I52" s="1" t="str">
        <f t="shared" si="6"/>
        <v>Singapore Changi Airport</v>
      </c>
      <c r="K52" s="4" t="str">
        <f>INDEX('ADD1'!$D$5:$D$27,MATCH(Master!R52,'ADD1'!$E$5:$E$27,0))</f>
        <v>Kuala Lumpur International Airport</v>
      </c>
      <c r="L52" s="1">
        <v>103</v>
      </c>
      <c r="M52" s="1" t="str">
        <f t="shared" si="13"/>
        <v>Tuesday</v>
      </c>
      <c r="N52" s="1">
        <f t="shared" si="14"/>
        <v>3</v>
      </c>
      <c r="O52" s="1" t="str">
        <f t="shared" si="15"/>
        <v>Tuesday</v>
      </c>
      <c r="P52" s="1">
        <f t="shared" si="16"/>
        <v>5</v>
      </c>
      <c r="Q52" s="5" t="s">
        <v>398</v>
      </c>
      <c r="R52" s="1" t="str">
        <f t="shared" si="7"/>
        <v>KUL</v>
      </c>
      <c r="S52" s="1" t="s">
        <v>328</v>
      </c>
      <c r="T52" s="11" t="str">
        <f>INDEX('ADD1'!$B$32:$B$53,MATCH(Master!S52,'ADD1'!$C$32:$C$53,0))</f>
        <v>Singapore Airlines</v>
      </c>
      <c r="U52" s="74">
        <f t="shared" si="9"/>
        <v>50</v>
      </c>
      <c r="V52" s="77">
        <f t="shared" si="17"/>
        <v>187.31728202623779</v>
      </c>
      <c r="W52" s="78">
        <f t="shared" si="18"/>
        <v>2800000</v>
      </c>
      <c r="X52" s="78">
        <f t="shared" si="20"/>
        <v>1400000</v>
      </c>
      <c r="Y52" s="78">
        <f t="shared" si="8"/>
        <v>3080000</v>
      </c>
    </row>
    <row r="53" spans="2:25" ht="25" customHeight="1" x14ac:dyDescent="0.35">
      <c r="B53" s="1">
        <v>1249</v>
      </c>
      <c r="C53" s="2">
        <v>45231</v>
      </c>
      <c r="D53" s="4" t="s">
        <v>90</v>
      </c>
      <c r="E53" s="1" t="s">
        <v>174</v>
      </c>
      <c r="F53" s="1" t="s">
        <v>162</v>
      </c>
      <c r="G53" s="1" t="s">
        <v>196</v>
      </c>
      <c r="H53" s="1" t="s">
        <v>199</v>
      </c>
      <c r="I53" s="1" t="str">
        <f t="shared" si="6"/>
        <v>Singapore Changi Airport</v>
      </c>
      <c r="K53" s="4" t="str">
        <f>INDEX('ADD1'!$D$5:$D$27,MATCH(Master!R53,'ADD1'!$E$5:$E$27,0))</f>
        <v>Narita Tokyo International Airport</v>
      </c>
      <c r="L53" s="1">
        <v>107</v>
      </c>
      <c r="M53" s="1" t="str">
        <f t="shared" si="13"/>
        <v>Saturday</v>
      </c>
      <c r="N53" s="1">
        <f t="shared" si="14"/>
        <v>3</v>
      </c>
      <c r="O53" s="1" t="str">
        <f t="shared" si="15"/>
        <v>Saturday</v>
      </c>
      <c r="P53" s="1">
        <f t="shared" si="16"/>
        <v>5</v>
      </c>
      <c r="Q53" s="5" t="s">
        <v>399</v>
      </c>
      <c r="R53" s="1" t="str">
        <f t="shared" si="7"/>
        <v>NRT</v>
      </c>
      <c r="S53" s="1" t="s">
        <v>334</v>
      </c>
      <c r="T53" s="11" t="str">
        <f>INDEX('ADD1'!$B$32:$B$53,MATCH(Master!S53,'ADD1'!$C$32:$C$53,0))</f>
        <v>Saudia Airlines</v>
      </c>
      <c r="U53" s="74">
        <f t="shared" si="9"/>
        <v>50</v>
      </c>
      <c r="V53" s="77">
        <f t="shared" si="17"/>
        <v>551.91699168445064</v>
      </c>
      <c r="W53" s="78">
        <f t="shared" si="18"/>
        <v>8250000</v>
      </c>
      <c r="X53" s="78">
        <f t="shared" si="20"/>
        <v>4125000</v>
      </c>
      <c r="Y53" s="78">
        <f t="shared" si="8"/>
        <v>9075000</v>
      </c>
    </row>
    <row r="54" spans="2:25" ht="25" customHeight="1" x14ac:dyDescent="0.35">
      <c r="B54" s="1">
        <v>1250</v>
      </c>
      <c r="C54" s="2">
        <v>45261</v>
      </c>
      <c r="D54" s="4" t="s">
        <v>91</v>
      </c>
      <c r="E54" s="1" t="s">
        <v>186</v>
      </c>
      <c r="F54" s="1" t="s">
        <v>163</v>
      </c>
      <c r="G54" s="1" t="s">
        <v>196</v>
      </c>
      <c r="H54" s="1" t="s">
        <v>199</v>
      </c>
      <c r="I54" s="1" t="str">
        <f t="shared" si="6"/>
        <v>Singapore Changi Airport</v>
      </c>
      <c r="K54" s="4" t="str">
        <f>INDEX('ADD1'!$D$5:$D$27,MATCH(Master!R54,'ADD1'!$E$5:$E$27,0))</f>
        <v>Osaka Japan International Airport</v>
      </c>
      <c r="L54" s="1">
        <v>104</v>
      </c>
      <c r="M54" s="1" t="str">
        <f t="shared" si="13"/>
        <v>Wednesday</v>
      </c>
      <c r="N54" s="1">
        <f t="shared" si="14"/>
        <v>7</v>
      </c>
      <c r="O54" s="1" t="str">
        <f t="shared" si="15"/>
        <v>Wednesday</v>
      </c>
      <c r="P54" s="1">
        <f t="shared" si="16"/>
        <v>9</v>
      </c>
      <c r="Q54" s="5" t="s">
        <v>400</v>
      </c>
      <c r="R54" s="1" t="str">
        <f t="shared" si="7"/>
        <v>KIX</v>
      </c>
      <c r="S54" s="1" t="s">
        <v>334</v>
      </c>
      <c r="T54" s="11" t="str">
        <f>INDEX('ADD1'!$B$32:$B$53,MATCH(Master!S54,'ADD1'!$C$32:$C$53,0))</f>
        <v>Saudia Airlines</v>
      </c>
      <c r="U54" s="74">
        <f t="shared" si="9"/>
        <v>50</v>
      </c>
      <c r="V54" s="77">
        <f t="shared" si="17"/>
        <v>919.86165280741784</v>
      </c>
      <c r="W54" s="78">
        <f t="shared" si="18"/>
        <v>13750000</v>
      </c>
      <c r="X54" s="78">
        <f t="shared" si="20"/>
        <v>6875000</v>
      </c>
      <c r="Y54" s="78">
        <f t="shared" si="8"/>
        <v>15125000</v>
      </c>
    </row>
    <row r="55" spans="2:25" ht="25" customHeight="1" x14ac:dyDescent="0.35">
      <c r="B55" s="1">
        <v>1251</v>
      </c>
      <c r="C55" s="2">
        <v>45261</v>
      </c>
      <c r="D55" s="4" t="s">
        <v>92</v>
      </c>
      <c r="E55" s="1" t="s">
        <v>187</v>
      </c>
      <c r="F55" s="1" t="s">
        <v>163</v>
      </c>
      <c r="G55" s="1" t="s">
        <v>196</v>
      </c>
      <c r="H55" s="1" t="s">
        <v>199</v>
      </c>
      <c r="I55" s="1" t="str">
        <f t="shared" si="6"/>
        <v>Singapore Changi Airport</v>
      </c>
      <c r="K55" s="4" t="str">
        <f>INDEX('ADD1'!$D$5:$D$27,MATCH(Master!R55,'ADD1'!$E$5:$E$27,0))</f>
        <v>Baiyun International Airport</v>
      </c>
      <c r="L55" s="1">
        <v>105</v>
      </c>
      <c r="M55" s="1" t="str">
        <f t="shared" si="13"/>
        <v>Thursday</v>
      </c>
      <c r="N55" s="1">
        <f t="shared" si="14"/>
        <v>9</v>
      </c>
      <c r="O55" s="1" t="str">
        <f t="shared" si="15"/>
        <v>Thursday</v>
      </c>
      <c r="P55" s="1">
        <f t="shared" si="16"/>
        <v>11</v>
      </c>
      <c r="Q55" s="5" t="s">
        <v>401</v>
      </c>
      <c r="R55" s="1" t="str">
        <f t="shared" si="7"/>
        <v>CAN</v>
      </c>
      <c r="S55" s="1" t="s">
        <v>335</v>
      </c>
      <c r="T55" s="11" t="str">
        <f>INDEX('ADD1'!$B$32:$B$53,MATCH(Master!S55,'ADD1'!$C$32:$C$53,0))</f>
        <v>Air France Airlines</v>
      </c>
      <c r="U55" s="74">
        <f t="shared" si="9"/>
        <v>50</v>
      </c>
      <c r="V55" s="77">
        <f t="shared" si="17"/>
        <v>658.95543855658661</v>
      </c>
      <c r="W55" s="78">
        <f t="shared" si="18"/>
        <v>9850000</v>
      </c>
      <c r="X55" s="78">
        <f t="shared" si="20"/>
        <v>4925000</v>
      </c>
      <c r="Y55" s="78">
        <f t="shared" si="8"/>
        <v>10835000</v>
      </c>
    </row>
    <row r="56" spans="2:25" ht="25" customHeight="1" x14ac:dyDescent="0.35">
      <c r="B56" s="1">
        <v>1252</v>
      </c>
      <c r="C56" s="2">
        <v>45261</v>
      </c>
      <c r="D56" s="4" t="s">
        <v>93</v>
      </c>
      <c r="E56" s="1" t="s">
        <v>188</v>
      </c>
      <c r="F56" s="1" t="s">
        <v>163</v>
      </c>
      <c r="G56" s="1" t="s">
        <v>196</v>
      </c>
      <c r="H56" s="1" t="s">
        <v>199</v>
      </c>
      <c r="I56" s="1" t="str">
        <f t="shared" si="6"/>
        <v>Singapore Changi Airport</v>
      </c>
      <c r="K56" s="4" t="str">
        <f>INDEX('ADD1'!$D$5:$D$27,MATCH(Master!R56,'ADD1'!$E$5:$E$27,0))</f>
        <v>Zurich International Airport</v>
      </c>
      <c r="L56" s="1">
        <v>102</v>
      </c>
      <c r="M56" s="1" t="str">
        <f t="shared" si="13"/>
        <v>Monday</v>
      </c>
      <c r="N56" s="1">
        <f t="shared" si="14"/>
        <v>1</v>
      </c>
      <c r="O56" s="1" t="str">
        <f t="shared" si="15"/>
        <v>Monday</v>
      </c>
      <c r="P56" s="1">
        <f t="shared" si="16"/>
        <v>3</v>
      </c>
      <c r="Q56" s="5" t="s">
        <v>402</v>
      </c>
      <c r="R56" s="1" t="str">
        <f t="shared" si="7"/>
        <v>ZRH</v>
      </c>
      <c r="S56" s="1" t="s">
        <v>332</v>
      </c>
      <c r="T56" s="11" t="str">
        <f>INDEX('ADD1'!$B$32:$B$53,MATCH(Master!S56,'ADD1'!$C$32:$C$53,0))</f>
        <v>Turkish Airlines</v>
      </c>
      <c r="U56" s="74">
        <f t="shared" si="9"/>
        <v>50</v>
      </c>
      <c r="V56" s="77">
        <f t="shared" si="17"/>
        <v>699.429351280113</v>
      </c>
      <c r="W56" s="78">
        <f t="shared" si="18"/>
        <v>10455000</v>
      </c>
      <c r="X56" s="78">
        <f t="shared" si="20"/>
        <v>5227500</v>
      </c>
      <c r="Y56" s="78">
        <f t="shared" si="8"/>
        <v>11500500</v>
      </c>
    </row>
    <row r="57" spans="2:25" ht="25" customHeight="1" x14ac:dyDescent="0.35">
      <c r="B57" s="1">
        <v>1253</v>
      </c>
      <c r="C57" s="2" t="s">
        <v>19</v>
      </c>
      <c r="D57" s="4" t="s">
        <v>94</v>
      </c>
      <c r="E57" s="1" t="s">
        <v>176</v>
      </c>
      <c r="F57" s="1" t="s">
        <v>163</v>
      </c>
      <c r="G57" s="1" t="s">
        <v>196</v>
      </c>
      <c r="H57" s="1" t="s">
        <v>199</v>
      </c>
      <c r="I57" s="1" t="str">
        <f t="shared" si="6"/>
        <v>Singapore Changi Airport</v>
      </c>
      <c r="K57" s="4" t="str">
        <f>INDEX('ADD1'!$D$5:$D$27,MATCH(Master!R57,'ADD1'!$E$5:$E$27,0))</f>
        <v>Brisbane International Airport</v>
      </c>
      <c r="L57" s="1">
        <v>105</v>
      </c>
      <c r="M57" s="1" t="str">
        <f t="shared" si="13"/>
        <v>Thursday</v>
      </c>
      <c r="N57" s="1">
        <f t="shared" si="14"/>
        <v>9</v>
      </c>
      <c r="O57" s="1" t="str">
        <f t="shared" si="15"/>
        <v>Thursday</v>
      </c>
      <c r="P57" s="1">
        <f t="shared" si="16"/>
        <v>11</v>
      </c>
      <c r="Q57" s="5" t="s">
        <v>403</v>
      </c>
      <c r="R57" s="1" t="str">
        <f t="shared" si="7"/>
        <v>BNE</v>
      </c>
      <c r="S57" s="1" t="s">
        <v>330</v>
      </c>
      <c r="T57" s="11" t="str">
        <f>INDEX('ADD1'!$B$32:$B$53,MATCH(Master!S57,'ADD1'!$C$32:$C$53,0))</f>
        <v>Qatar Airways</v>
      </c>
      <c r="U57" s="74">
        <f t="shared" si="9"/>
        <v>50</v>
      </c>
      <c r="V57" s="77">
        <f t="shared" si="17"/>
        <v>692.40495320412901</v>
      </c>
      <c r="W57" s="78">
        <f t="shared" si="18"/>
        <v>10350000</v>
      </c>
      <c r="X57" s="78">
        <f t="shared" si="20"/>
        <v>5175000</v>
      </c>
      <c r="Y57" s="78">
        <f t="shared" si="8"/>
        <v>11385000</v>
      </c>
    </row>
    <row r="58" spans="2:25" ht="25" customHeight="1" x14ac:dyDescent="0.35">
      <c r="B58" s="1">
        <v>1254</v>
      </c>
      <c r="C58" s="1" t="s">
        <v>18</v>
      </c>
      <c r="D58" s="4" t="s">
        <v>95</v>
      </c>
      <c r="E58" s="2">
        <v>35737</v>
      </c>
      <c r="F58" s="1" t="s">
        <v>163</v>
      </c>
      <c r="G58" s="1" t="s">
        <v>197</v>
      </c>
      <c r="H58" s="1" t="s">
        <v>199</v>
      </c>
      <c r="I58" s="1" t="str">
        <f t="shared" si="6"/>
        <v>Singapore Changi Airport</v>
      </c>
      <c r="K58" s="4" t="str">
        <f>INDEX('ADD1'!$D$5:$D$27,MATCH(Master!R58,'ADD1'!$E$5:$E$27,0))</f>
        <v>Darwin International Airport</v>
      </c>
      <c r="L58" s="1">
        <v>102</v>
      </c>
      <c r="M58" s="1" t="str">
        <f t="shared" si="13"/>
        <v>Monday</v>
      </c>
      <c r="N58" s="1">
        <f t="shared" si="14"/>
        <v>1</v>
      </c>
      <c r="O58" s="1" t="str">
        <f t="shared" si="15"/>
        <v>Monday</v>
      </c>
      <c r="P58" s="1">
        <f t="shared" si="16"/>
        <v>3</v>
      </c>
      <c r="Q58" s="5" t="s">
        <v>404</v>
      </c>
      <c r="R58" s="1" t="str">
        <f t="shared" si="7"/>
        <v>DRW</v>
      </c>
      <c r="S58" s="1" t="s">
        <v>329</v>
      </c>
      <c r="T58" s="11" t="str">
        <f>INDEX('ADD1'!$B$32:$B$53,MATCH(Master!S58,'ADD1'!$C$32:$C$53,0))</f>
        <v xml:space="preserve">Emirates </v>
      </c>
      <c r="U58" s="74">
        <f t="shared" si="9"/>
        <v>50</v>
      </c>
      <c r="V58" s="77">
        <f t="shared" si="17"/>
        <v>705.784759063146</v>
      </c>
      <c r="W58" s="78">
        <f t="shared" si="18"/>
        <v>10550000</v>
      </c>
      <c r="X58" s="78">
        <f t="shared" si="20"/>
        <v>5275000</v>
      </c>
      <c r="Y58" s="78">
        <f t="shared" si="8"/>
        <v>11605000</v>
      </c>
    </row>
    <row r="59" spans="2:25" ht="25" customHeight="1" x14ac:dyDescent="0.35">
      <c r="B59" s="1">
        <v>1255</v>
      </c>
      <c r="C59" s="1" t="s">
        <v>18</v>
      </c>
      <c r="D59" s="4" t="s">
        <v>96</v>
      </c>
      <c r="E59" s="2">
        <v>35771</v>
      </c>
      <c r="F59" s="1" t="s">
        <v>162</v>
      </c>
      <c r="G59" s="1" t="s">
        <v>197</v>
      </c>
      <c r="H59" s="1" t="s">
        <v>199</v>
      </c>
      <c r="I59" s="1" t="str">
        <f t="shared" si="6"/>
        <v>Singapore Changi Airport</v>
      </c>
      <c r="K59" s="4" t="str">
        <f>INDEX('ADD1'!$D$5:$D$27,MATCH(Master!R59,'ADD1'!$E$5:$E$27,0))</f>
        <v>Schiphol International Airport</v>
      </c>
      <c r="L59" s="1">
        <v>105</v>
      </c>
      <c r="M59" s="1" t="str">
        <f t="shared" si="13"/>
        <v>Thursday</v>
      </c>
      <c r="N59" s="1">
        <f t="shared" si="14"/>
        <v>9</v>
      </c>
      <c r="O59" s="1" t="str">
        <f t="shared" si="15"/>
        <v>Thursday</v>
      </c>
      <c r="P59" s="1">
        <f t="shared" si="16"/>
        <v>11</v>
      </c>
      <c r="Q59" s="5" t="s">
        <v>405</v>
      </c>
      <c r="R59" s="1" t="str">
        <f t="shared" si="7"/>
        <v>AMS</v>
      </c>
      <c r="S59" s="1" t="s">
        <v>336</v>
      </c>
      <c r="T59" s="11" t="str">
        <f>INDEX('ADD1'!$B$32:$B$53,MATCH(Master!S59,'ADD1'!$C$32:$C$53,0))</f>
        <v>Cathay Pacific Airlines</v>
      </c>
      <c r="U59" s="74">
        <f t="shared" si="9"/>
        <v>50</v>
      </c>
      <c r="V59" s="77">
        <f t="shared" si="17"/>
        <v>839.91731279979126</v>
      </c>
      <c r="W59" s="78">
        <f t="shared" si="18"/>
        <v>12555000</v>
      </c>
      <c r="X59" s="78">
        <f t="shared" si="20"/>
        <v>6277500</v>
      </c>
      <c r="Y59" s="78">
        <f t="shared" si="8"/>
        <v>13810500</v>
      </c>
    </row>
    <row r="60" spans="2:25" ht="25" customHeight="1" x14ac:dyDescent="0.35">
      <c r="B60" s="1">
        <v>1256</v>
      </c>
      <c r="C60" s="1" t="s">
        <v>18</v>
      </c>
      <c r="D60" s="4" t="s">
        <v>97</v>
      </c>
      <c r="E60" s="2">
        <v>31599</v>
      </c>
      <c r="F60" s="1" t="s">
        <v>162</v>
      </c>
      <c r="G60" s="1" t="s">
        <v>197</v>
      </c>
      <c r="H60" s="1" t="s">
        <v>198</v>
      </c>
      <c r="I60" s="1" t="str">
        <f t="shared" si="6"/>
        <v>Soekarno-Hatta Airport</v>
      </c>
      <c r="J60" s="4" t="str">
        <f>INDEX('ADD1'!$B$5:$B$27,MATCH(Master!R60,'ADD1'!$C$5:$C$27,0))</f>
        <v>Pattimura, Ambon</v>
      </c>
      <c r="L60" s="1">
        <v>104</v>
      </c>
      <c r="M60" s="1" t="str">
        <f t="shared" si="13"/>
        <v>Wednesday</v>
      </c>
      <c r="N60" s="1">
        <f t="shared" si="14"/>
        <v>7</v>
      </c>
      <c r="O60" s="1" t="str">
        <f t="shared" si="15"/>
        <v>Wednesday</v>
      </c>
      <c r="P60" s="1">
        <f t="shared" si="16"/>
        <v>9</v>
      </c>
      <c r="Q60" s="6" t="s">
        <v>366</v>
      </c>
      <c r="R60" s="1" t="str">
        <f t="shared" si="7"/>
        <v>AMQ</v>
      </c>
      <c r="S60" s="1" t="s">
        <v>326</v>
      </c>
      <c r="T60" s="11" t="str">
        <f>INDEX('ADD1'!$B$32:$B$53,MATCH(Master!S60,'ADD1'!$C$32:$C$53,0))</f>
        <v>Lion Air</v>
      </c>
      <c r="U60" s="74">
        <f t="shared" si="9"/>
        <v>100</v>
      </c>
      <c r="V60" s="77">
        <f t="shared" si="17"/>
        <v>250.87135985656849</v>
      </c>
      <c r="W60" s="78">
        <f t="shared" si="18"/>
        <v>3750000</v>
      </c>
      <c r="Y60" s="78">
        <f t="shared" si="8"/>
        <v>4125000</v>
      </c>
    </row>
    <row r="61" spans="2:25" ht="25" customHeight="1" x14ac:dyDescent="0.35">
      <c r="B61" s="1">
        <v>1257</v>
      </c>
      <c r="C61" s="1" t="s">
        <v>20</v>
      </c>
      <c r="D61" s="4" t="s">
        <v>98</v>
      </c>
      <c r="E61" s="2">
        <v>29285</v>
      </c>
      <c r="F61" s="1" t="s">
        <v>163</v>
      </c>
      <c r="G61" s="1" t="s">
        <v>197</v>
      </c>
      <c r="H61" s="1" t="s">
        <v>199</v>
      </c>
      <c r="I61" s="1" t="str">
        <f t="shared" si="6"/>
        <v>Singapore Changi Airport</v>
      </c>
      <c r="K61" s="4" t="str">
        <f>INDEX('ADD1'!$D$5:$D$27,MATCH(Master!R61,'ADD1'!$E$5:$E$27,0))</f>
        <v>Darwin International Airport</v>
      </c>
      <c r="L61" s="1">
        <v>104</v>
      </c>
      <c r="M61" s="1" t="str">
        <f t="shared" si="13"/>
        <v>Wednesday</v>
      </c>
      <c r="N61" s="1">
        <f t="shared" si="14"/>
        <v>7</v>
      </c>
      <c r="O61" s="1" t="str">
        <f t="shared" si="15"/>
        <v>Wednesday</v>
      </c>
      <c r="P61" s="1">
        <f t="shared" si="16"/>
        <v>9</v>
      </c>
      <c r="Q61" s="6" t="s">
        <v>390</v>
      </c>
      <c r="R61" s="1" t="str">
        <f t="shared" si="7"/>
        <v>DRW</v>
      </c>
      <c r="S61" s="1" t="s">
        <v>329</v>
      </c>
      <c r="T61" s="11" t="str">
        <f>INDEX('ADD1'!$B$32:$B$53,MATCH(Master!S61,'ADD1'!$C$32:$C$53,0))</f>
        <v xml:space="preserve">Emirates </v>
      </c>
      <c r="U61" s="74">
        <f t="shared" si="9"/>
        <v>50</v>
      </c>
      <c r="V61" s="77">
        <f t="shared" si="17"/>
        <v>705.784759063146</v>
      </c>
      <c r="W61" s="78">
        <f t="shared" si="18"/>
        <v>10550000</v>
      </c>
      <c r="X61" s="78">
        <f>W61*50%</f>
        <v>5275000</v>
      </c>
      <c r="Y61" s="78">
        <f t="shared" si="8"/>
        <v>11605000</v>
      </c>
    </row>
    <row r="62" spans="2:25" ht="25" customHeight="1" x14ac:dyDescent="0.35">
      <c r="B62" s="1">
        <v>1258</v>
      </c>
      <c r="C62" s="1" t="s">
        <v>20</v>
      </c>
      <c r="D62" s="4" t="s">
        <v>99</v>
      </c>
      <c r="E62" s="2">
        <v>29567</v>
      </c>
      <c r="F62" s="1" t="s">
        <v>162</v>
      </c>
      <c r="G62" s="1" t="s">
        <v>197</v>
      </c>
      <c r="H62" s="1" t="s">
        <v>199</v>
      </c>
      <c r="I62" s="1" t="str">
        <f t="shared" si="6"/>
        <v>Singapore Changi Airport</v>
      </c>
      <c r="K62" s="4" t="str">
        <f>INDEX('ADD1'!$D$5:$D$27,MATCH(Master!R62,'ADD1'!$E$5:$E$27,0))</f>
        <v>Adelaide International Airport</v>
      </c>
      <c r="L62" s="1">
        <v>106</v>
      </c>
      <c r="M62" s="1" t="str">
        <f t="shared" si="13"/>
        <v>Friday</v>
      </c>
      <c r="N62" s="1">
        <f t="shared" si="14"/>
        <v>12</v>
      </c>
      <c r="O62" s="1" t="str">
        <f t="shared" si="15"/>
        <v>Friday</v>
      </c>
      <c r="P62" s="1">
        <f t="shared" si="16"/>
        <v>14</v>
      </c>
      <c r="Q62" s="6" t="s">
        <v>391</v>
      </c>
      <c r="R62" s="1" t="str">
        <f t="shared" si="7"/>
        <v>ADL</v>
      </c>
      <c r="S62" s="1" t="s">
        <v>329</v>
      </c>
      <c r="T62" s="11" t="str">
        <f>INDEX('ADD1'!$B$32:$B$53,MATCH(Master!S62,'ADD1'!$C$32:$C$53,0))</f>
        <v xml:space="preserve">Emirates </v>
      </c>
      <c r="U62" s="74">
        <f t="shared" si="9"/>
        <v>50</v>
      </c>
      <c r="V62" s="77">
        <f t="shared" si="17"/>
        <v>786.0635942172479</v>
      </c>
      <c r="W62" s="78">
        <f t="shared" si="18"/>
        <v>11750000</v>
      </c>
      <c r="X62" s="78">
        <f t="shared" ref="X62:X63" si="21">W62*50%</f>
        <v>5875000</v>
      </c>
      <c r="Y62" s="78">
        <f t="shared" si="8"/>
        <v>12925000</v>
      </c>
    </row>
    <row r="63" spans="2:25" ht="25" customHeight="1" x14ac:dyDescent="0.35">
      <c r="B63" s="1">
        <v>1259</v>
      </c>
      <c r="C63" s="1" t="s">
        <v>21</v>
      </c>
      <c r="D63" s="4" t="s">
        <v>100</v>
      </c>
      <c r="E63" s="2">
        <v>29688</v>
      </c>
      <c r="F63" s="1" t="s">
        <v>163</v>
      </c>
      <c r="G63" s="1" t="s">
        <v>197</v>
      </c>
      <c r="H63" s="1" t="s">
        <v>199</v>
      </c>
      <c r="I63" s="1" t="str">
        <f t="shared" si="6"/>
        <v>Singapore Changi Airport</v>
      </c>
      <c r="K63" s="4" t="str">
        <f>INDEX('ADD1'!$D$5:$D$27,MATCH(Master!R63,'ADD1'!$E$5:$E$27,0))</f>
        <v>Istanbul Turkey International Airport</v>
      </c>
      <c r="L63" s="1">
        <v>103</v>
      </c>
      <c r="M63" s="1" t="str">
        <f t="shared" si="13"/>
        <v>Tuesday</v>
      </c>
      <c r="N63" s="1">
        <f t="shared" si="14"/>
        <v>3</v>
      </c>
      <c r="O63" s="1" t="str">
        <f t="shared" si="15"/>
        <v>Tuesday</v>
      </c>
      <c r="P63" s="1">
        <f t="shared" si="16"/>
        <v>5</v>
      </c>
      <c r="Q63" s="6" t="s">
        <v>392</v>
      </c>
      <c r="R63" s="1" t="str">
        <f t="shared" si="7"/>
        <v>IST</v>
      </c>
      <c r="S63" s="1" t="s">
        <v>332</v>
      </c>
      <c r="T63" s="11" t="str">
        <f>INDEX('ADD1'!$B$32:$B$53,MATCH(Master!S63,'ADD1'!$C$32:$C$53,0))</f>
        <v>Turkish Airlines</v>
      </c>
      <c r="U63" s="74">
        <f t="shared" si="9"/>
        <v>50</v>
      </c>
      <c r="V63" s="77">
        <f t="shared" si="17"/>
        <v>772.68378835823091</v>
      </c>
      <c r="W63" s="78">
        <f t="shared" si="18"/>
        <v>11550000</v>
      </c>
      <c r="X63" s="78">
        <f t="shared" si="21"/>
        <v>5775000</v>
      </c>
      <c r="Y63" s="78">
        <f t="shared" si="8"/>
        <v>12705000</v>
      </c>
    </row>
    <row r="64" spans="2:25" ht="25" customHeight="1" x14ac:dyDescent="0.35">
      <c r="B64" s="1">
        <v>1260</v>
      </c>
      <c r="C64" s="1" t="s">
        <v>21</v>
      </c>
      <c r="D64" s="4" t="s">
        <v>101</v>
      </c>
      <c r="E64" s="1" t="s">
        <v>177</v>
      </c>
      <c r="F64" s="1" t="s">
        <v>163</v>
      </c>
      <c r="G64" s="1" t="s">
        <v>196</v>
      </c>
      <c r="H64" s="1" t="s">
        <v>198</v>
      </c>
      <c r="I64" s="1" t="str">
        <f t="shared" si="6"/>
        <v>Soekarno-Hatta Airport</v>
      </c>
      <c r="J64" s="4" t="str">
        <f>INDEX('ADD1'!$B$5:$B$27,MATCH(Master!R64,'ADD1'!$C$5:$C$27,0))</f>
        <v>Supadio, Pontianak</v>
      </c>
      <c r="L64" s="1">
        <v>107</v>
      </c>
      <c r="M64" s="1" t="str">
        <f t="shared" si="13"/>
        <v>Saturday</v>
      </c>
      <c r="N64" s="1">
        <f t="shared" si="14"/>
        <v>3</v>
      </c>
      <c r="O64" s="1" t="str">
        <f t="shared" si="15"/>
        <v>Saturday</v>
      </c>
      <c r="P64" s="1">
        <f t="shared" si="16"/>
        <v>5</v>
      </c>
      <c r="Q64" s="6" t="s">
        <v>370</v>
      </c>
      <c r="R64" s="1" t="str">
        <f t="shared" si="7"/>
        <v>PNK</v>
      </c>
      <c r="S64" s="1" t="s">
        <v>327</v>
      </c>
      <c r="T64" s="11" t="str">
        <f>INDEX('ADD1'!$B$32:$B$53,MATCH(Master!S64,'ADD1'!$C$32:$C$53,0))</f>
        <v>Pelita Air</v>
      </c>
      <c r="U64" s="74">
        <f t="shared" si="9"/>
        <v>100</v>
      </c>
      <c r="V64" s="77">
        <f t="shared" si="17"/>
        <v>143.8329129844326</v>
      </c>
      <c r="W64" s="78">
        <f t="shared" si="18"/>
        <v>2150000</v>
      </c>
      <c r="Y64" s="78">
        <f t="shared" si="8"/>
        <v>2365000</v>
      </c>
    </row>
    <row r="65" spans="2:25" ht="25" customHeight="1" x14ac:dyDescent="0.35">
      <c r="B65" s="1">
        <v>1261</v>
      </c>
      <c r="C65" s="1" t="s">
        <v>21</v>
      </c>
      <c r="D65" s="4" t="s">
        <v>102</v>
      </c>
      <c r="E65" s="2">
        <v>30108</v>
      </c>
      <c r="F65" s="1" t="s">
        <v>162</v>
      </c>
      <c r="G65" s="1" t="s">
        <v>196</v>
      </c>
      <c r="H65" s="1" t="s">
        <v>198</v>
      </c>
      <c r="I65" s="1" t="str">
        <f t="shared" si="6"/>
        <v>Soekarno-Hatta Airport</v>
      </c>
      <c r="J65" s="4" t="str">
        <f>INDEX('ADD1'!$B$5:$B$27,MATCH(Master!R65,'ADD1'!$C$5:$C$27,0))</f>
        <v>Supadio, Pontianak</v>
      </c>
      <c r="L65" s="1">
        <v>103</v>
      </c>
      <c r="M65" s="1" t="str">
        <f t="shared" si="13"/>
        <v>Tuesday</v>
      </c>
      <c r="N65" s="1">
        <f t="shared" si="14"/>
        <v>3</v>
      </c>
      <c r="O65" s="1" t="str">
        <f t="shared" si="15"/>
        <v>Tuesday</v>
      </c>
      <c r="P65" s="1">
        <f t="shared" si="16"/>
        <v>5</v>
      </c>
      <c r="Q65" s="6" t="s">
        <v>371</v>
      </c>
      <c r="R65" s="1" t="str">
        <f t="shared" si="7"/>
        <v>PNK</v>
      </c>
      <c r="S65" s="1" t="s">
        <v>319</v>
      </c>
      <c r="T65" s="11" t="str">
        <f>INDEX('ADD1'!$B$32:$B$53,MATCH(Master!S65,'ADD1'!$C$32:$C$53,0))</f>
        <v>Citilink</v>
      </c>
      <c r="U65" s="74">
        <f t="shared" si="9"/>
        <v>100</v>
      </c>
      <c r="V65" s="77">
        <f t="shared" si="17"/>
        <v>143.8329129844326</v>
      </c>
      <c r="W65" s="78">
        <f t="shared" si="18"/>
        <v>2150000</v>
      </c>
      <c r="Y65" s="78">
        <f t="shared" si="8"/>
        <v>2365000</v>
      </c>
    </row>
    <row r="66" spans="2:25" ht="25" customHeight="1" x14ac:dyDescent="0.35">
      <c r="B66" s="1">
        <v>1262</v>
      </c>
      <c r="C66" s="1" t="s">
        <v>22</v>
      </c>
      <c r="D66" s="4" t="s">
        <v>103</v>
      </c>
      <c r="E66" s="1" t="s">
        <v>193</v>
      </c>
      <c r="F66" s="1" t="s">
        <v>163</v>
      </c>
      <c r="G66" s="1" t="s">
        <v>196</v>
      </c>
      <c r="H66" s="1" t="s">
        <v>198</v>
      </c>
      <c r="I66" s="1" t="str">
        <f t="shared" si="6"/>
        <v>Soekarno-Hatta Airport</v>
      </c>
      <c r="J66" s="4" t="str">
        <f>INDEX('ADD1'!$B$5:$B$27,MATCH(Master!R66,'ADD1'!$C$5:$C$27,0))</f>
        <v>Minangkabau, Padang</v>
      </c>
      <c r="L66" s="1">
        <v>103</v>
      </c>
      <c r="M66" s="1" t="str">
        <f t="shared" si="13"/>
        <v>Tuesday</v>
      </c>
      <c r="N66" s="1">
        <f t="shared" si="14"/>
        <v>3</v>
      </c>
      <c r="O66" s="1" t="str">
        <f t="shared" si="15"/>
        <v>Tuesday</v>
      </c>
      <c r="P66" s="1">
        <f t="shared" si="16"/>
        <v>5</v>
      </c>
      <c r="Q66" s="6" t="s">
        <v>363</v>
      </c>
      <c r="R66" s="1" t="str">
        <f t="shared" si="7"/>
        <v>PDG</v>
      </c>
      <c r="S66" s="1" t="s">
        <v>324</v>
      </c>
      <c r="T66" s="11" t="str">
        <f>INDEX('ADD1'!$B$32:$B$53,MATCH(Master!S66,'ADD1'!$C$32:$C$53,0))</f>
        <v>Super Air Jet</v>
      </c>
      <c r="U66" s="74">
        <f t="shared" si="9"/>
        <v>100</v>
      </c>
      <c r="V66" s="77">
        <f t="shared" si="17"/>
        <v>147.17786444918684</v>
      </c>
      <c r="W66" s="78">
        <f t="shared" si="18"/>
        <v>2200000</v>
      </c>
      <c r="Y66" s="78">
        <f t="shared" si="8"/>
        <v>2420000</v>
      </c>
    </row>
    <row r="67" spans="2:25" ht="25" customHeight="1" x14ac:dyDescent="0.35">
      <c r="B67" s="1">
        <v>1263</v>
      </c>
      <c r="C67" s="1" t="s">
        <v>22</v>
      </c>
      <c r="D67" s="4" t="s">
        <v>104</v>
      </c>
      <c r="E67" s="1" t="s">
        <v>194</v>
      </c>
      <c r="F67" s="1" t="s">
        <v>162</v>
      </c>
      <c r="G67" s="1" t="s">
        <v>196</v>
      </c>
      <c r="H67" s="1" t="s">
        <v>199</v>
      </c>
      <c r="I67" s="1" t="str">
        <f t="shared" si="6"/>
        <v>Singapore Changi Airport</v>
      </c>
      <c r="K67" s="4" t="str">
        <f>INDEX('ADD1'!$D$5:$D$27,MATCH(Master!R67,'ADD1'!$E$5:$E$27,0))</f>
        <v>Kopenhagen International Airport</v>
      </c>
      <c r="L67" s="1">
        <v>101</v>
      </c>
      <c r="M67" s="1" t="str">
        <f t="shared" si="13"/>
        <v>Sunday</v>
      </c>
      <c r="N67" s="1">
        <f t="shared" si="14"/>
        <v>9</v>
      </c>
      <c r="O67" s="1" t="str">
        <f t="shared" si="15"/>
        <v>Sunday</v>
      </c>
      <c r="P67" s="1">
        <f t="shared" si="16"/>
        <v>11</v>
      </c>
      <c r="Q67" s="6" t="s">
        <v>397</v>
      </c>
      <c r="R67" s="1" t="str">
        <f t="shared" si="7"/>
        <v>CPH</v>
      </c>
      <c r="S67" s="1" t="s">
        <v>336</v>
      </c>
      <c r="T67" s="11" t="str">
        <f>INDEX('ADD1'!$B$32:$B$53,MATCH(Master!S67,'ADD1'!$C$32:$C$53,0))</f>
        <v>Cathay Pacific Airlines</v>
      </c>
      <c r="U67" s="74">
        <f t="shared" si="9"/>
        <v>50</v>
      </c>
      <c r="V67" s="77">
        <f t="shared" si="17"/>
        <v>980.07077917299421</v>
      </c>
      <c r="W67" s="78">
        <f t="shared" si="18"/>
        <v>14650000</v>
      </c>
      <c r="X67" s="78">
        <f>W67*50%</f>
        <v>7325000</v>
      </c>
      <c r="Y67" s="78">
        <f t="shared" si="8"/>
        <v>16115000</v>
      </c>
    </row>
    <row r="68" spans="2:25" ht="25" customHeight="1" x14ac:dyDescent="0.35">
      <c r="B68" s="1">
        <v>1264</v>
      </c>
      <c r="C68" s="1" t="s">
        <v>23</v>
      </c>
      <c r="D68" s="4" t="s">
        <v>105</v>
      </c>
      <c r="E68" s="2">
        <v>33882</v>
      </c>
      <c r="F68" s="1" t="s">
        <v>162</v>
      </c>
      <c r="G68" s="1" t="s">
        <v>196</v>
      </c>
      <c r="H68" s="1" t="s">
        <v>199</v>
      </c>
      <c r="I68" s="1" t="str">
        <f t="shared" si="6"/>
        <v>Singapore Changi Airport</v>
      </c>
      <c r="K68" s="4" t="str">
        <f>INDEX('ADD1'!$D$5:$D$27,MATCH(Master!R68,'ADD1'!$E$5:$E$27,0))</f>
        <v>Adelaide International Airport</v>
      </c>
      <c r="L68" s="1">
        <v>106</v>
      </c>
      <c r="M68" s="1" t="str">
        <f t="shared" si="13"/>
        <v>Friday</v>
      </c>
      <c r="N68" s="1">
        <f t="shared" si="14"/>
        <v>12</v>
      </c>
      <c r="O68" s="1" t="str">
        <f t="shared" si="15"/>
        <v>Friday</v>
      </c>
      <c r="P68" s="1">
        <f t="shared" si="16"/>
        <v>14</v>
      </c>
      <c r="Q68" s="6" t="s">
        <v>391</v>
      </c>
      <c r="R68" s="1" t="str">
        <f t="shared" si="7"/>
        <v>ADL</v>
      </c>
      <c r="S68" s="1" t="s">
        <v>329</v>
      </c>
      <c r="T68" s="11" t="str">
        <f>INDEX('ADD1'!$B$32:$B$53,MATCH(Master!S68,'ADD1'!$C$32:$C$53,0))</f>
        <v xml:space="preserve">Emirates </v>
      </c>
      <c r="U68" s="74">
        <f t="shared" si="9"/>
        <v>50</v>
      </c>
      <c r="V68" s="77">
        <f t="shared" si="17"/>
        <v>786.0635942172479</v>
      </c>
      <c r="W68" s="78">
        <f t="shared" si="18"/>
        <v>11750000</v>
      </c>
      <c r="X68" s="78">
        <f>W68*50%</f>
        <v>5875000</v>
      </c>
      <c r="Y68" s="78">
        <f t="shared" si="8"/>
        <v>12925000</v>
      </c>
    </row>
    <row r="69" spans="2:25" ht="25" customHeight="1" x14ac:dyDescent="0.35">
      <c r="B69" s="1">
        <v>1265</v>
      </c>
      <c r="C69" s="1" t="s">
        <v>23</v>
      </c>
      <c r="D69" s="4" t="s">
        <v>106</v>
      </c>
      <c r="E69" s="2">
        <v>25118</v>
      </c>
      <c r="F69" s="1" t="s">
        <v>163</v>
      </c>
      <c r="G69" s="1" t="s">
        <v>196</v>
      </c>
      <c r="H69" s="1" t="s">
        <v>198</v>
      </c>
      <c r="I69" s="1" t="str">
        <f t="shared" si="6"/>
        <v>Soekarno-Hatta Airport</v>
      </c>
      <c r="J69" s="4" t="str">
        <f>INDEX('ADD1'!$B$5:$B$27,MATCH(Master!R69,'ADD1'!$C$5:$C$27,0))</f>
        <v>Pattimura, Ambon</v>
      </c>
      <c r="L69" s="1">
        <v>104</v>
      </c>
      <c r="M69" s="1" t="str">
        <f t="shared" ref="M69:M100" si="22">VLOOKUP(L69,Departure,2,0)</f>
        <v>Wednesday</v>
      </c>
      <c r="N69" s="1">
        <f t="shared" ref="N69:N100" si="23">VLOOKUP(L69,Departure,3,0)</f>
        <v>7</v>
      </c>
      <c r="O69" s="1" t="str">
        <f t="shared" ref="O69:O100" si="24">HLOOKUP(L69,Arrival,2,0)</f>
        <v>Wednesday</v>
      </c>
      <c r="P69" s="1">
        <f t="shared" ref="P69:P100" si="25">HLOOKUP(L69,Arrival,3,0)</f>
        <v>9</v>
      </c>
      <c r="Q69" s="6" t="s">
        <v>366</v>
      </c>
      <c r="R69" s="1" t="str">
        <f t="shared" si="7"/>
        <v>AMQ</v>
      </c>
      <c r="S69" s="1" t="s">
        <v>326</v>
      </c>
      <c r="T69" s="11" t="str">
        <f>INDEX('ADD1'!$B$32:$B$53,MATCH(Master!S69,'ADD1'!$C$32:$C$53,0))</f>
        <v>Lion Air</v>
      </c>
      <c r="U69" s="74">
        <f t="shared" si="9"/>
        <v>100</v>
      </c>
      <c r="V69" s="77">
        <f t="shared" ref="V69:V100" si="26">VLOOKUP(R69,Price,3,0)</f>
        <v>250.87135985656849</v>
      </c>
      <c r="W69" s="78">
        <f t="shared" ref="W69:W100" si="27">VLOOKUP(R69,Price,2,0)</f>
        <v>3750000</v>
      </c>
      <c r="Y69" s="78">
        <f t="shared" si="8"/>
        <v>4125000</v>
      </c>
    </row>
    <row r="70" spans="2:25" ht="25" customHeight="1" x14ac:dyDescent="0.35">
      <c r="B70" s="1">
        <v>1266</v>
      </c>
      <c r="C70" s="1" t="s">
        <v>23</v>
      </c>
      <c r="D70" s="4" t="s">
        <v>107</v>
      </c>
      <c r="E70" s="2">
        <v>36017</v>
      </c>
      <c r="F70" s="1" t="s">
        <v>163</v>
      </c>
      <c r="G70" s="1" t="s">
        <v>196</v>
      </c>
      <c r="H70" s="1" t="s">
        <v>198</v>
      </c>
      <c r="I70" s="1" t="str">
        <f t="shared" ref="I70:I124" si="28">IF(H70="Domestic","Soekarno-Hatta Airport","Singapore Changi Airport")</f>
        <v>Soekarno-Hatta Airport</v>
      </c>
      <c r="J70" s="4" t="str">
        <f>INDEX('ADD1'!$B$5:$B$27,MATCH(Master!R70,'ADD1'!$C$5:$C$27,0))</f>
        <v>Adisumarno, Solo</v>
      </c>
      <c r="L70" s="1">
        <v>105</v>
      </c>
      <c r="M70" s="1" t="str">
        <f t="shared" si="22"/>
        <v>Thursday</v>
      </c>
      <c r="N70" s="1">
        <f t="shared" si="23"/>
        <v>9</v>
      </c>
      <c r="O70" s="1" t="str">
        <f t="shared" si="24"/>
        <v>Thursday</v>
      </c>
      <c r="P70" s="1">
        <f t="shared" si="25"/>
        <v>11</v>
      </c>
      <c r="Q70" s="6" t="s">
        <v>367</v>
      </c>
      <c r="R70" s="1" t="str">
        <f t="shared" ref="R70:R124" si="29">LEFT(Q70,3)</f>
        <v>SOC</v>
      </c>
      <c r="S70" s="1" t="s">
        <v>318</v>
      </c>
      <c r="T70" s="11" t="str">
        <f>INDEX('ADD1'!$B$32:$B$53,MATCH(Master!S70,'ADD1'!$C$32:$C$53,0))</f>
        <v>Batik Air</v>
      </c>
      <c r="U70" s="74">
        <f t="shared" si="9"/>
        <v>100</v>
      </c>
      <c r="V70" s="77">
        <f t="shared" si="26"/>
        <v>173.93747616722081</v>
      </c>
      <c r="W70" s="78">
        <f t="shared" si="27"/>
        <v>2600000</v>
      </c>
      <c r="Y70" s="78">
        <f t="shared" ref="Y70:Y124" si="30">W70+(W70*10%)</f>
        <v>2860000</v>
      </c>
    </row>
    <row r="71" spans="2:25" ht="25" customHeight="1" x14ac:dyDescent="0.35">
      <c r="B71" s="1">
        <v>1267</v>
      </c>
      <c r="C71" s="1" t="s">
        <v>23</v>
      </c>
      <c r="D71" s="4" t="s">
        <v>108</v>
      </c>
      <c r="E71" s="2">
        <v>33152</v>
      </c>
      <c r="F71" s="1" t="s">
        <v>163</v>
      </c>
      <c r="G71" s="1" t="s">
        <v>196</v>
      </c>
      <c r="H71" s="1" t="s">
        <v>198</v>
      </c>
      <c r="I71" s="1" t="str">
        <f t="shared" si="28"/>
        <v>Soekarno-Hatta Airport</v>
      </c>
      <c r="J71" s="4" t="str">
        <f>INDEX('ADD1'!$B$5:$B$27,MATCH(Master!R71,'ADD1'!$C$5:$C$27,0))</f>
        <v>Abdul Rachman Saleh, Malang</v>
      </c>
      <c r="L71" s="1">
        <v>101</v>
      </c>
      <c r="M71" s="1" t="str">
        <f t="shared" si="22"/>
        <v>Sunday</v>
      </c>
      <c r="N71" s="1">
        <f t="shared" si="23"/>
        <v>9</v>
      </c>
      <c r="O71" s="1" t="str">
        <f t="shared" si="24"/>
        <v>Sunday</v>
      </c>
      <c r="P71" s="1">
        <f t="shared" si="25"/>
        <v>11</v>
      </c>
      <c r="Q71" s="6" t="s">
        <v>368</v>
      </c>
      <c r="R71" s="1" t="str">
        <f t="shared" si="29"/>
        <v>MLG</v>
      </c>
      <c r="S71" s="1" t="s">
        <v>320</v>
      </c>
      <c r="T71" s="11" t="str">
        <f>INDEX('ADD1'!$B$32:$B$53,MATCH(Master!S71,'ADD1'!$C$32:$C$53,0))</f>
        <v>Sriwijaya Air</v>
      </c>
      <c r="U71" s="74">
        <f t="shared" ref="U71:U124" si="31">IF(I71="Soekarno-Hatta Airport",100,50)</f>
        <v>100</v>
      </c>
      <c r="V71" s="77">
        <f t="shared" si="26"/>
        <v>147.17786444918684</v>
      </c>
      <c r="W71" s="78">
        <f t="shared" si="27"/>
        <v>2200000</v>
      </c>
      <c r="Y71" s="78">
        <f t="shared" si="30"/>
        <v>2420000</v>
      </c>
    </row>
    <row r="72" spans="2:25" ht="25" customHeight="1" x14ac:dyDescent="0.35">
      <c r="B72" s="1">
        <v>1268</v>
      </c>
      <c r="C72" s="1" t="s">
        <v>24</v>
      </c>
      <c r="D72" s="4" t="s">
        <v>109</v>
      </c>
      <c r="E72" s="2">
        <v>36317</v>
      </c>
      <c r="F72" s="1" t="s">
        <v>163</v>
      </c>
      <c r="G72" s="1" t="s">
        <v>196</v>
      </c>
      <c r="H72" s="1" t="s">
        <v>198</v>
      </c>
      <c r="I72" s="1" t="str">
        <f t="shared" si="28"/>
        <v>Soekarno-Hatta Airport</v>
      </c>
      <c r="J72" s="4" t="str">
        <f>INDEX('ADD1'!$B$5:$B$27,MATCH(Master!R72,'ADD1'!$C$5:$C$27,0))</f>
        <v>Zainuddin Abdul Madjid, Praya</v>
      </c>
      <c r="L72" s="1">
        <v>105</v>
      </c>
      <c r="M72" s="1" t="str">
        <f t="shared" si="22"/>
        <v>Thursday</v>
      </c>
      <c r="N72" s="1">
        <f t="shared" si="23"/>
        <v>9</v>
      </c>
      <c r="O72" s="1" t="str">
        <f t="shared" si="24"/>
        <v>Thursday</v>
      </c>
      <c r="P72" s="1">
        <f t="shared" si="25"/>
        <v>11</v>
      </c>
      <c r="Q72" s="6" t="s">
        <v>369</v>
      </c>
      <c r="R72" s="1" t="str">
        <f t="shared" si="29"/>
        <v>LOP</v>
      </c>
      <c r="S72" s="1" t="s">
        <v>325</v>
      </c>
      <c r="T72" s="11" t="str">
        <f>INDEX('ADD1'!$B$32:$B$53,MATCH(Master!S72,'ADD1'!$C$32:$C$53,0))</f>
        <v>NAM Air</v>
      </c>
      <c r="U72" s="74">
        <f t="shared" si="31"/>
        <v>100</v>
      </c>
      <c r="V72" s="77">
        <f t="shared" si="26"/>
        <v>157.21271884344958</v>
      </c>
      <c r="W72" s="78">
        <f t="shared" si="27"/>
        <v>2350000</v>
      </c>
      <c r="Y72" s="78">
        <f t="shared" si="30"/>
        <v>2585000</v>
      </c>
    </row>
    <row r="73" spans="2:25" ht="25" customHeight="1" x14ac:dyDescent="0.35">
      <c r="B73" s="1">
        <v>1269</v>
      </c>
      <c r="C73" s="1" t="s">
        <v>24</v>
      </c>
      <c r="D73" s="4" t="s">
        <v>110</v>
      </c>
      <c r="E73" s="1" t="s">
        <v>175</v>
      </c>
      <c r="F73" s="1" t="s">
        <v>163</v>
      </c>
      <c r="G73" s="1" t="s">
        <v>196</v>
      </c>
      <c r="H73" s="1" t="s">
        <v>199</v>
      </c>
      <c r="I73" s="1" t="str">
        <f t="shared" si="28"/>
        <v>Singapore Changi Airport</v>
      </c>
      <c r="K73" s="4" t="str">
        <f>INDEX('ADD1'!$D$5:$D$27,MATCH(Master!R73,'ADD1'!$E$5:$E$27,0))</f>
        <v>Capital International Airport</v>
      </c>
      <c r="L73" s="1">
        <v>105</v>
      </c>
      <c r="M73" s="1" t="str">
        <f t="shared" si="22"/>
        <v>Thursday</v>
      </c>
      <c r="N73" s="1">
        <f t="shared" si="23"/>
        <v>9</v>
      </c>
      <c r="O73" s="1" t="str">
        <f t="shared" si="24"/>
        <v>Thursday</v>
      </c>
      <c r="P73" s="1">
        <f t="shared" si="25"/>
        <v>11</v>
      </c>
      <c r="Q73" s="6" t="s">
        <v>386</v>
      </c>
      <c r="R73" s="1" t="str">
        <f t="shared" si="29"/>
        <v>PEK</v>
      </c>
      <c r="S73" s="1" t="s">
        <v>336</v>
      </c>
      <c r="T73" s="11" t="str">
        <f>INDEX('ADD1'!$B$32:$B$53,MATCH(Master!S73,'ADD1'!$C$32:$C$53,0))</f>
        <v>Cathay Pacific Airlines</v>
      </c>
      <c r="U73" s="74">
        <f t="shared" si="31"/>
        <v>50</v>
      </c>
      <c r="V73" s="77">
        <f t="shared" si="26"/>
        <v>702.43980759839178</v>
      </c>
      <c r="W73" s="78">
        <f t="shared" si="27"/>
        <v>10500000</v>
      </c>
      <c r="X73" s="78">
        <f>W73*50%</f>
        <v>5250000</v>
      </c>
      <c r="Y73" s="78">
        <f t="shared" si="30"/>
        <v>11550000</v>
      </c>
    </row>
    <row r="74" spans="2:25" ht="25" customHeight="1" x14ac:dyDescent="0.35">
      <c r="B74" s="1">
        <v>1270</v>
      </c>
      <c r="C74" s="1" t="s">
        <v>25</v>
      </c>
      <c r="D74" s="4" t="s">
        <v>111</v>
      </c>
      <c r="E74" s="2">
        <v>34950</v>
      </c>
      <c r="F74" s="1" t="s">
        <v>163</v>
      </c>
      <c r="G74" s="1" t="s">
        <v>196</v>
      </c>
      <c r="H74" s="1" t="s">
        <v>199</v>
      </c>
      <c r="I74" s="1" t="str">
        <f t="shared" si="28"/>
        <v>Singapore Changi Airport</v>
      </c>
      <c r="K74" s="4" t="str">
        <f>INDEX('ADD1'!$D$5:$D$27,MATCH(Master!R74,'ADD1'!$E$5:$E$27,0))</f>
        <v>Seri BegawanInternational Airport</v>
      </c>
      <c r="L74" s="1">
        <v>107</v>
      </c>
      <c r="M74" s="1" t="str">
        <f t="shared" si="22"/>
        <v>Saturday</v>
      </c>
      <c r="N74" s="1">
        <f t="shared" si="23"/>
        <v>3</v>
      </c>
      <c r="O74" s="1" t="str">
        <f t="shared" si="24"/>
        <v>Saturday</v>
      </c>
      <c r="P74" s="1">
        <f t="shared" si="25"/>
        <v>5</v>
      </c>
      <c r="Q74" s="6" t="s">
        <v>387</v>
      </c>
      <c r="R74" s="1" t="str">
        <f t="shared" si="29"/>
        <v>BWN</v>
      </c>
      <c r="S74" s="1" t="s">
        <v>328</v>
      </c>
      <c r="T74" s="11" t="str">
        <f>INDEX('ADD1'!$B$32:$B$53,MATCH(Master!S74,'ADD1'!$C$32:$C$53,0))</f>
        <v>Singapore Airlines</v>
      </c>
      <c r="U74" s="74">
        <f t="shared" si="31"/>
        <v>50</v>
      </c>
      <c r="V74" s="77">
        <f t="shared" si="26"/>
        <v>582.02155486723893</v>
      </c>
      <c r="W74" s="78">
        <f t="shared" si="27"/>
        <v>8700000</v>
      </c>
      <c r="X74" s="78">
        <f t="shared" ref="X74:X77" si="32">W74*50%</f>
        <v>4350000</v>
      </c>
      <c r="Y74" s="78">
        <f t="shared" si="30"/>
        <v>9570000</v>
      </c>
    </row>
    <row r="75" spans="2:25" ht="25" customHeight="1" x14ac:dyDescent="0.35">
      <c r="B75" s="1">
        <v>1271</v>
      </c>
      <c r="C75" s="1" t="s">
        <v>25</v>
      </c>
      <c r="D75" s="4" t="s">
        <v>112</v>
      </c>
      <c r="E75" s="1" t="s">
        <v>176</v>
      </c>
      <c r="F75" s="1" t="s">
        <v>162</v>
      </c>
      <c r="G75" s="1" t="s">
        <v>196</v>
      </c>
      <c r="H75" s="1" t="s">
        <v>199</v>
      </c>
      <c r="I75" s="1" t="str">
        <f t="shared" si="28"/>
        <v>Singapore Changi Airport</v>
      </c>
      <c r="K75" s="4" t="str">
        <f>INDEX('ADD1'!$D$5:$D$27,MATCH(Master!R75,'ADD1'!$E$5:$E$27,0))</f>
        <v>Da Nang International Airport</v>
      </c>
      <c r="L75" s="1">
        <v>104</v>
      </c>
      <c r="M75" s="1" t="str">
        <f t="shared" si="22"/>
        <v>Wednesday</v>
      </c>
      <c r="N75" s="1">
        <f t="shared" si="23"/>
        <v>7</v>
      </c>
      <c r="O75" s="1" t="str">
        <f t="shared" si="24"/>
        <v>Wednesday</v>
      </c>
      <c r="P75" s="1">
        <f t="shared" si="25"/>
        <v>9</v>
      </c>
      <c r="Q75" s="6" t="s">
        <v>388</v>
      </c>
      <c r="R75" s="1" t="str">
        <f t="shared" si="29"/>
        <v>DAD</v>
      </c>
      <c r="S75" s="1" t="s">
        <v>337</v>
      </c>
      <c r="T75" s="11" t="str">
        <f>INDEX('ADD1'!$B$32:$B$53,MATCH(Master!S75,'ADD1'!$C$32:$C$53,0))</f>
        <v>Thai Airways International Airlines</v>
      </c>
      <c r="U75" s="74">
        <f t="shared" si="31"/>
        <v>50</v>
      </c>
      <c r="V75" s="77">
        <f t="shared" si="26"/>
        <v>759.30398249921393</v>
      </c>
      <c r="W75" s="78">
        <f t="shared" si="27"/>
        <v>11350000</v>
      </c>
      <c r="X75" s="78">
        <f t="shared" si="32"/>
        <v>5675000</v>
      </c>
      <c r="Y75" s="78">
        <f t="shared" si="30"/>
        <v>12485000</v>
      </c>
    </row>
    <row r="76" spans="2:25" ht="25" customHeight="1" x14ac:dyDescent="0.35">
      <c r="B76" s="1">
        <v>1272</v>
      </c>
      <c r="C76" s="1" t="s">
        <v>25</v>
      </c>
      <c r="D76" s="4" t="s">
        <v>113</v>
      </c>
      <c r="E76" s="2">
        <v>35737</v>
      </c>
      <c r="F76" s="1" t="s">
        <v>163</v>
      </c>
      <c r="G76" s="1" t="s">
        <v>196</v>
      </c>
      <c r="H76" s="1" t="s">
        <v>199</v>
      </c>
      <c r="I76" s="1" t="str">
        <f t="shared" si="28"/>
        <v>Singapore Changi Airport</v>
      </c>
      <c r="K76" s="4" t="str">
        <f>INDEX('ADD1'!$D$5:$D$27,MATCH(Master!R76,'ADD1'!$E$5:$E$27,0))</f>
        <v>Baiyun International Airport</v>
      </c>
      <c r="L76" s="1">
        <v>103</v>
      </c>
      <c r="M76" s="1" t="str">
        <f t="shared" si="22"/>
        <v>Tuesday</v>
      </c>
      <c r="N76" s="1">
        <f t="shared" si="23"/>
        <v>3</v>
      </c>
      <c r="O76" s="1" t="str">
        <f t="shared" si="24"/>
        <v>Tuesday</v>
      </c>
      <c r="P76" s="1">
        <f t="shared" si="25"/>
        <v>5</v>
      </c>
      <c r="Q76" s="6" t="s">
        <v>389</v>
      </c>
      <c r="R76" s="1" t="str">
        <f t="shared" si="29"/>
        <v>CAN</v>
      </c>
      <c r="S76" s="1" t="s">
        <v>334</v>
      </c>
      <c r="T76" s="11" t="str">
        <f>INDEX('ADD1'!$B$32:$B$53,MATCH(Master!S76,'ADD1'!$C$32:$C$53,0))</f>
        <v>Saudia Airlines</v>
      </c>
      <c r="U76" s="74">
        <f t="shared" si="31"/>
        <v>50</v>
      </c>
      <c r="V76" s="77">
        <f t="shared" si="26"/>
        <v>658.95543855658661</v>
      </c>
      <c r="W76" s="78">
        <f t="shared" si="27"/>
        <v>9850000</v>
      </c>
      <c r="X76" s="78">
        <f t="shared" si="32"/>
        <v>4925000</v>
      </c>
      <c r="Y76" s="78">
        <f t="shared" si="30"/>
        <v>10835000</v>
      </c>
    </row>
    <row r="77" spans="2:25" ht="25" customHeight="1" x14ac:dyDescent="0.35">
      <c r="B77" s="1">
        <v>1273</v>
      </c>
      <c r="C77" s="1" t="s">
        <v>26</v>
      </c>
      <c r="D77" s="4" t="s">
        <v>114</v>
      </c>
      <c r="E77" s="2">
        <v>35771</v>
      </c>
      <c r="F77" s="1" t="s">
        <v>163</v>
      </c>
      <c r="G77" s="1" t="s">
        <v>196</v>
      </c>
      <c r="H77" s="1" t="s">
        <v>199</v>
      </c>
      <c r="I77" s="1" t="str">
        <f t="shared" si="28"/>
        <v>Singapore Changi Airport</v>
      </c>
      <c r="K77" s="4" t="str">
        <f>INDEX('ADD1'!$D$5:$D$27,MATCH(Master!R77,'ADD1'!$E$5:$E$27,0))</f>
        <v>Zurich International Airport</v>
      </c>
      <c r="L77" s="1">
        <v>102</v>
      </c>
      <c r="M77" s="1" t="str">
        <f t="shared" si="22"/>
        <v>Monday</v>
      </c>
      <c r="N77" s="1">
        <f t="shared" si="23"/>
        <v>1</v>
      </c>
      <c r="O77" s="1" t="str">
        <f t="shared" si="24"/>
        <v>Monday</v>
      </c>
      <c r="P77" s="1">
        <f t="shared" si="25"/>
        <v>3</v>
      </c>
      <c r="Q77" s="6" t="s">
        <v>402</v>
      </c>
      <c r="R77" s="1" t="str">
        <f t="shared" si="29"/>
        <v>ZRH</v>
      </c>
      <c r="S77" s="1" t="s">
        <v>332</v>
      </c>
      <c r="T77" s="11" t="str">
        <f>INDEX('ADD1'!$B$32:$B$53,MATCH(Master!S77,'ADD1'!$C$32:$C$53,0))</f>
        <v>Turkish Airlines</v>
      </c>
      <c r="U77" s="74">
        <f t="shared" si="31"/>
        <v>50</v>
      </c>
      <c r="V77" s="77">
        <f t="shared" si="26"/>
        <v>699.429351280113</v>
      </c>
      <c r="W77" s="78">
        <f t="shared" si="27"/>
        <v>10455000</v>
      </c>
      <c r="X77" s="78">
        <f t="shared" si="32"/>
        <v>5227500</v>
      </c>
      <c r="Y77" s="78">
        <f t="shared" si="30"/>
        <v>11500500</v>
      </c>
    </row>
    <row r="78" spans="2:25" ht="25" customHeight="1" x14ac:dyDescent="0.35">
      <c r="B78" s="1">
        <v>1274</v>
      </c>
      <c r="C78" s="1" t="s">
        <v>27</v>
      </c>
      <c r="D78" s="4" t="s">
        <v>115</v>
      </c>
      <c r="E78" s="2">
        <v>31599</v>
      </c>
      <c r="F78" s="1" t="s">
        <v>162</v>
      </c>
      <c r="G78" s="1" t="s">
        <v>197</v>
      </c>
      <c r="H78" s="1" t="s">
        <v>198</v>
      </c>
      <c r="I78" s="1" t="str">
        <f t="shared" si="28"/>
        <v>Soekarno-Hatta Airport</v>
      </c>
      <c r="J78" s="4" t="str">
        <f>INDEX('ADD1'!$B$5:$B$27,MATCH(Master!R78,'ADD1'!$C$5:$C$27,0))</f>
        <v>Sentani, Jayapura</v>
      </c>
      <c r="L78" s="1">
        <v>105</v>
      </c>
      <c r="M78" s="1" t="str">
        <f t="shared" si="22"/>
        <v>Thursday</v>
      </c>
      <c r="N78" s="1">
        <f t="shared" si="23"/>
        <v>9</v>
      </c>
      <c r="O78" s="1" t="str">
        <f t="shared" si="24"/>
        <v>Thursday</v>
      </c>
      <c r="P78" s="1">
        <f t="shared" si="25"/>
        <v>11</v>
      </c>
      <c r="Q78" s="6" t="s">
        <v>373</v>
      </c>
      <c r="R78" s="1" t="str">
        <f t="shared" si="29"/>
        <v>DJJ</v>
      </c>
      <c r="S78" s="1" t="s">
        <v>322</v>
      </c>
      <c r="T78" s="11" t="str">
        <f>INDEX('ADD1'!$B$32:$B$53,MATCH(Master!S78,'ADD1'!$C$32:$C$53,0))</f>
        <v>Indonesia AirAsia</v>
      </c>
      <c r="U78" s="74">
        <f t="shared" si="31"/>
        <v>100</v>
      </c>
      <c r="V78" s="77">
        <f t="shared" si="26"/>
        <v>183.97233056148355</v>
      </c>
      <c r="W78" s="78">
        <f t="shared" si="27"/>
        <v>2750000</v>
      </c>
      <c r="Y78" s="78">
        <f t="shared" si="30"/>
        <v>3025000</v>
      </c>
    </row>
    <row r="79" spans="2:25" ht="25" customHeight="1" x14ac:dyDescent="0.35">
      <c r="B79" s="1">
        <v>1275</v>
      </c>
      <c r="C79" s="1" t="s">
        <v>27</v>
      </c>
      <c r="D79" s="4" t="s">
        <v>116</v>
      </c>
      <c r="E79" s="2">
        <v>29285</v>
      </c>
      <c r="F79" s="1" t="s">
        <v>162</v>
      </c>
      <c r="G79" s="1" t="s">
        <v>196</v>
      </c>
      <c r="H79" s="1" t="s">
        <v>198</v>
      </c>
      <c r="I79" s="1" t="str">
        <f t="shared" si="28"/>
        <v>Soekarno-Hatta Airport</v>
      </c>
      <c r="J79" s="4" t="str">
        <f>INDEX('ADD1'!$B$5:$B$27,MATCH(Master!R79,'ADD1'!$C$5:$C$27,0))</f>
        <v>Sultan Mahmud Badaruddin II, Palembang</v>
      </c>
      <c r="L79" s="1">
        <v>105</v>
      </c>
      <c r="M79" s="1" t="str">
        <f t="shared" si="22"/>
        <v>Thursday</v>
      </c>
      <c r="N79" s="1">
        <f t="shared" si="23"/>
        <v>9</v>
      </c>
      <c r="O79" s="1" t="str">
        <f t="shared" si="24"/>
        <v>Thursday</v>
      </c>
      <c r="P79" s="1">
        <f t="shared" si="25"/>
        <v>11</v>
      </c>
      <c r="Q79" s="6" t="s">
        <v>374</v>
      </c>
      <c r="R79" s="1" t="str">
        <f t="shared" si="29"/>
        <v>PLM</v>
      </c>
      <c r="S79" s="1" t="s">
        <v>326</v>
      </c>
      <c r="T79" s="11" t="str">
        <f>INDEX('ADD1'!$B$32:$B$53,MATCH(Master!S79,'ADD1'!$C$32:$C$53,0))</f>
        <v>Lion Air</v>
      </c>
      <c r="U79" s="74">
        <f t="shared" si="31"/>
        <v>100</v>
      </c>
      <c r="V79" s="77">
        <f t="shared" si="26"/>
        <v>147.17786444918684</v>
      </c>
      <c r="W79" s="78">
        <f t="shared" si="27"/>
        <v>2200000</v>
      </c>
      <c r="Y79" s="78">
        <f t="shared" si="30"/>
        <v>2420000</v>
      </c>
    </row>
    <row r="80" spans="2:25" ht="25" customHeight="1" x14ac:dyDescent="0.35">
      <c r="B80" s="1">
        <v>1276</v>
      </c>
      <c r="C80" s="1" t="s">
        <v>28</v>
      </c>
      <c r="D80" s="4" t="s">
        <v>117</v>
      </c>
      <c r="E80" s="2">
        <v>29567</v>
      </c>
      <c r="F80" s="1" t="s">
        <v>162</v>
      </c>
      <c r="G80" s="1" t="s">
        <v>196</v>
      </c>
      <c r="H80" s="1" t="s">
        <v>198</v>
      </c>
      <c r="I80" s="1" t="str">
        <f t="shared" si="28"/>
        <v>Soekarno-Hatta Airport</v>
      </c>
      <c r="J80" s="4" t="str">
        <f>INDEX('ADD1'!$B$5:$B$27,MATCH(Master!R80,'ADD1'!$C$5:$C$27,0))</f>
        <v xml:space="preserve">Adisutjipto, DIY </v>
      </c>
      <c r="L80" s="1">
        <v>106</v>
      </c>
      <c r="M80" s="1" t="str">
        <f t="shared" si="22"/>
        <v>Friday</v>
      </c>
      <c r="N80" s="1">
        <f t="shared" si="23"/>
        <v>12</v>
      </c>
      <c r="O80" s="1" t="str">
        <f t="shared" si="24"/>
        <v>Friday</v>
      </c>
      <c r="P80" s="1">
        <f t="shared" si="25"/>
        <v>14</v>
      </c>
      <c r="Q80" s="6" t="s">
        <v>375</v>
      </c>
      <c r="R80" s="1" t="str">
        <f t="shared" si="29"/>
        <v>JOG</v>
      </c>
      <c r="S80" s="1" t="s">
        <v>321</v>
      </c>
      <c r="T80" s="11" t="str">
        <f>INDEX('ADD1'!$B$32:$B$53,MATCH(Master!S80,'ADD1'!$C$32:$C$53,0))</f>
        <v>Garuda Indonesia</v>
      </c>
      <c r="U80" s="74">
        <f t="shared" si="31"/>
        <v>100</v>
      </c>
      <c r="V80" s="77">
        <f t="shared" si="26"/>
        <v>133.79805859016986</v>
      </c>
      <c r="W80" s="78">
        <f t="shared" si="27"/>
        <v>2000000</v>
      </c>
      <c r="Y80" s="78">
        <f t="shared" si="30"/>
        <v>2200000</v>
      </c>
    </row>
    <row r="81" spans="2:25" ht="25" customHeight="1" x14ac:dyDescent="0.35">
      <c r="B81" s="1">
        <v>1277</v>
      </c>
      <c r="C81" s="1" t="s">
        <v>28</v>
      </c>
      <c r="D81" s="4" t="s">
        <v>118</v>
      </c>
      <c r="E81" s="2">
        <v>29688</v>
      </c>
      <c r="F81" s="1" t="s">
        <v>162</v>
      </c>
      <c r="G81" s="1" t="s">
        <v>196</v>
      </c>
      <c r="H81" s="1" t="s">
        <v>198</v>
      </c>
      <c r="I81" s="1" t="str">
        <f t="shared" si="28"/>
        <v>Soekarno-Hatta Airport</v>
      </c>
      <c r="J81" s="4" t="str">
        <f>INDEX('ADD1'!$B$5:$B$27,MATCH(Master!R81,'ADD1'!$C$5:$C$27,0))</f>
        <v xml:space="preserve">Adisutjipto, DIY </v>
      </c>
      <c r="L81" s="1">
        <v>104</v>
      </c>
      <c r="M81" s="1" t="str">
        <f t="shared" si="22"/>
        <v>Wednesday</v>
      </c>
      <c r="N81" s="1">
        <f t="shared" si="23"/>
        <v>7</v>
      </c>
      <c r="O81" s="1" t="str">
        <f t="shared" si="24"/>
        <v>Wednesday</v>
      </c>
      <c r="P81" s="1">
        <f t="shared" si="25"/>
        <v>9</v>
      </c>
      <c r="Q81" s="6" t="s">
        <v>376</v>
      </c>
      <c r="R81" s="1" t="str">
        <f t="shared" si="29"/>
        <v>JOG</v>
      </c>
      <c r="S81" s="1" t="s">
        <v>318</v>
      </c>
      <c r="T81" s="11" t="str">
        <f>INDEX('ADD1'!$B$32:$B$53,MATCH(Master!S81,'ADD1'!$C$32:$C$53,0))</f>
        <v>Batik Air</v>
      </c>
      <c r="U81" s="74">
        <f t="shared" si="31"/>
        <v>100</v>
      </c>
      <c r="V81" s="77">
        <f t="shared" si="26"/>
        <v>133.79805859016986</v>
      </c>
      <c r="W81" s="78">
        <f t="shared" si="27"/>
        <v>2000000</v>
      </c>
      <c r="Y81" s="78">
        <f t="shared" si="30"/>
        <v>2200000</v>
      </c>
    </row>
    <row r="82" spans="2:25" ht="25" customHeight="1" x14ac:dyDescent="0.35">
      <c r="B82" s="1">
        <v>1278</v>
      </c>
      <c r="C82" s="1" t="s">
        <v>28</v>
      </c>
      <c r="D82" s="4" t="s">
        <v>119</v>
      </c>
      <c r="E82" s="1" t="s">
        <v>177</v>
      </c>
      <c r="F82" s="1" t="s">
        <v>162</v>
      </c>
      <c r="G82" s="1" t="s">
        <v>197</v>
      </c>
      <c r="H82" s="1" t="s">
        <v>198</v>
      </c>
      <c r="I82" s="1" t="str">
        <f t="shared" si="28"/>
        <v>Soekarno-Hatta Airport</v>
      </c>
      <c r="J82" s="4" t="str">
        <f>INDEX('ADD1'!$B$5:$B$27,MATCH(Master!R82,'ADD1'!$C$5:$C$27,0))</f>
        <v>Zainuddin Abdul Madjid, Praya</v>
      </c>
      <c r="L82" s="1">
        <v>101</v>
      </c>
      <c r="M82" s="1" t="str">
        <f t="shared" si="22"/>
        <v>Sunday</v>
      </c>
      <c r="N82" s="1">
        <f t="shared" si="23"/>
        <v>9</v>
      </c>
      <c r="O82" s="1" t="str">
        <f t="shared" si="24"/>
        <v>Sunday</v>
      </c>
      <c r="P82" s="1">
        <f t="shared" si="25"/>
        <v>11</v>
      </c>
      <c r="Q82" s="6" t="s">
        <v>377</v>
      </c>
      <c r="R82" s="1" t="str">
        <f t="shared" si="29"/>
        <v>LOP</v>
      </c>
      <c r="S82" s="1" t="s">
        <v>318</v>
      </c>
      <c r="T82" s="11" t="str">
        <f>INDEX('ADD1'!$B$32:$B$53,MATCH(Master!S82,'ADD1'!$C$32:$C$53,0))</f>
        <v>Batik Air</v>
      </c>
      <c r="U82" s="74">
        <f t="shared" si="31"/>
        <v>100</v>
      </c>
      <c r="V82" s="77">
        <f t="shared" si="26"/>
        <v>157.21271884344958</v>
      </c>
      <c r="W82" s="78">
        <f t="shared" si="27"/>
        <v>2350000</v>
      </c>
      <c r="Y82" s="78">
        <f t="shared" si="30"/>
        <v>2585000</v>
      </c>
    </row>
    <row r="83" spans="2:25" ht="25" customHeight="1" x14ac:dyDescent="0.35">
      <c r="B83" s="1">
        <v>1279</v>
      </c>
      <c r="C83" s="1" t="s">
        <v>28</v>
      </c>
      <c r="D83" s="4" t="s">
        <v>120</v>
      </c>
      <c r="E83" s="2">
        <v>30108</v>
      </c>
      <c r="F83" s="1" t="s">
        <v>162</v>
      </c>
      <c r="G83" s="1" t="s">
        <v>196</v>
      </c>
      <c r="H83" s="1" t="s">
        <v>198</v>
      </c>
      <c r="I83" s="1" t="str">
        <f t="shared" si="28"/>
        <v>Soekarno-Hatta Airport</v>
      </c>
      <c r="J83" s="4" t="str">
        <f>INDEX('ADD1'!$B$5:$B$27,MATCH(Master!R83,'ADD1'!$C$5:$C$27,0))</f>
        <v>Radin Inten II, Bandar Lampung</v>
      </c>
      <c r="L83" s="1">
        <v>103</v>
      </c>
      <c r="M83" s="1" t="str">
        <f t="shared" si="22"/>
        <v>Tuesday</v>
      </c>
      <c r="N83" s="1">
        <f t="shared" si="23"/>
        <v>3</v>
      </c>
      <c r="O83" s="1" t="str">
        <f t="shared" si="24"/>
        <v>Tuesday</v>
      </c>
      <c r="P83" s="1">
        <f t="shared" si="25"/>
        <v>5</v>
      </c>
      <c r="Q83" s="6" t="s">
        <v>378</v>
      </c>
      <c r="R83" s="1" t="str">
        <f t="shared" si="29"/>
        <v>TKG</v>
      </c>
      <c r="S83" s="1" t="s">
        <v>318</v>
      </c>
      <c r="T83" s="11" t="str">
        <f>INDEX('ADD1'!$B$32:$B$53,MATCH(Master!S83,'ADD1'!$C$32:$C$53,0))</f>
        <v>Batik Air</v>
      </c>
      <c r="U83" s="74">
        <f t="shared" si="31"/>
        <v>100</v>
      </c>
      <c r="V83" s="77">
        <f t="shared" si="26"/>
        <v>157.21271884344958</v>
      </c>
      <c r="W83" s="78">
        <f t="shared" si="27"/>
        <v>2350000</v>
      </c>
      <c r="Y83" s="78">
        <f t="shared" si="30"/>
        <v>2585000</v>
      </c>
    </row>
    <row r="84" spans="2:25" ht="25" customHeight="1" x14ac:dyDescent="0.35">
      <c r="B84" s="1">
        <v>1280</v>
      </c>
      <c r="C84" s="1" t="s">
        <v>28</v>
      </c>
      <c r="D84" s="4" t="s">
        <v>121</v>
      </c>
      <c r="E84" s="2">
        <v>33185</v>
      </c>
      <c r="F84" s="1" t="s">
        <v>162</v>
      </c>
      <c r="G84" s="1" t="s">
        <v>196</v>
      </c>
      <c r="H84" s="1" t="s">
        <v>199</v>
      </c>
      <c r="I84" s="1" t="str">
        <f t="shared" si="28"/>
        <v>Singapore Changi Airport</v>
      </c>
      <c r="K84" s="4" t="str">
        <f>INDEX('ADD1'!$D$5:$D$27,MATCH(Master!R84,'ADD1'!$E$5:$E$27,0))</f>
        <v>Suvarnabhumi International Airport</v>
      </c>
      <c r="L84" s="1">
        <v>105</v>
      </c>
      <c r="M84" s="1" t="str">
        <f t="shared" si="22"/>
        <v>Thursday</v>
      </c>
      <c r="N84" s="1">
        <f t="shared" si="23"/>
        <v>9</v>
      </c>
      <c r="O84" s="1" t="str">
        <f t="shared" si="24"/>
        <v>Thursday</v>
      </c>
      <c r="P84" s="1">
        <f t="shared" si="25"/>
        <v>11</v>
      </c>
      <c r="Q84" s="6" t="s">
        <v>393</v>
      </c>
      <c r="R84" s="1" t="str">
        <f t="shared" si="29"/>
        <v>BKK</v>
      </c>
      <c r="S84" s="1" t="s">
        <v>337</v>
      </c>
      <c r="T84" s="11" t="str">
        <f>INDEX('ADD1'!$B$32:$B$53,MATCH(Master!S84,'ADD1'!$C$32:$C$53,0))</f>
        <v>Thai Airways International Airlines</v>
      </c>
      <c r="U84" s="74">
        <f t="shared" si="31"/>
        <v>50</v>
      </c>
      <c r="V84" s="77">
        <f t="shared" si="26"/>
        <v>170.59252470246656</v>
      </c>
      <c r="W84" s="78">
        <f t="shared" si="27"/>
        <v>2550000</v>
      </c>
      <c r="X84" s="78">
        <f>W84*50%</f>
        <v>1275000</v>
      </c>
      <c r="Y84" s="78">
        <f t="shared" si="30"/>
        <v>2805000</v>
      </c>
    </row>
    <row r="85" spans="2:25" ht="25" customHeight="1" x14ac:dyDescent="0.35">
      <c r="B85" s="1">
        <v>1281</v>
      </c>
      <c r="C85" s="1" t="s">
        <v>29</v>
      </c>
      <c r="D85" s="4" t="s">
        <v>122</v>
      </c>
      <c r="E85" s="2">
        <v>29871</v>
      </c>
      <c r="F85" s="1" t="s">
        <v>162</v>
      </c>
      <c r="G85" s="1" t="s">
        <v>196</v>
      </c>
      <c r="H85" s="1" t="s">
        <v>198</v>
      </c>
      <c r="I85" s="1" t="str">
        <f t="shared" si="28"/>
        <v>Soekarno-Hatta Airport</v>
      </c>
      <c r="J85" s="4" t="str">
        <f>INDEX('ADD1'!$B$5:$B$27,MATCH(Master!R85,'ADD1'!$C$5:$C$27,0))</f>
        <v>Abdul Rachman Saleh, Malang</v>
      </c>
      <c r="L85" s="1">
        <v>101</v>
      </c>
      <c r="M85" s="1" t="str">
        <f t="shared" si="22"/>
        <v>Sunday</v>
      </c>
      <c r="N85" s="1">
        <f t="shared" si="23"/>
        <v>9</v>
      </c>
      <c r="O85" s="1" t="str">
        <f t="shared" si="24"/>
        <v>Sunday</v>
      </c>
      <c r="P85" s="1">
        <f t="shared" si="25"/>
        <v>11</v>
      </c>
      <c r="Q85" s="6" t="s">
        <v>368</v>
      </c>
      <c r="R85" s="1" t="str">
        <f t="shared" si="29"/>
        <v>MLG</v>
      </c>
      <c r="S85" s="1" t="s">
        <v>320</v>
      </c>
      <c r="T85" s="11" t="str">
        <f>INDEX('ADD1'!$B$32:$B$53,MATCH(Master!S85,'ADD1'!$C$32:$C$53,0))</f>
        <v>Sriwijaya Air</v>
      </c>
      <c r="U85" s="74">
        <f t="shared" si="31"/>
        <v>100</v>
      </c>
      <c r="V85" s="77">
        <f t="shared" si="26"/>
        <v>147.17786444918684</v>
      </c>
      <c r="W85" s="78">
        <f t="shared" si="27"/>
        <v>2200000</v>
      </c>
      <c r="Y85" s="78">
        <f t="shared" si="30"/>
        <v>2420000</v>
      </c>
    </row>
    <row r="86" spans="2:25" ht="25" customHeight="1" x14ac:dyDescent="0.35">
      <c r="B86" s="1">
        <v>1282</v>
      </c>
      <c r="C86" s="1" t="s">
        <v>29</v>
      </c>
      <c r="D86" s="4" t="s">
        <v>123</v>
      </c>
      <c r="E86" s="1" t="s">
        <v>195</v>
      </c>
      <c r="F86" s="1" t="s">
        <v>163</v>
      </c>
      <c r="G86" s="1" t="s">
        <v>196</v>
      </c>
      <c r="H86" s="1" t="s">
        <v>199</v>
      </c>
      <c r="I86" s="1" t="str">
        <f t="shared" si="28"/>
        <v>Singapore Changi Airport</v>
      </c>
      <c r="K86" s="4" t="str">
        <f>INDEX('ADD1'!$D$5:$D$27,MATCH(Master!R86,'ADD1'!$E$5:$E$27,0))</f>
        <v>Darwin International Airport</v>
      </c>
      <c r="L86" s="1">
        <v>102</v>
      </c>
      <c r="M86" s="1" t="str">
        <f t="shared" si="22"/>
        <v>Monday</v>
      </c>
      <c r="N86" s="1">
        <f t="shared" si="23"/>
        <v>1</v>
      </c>
      <c r="O86" s="1" t="str">
        <f t="shared" si="24"/>
        <v>Monday</v>
      </c>
      <c r="P86" s="1">
        <f t="shared" si="25"/>
        <v>3</v>
      </c>
      <c r="Q86" s="6" t="s">
        <v>404</v>
      </c>
      <c r="R86" s="1" t="str">
        <f t="shared" si="29"/>
        <v>DRW</v>
      </c>
      <c r="S86" s="1" t="s">
        <v>329</v>
      </c>
      <c r="T86" s="11" t="str">
        <f>INDEX('ADD1'!$B$32:$B$53,MATCH(Master!S86,'ADD1'!$C$32:$C$53,0))</f>
        <v xml:space="preserve">Emirates </v>
      </c>
      <c r="U86" s="74">
        <f t="shared" si="31"/>
        <v>50</v>
      </c>
      <c r="V86" s="77">
        <f t="shared" si="26"/>
        <v>705.784759063146</v>
      </c>
      <c r="W86" s="78">
        <f t="shared" si="27"/>
        <v>10550000</v>
      </c>
      <c r="X86" s="78">
        <f>W86*50%</f>
        <v>5275000</v>
      </c>
      <c r="Y86" s="78">
        <f t="shared" si="30"/>
        <v>11605000</v>
      </c>
    </row>
    <row r="87" spans="2:25" ht="25" customHeight="1" x14ac:dyDescent="0.35">
      <c r="B87" s="1">
        <v>1283</v>
      </c>
      <c r="C87" s="1" t="s">
        <v>29</v>
      </c>
      <c r="D87" s="4" t="s">
        <v>124</v>
      </c>
      <c r="E87" s="2">
        <v>36348</v>
      </c>
      <c r="F87" s="1" t="s">
        <v>163</v>
      </c>
      <c r="G87" s="1" t="s">
        <v>196</v>
      </c>
      <c r="H87" s="1" t="s">
        <v>198</v>
      </c>
      <c r="I87" s="1" t="str">
        <f t="shared" si="28"/>
        <v>Soekarno-Hatta Airport</v>
      </c>
      <c r="J87" s="4" t="str">
        <f>INDEX('ADD1'!$B$5:$B$27,MATCH(Master!R87,'ADD1'!$C$5:$C$27,0))</f>
        <v>Ngurah Rai, Denpasar Bali</v>
      </c>
      <c r="L87" s="1">
        <v>103</v>
      </c>
      <c r="M87" s="1" t="str">
        <f t="shared" si="22"/>
        <v>Tuesday</v>
      </c>
      <c r="N87" s="1">
        <f t="shared" si="23"/>
        <v>3</v>
      </c>
      <c r="O87" s="1" t="str">
        <f t="shared" si="24"/>
        <v>Tuesday</v>
      </c>
      <c r="P87" s="1">
        <f t="shared" si="25"/>
        <v>5</v>
      </c>
      <c r="Q87" s="6" t="s">
        <v>365</v>
      </c>
      <c r="R87" s="1" t="str">
        <f t="shared" si="29"/>
        <v>DPS</v>
      </c>
      <c r="S87" s="1" t="s">
        <v>322</v>
      </c>
      <c r="T87" s="11" t="str">
        <f>INDEX('ADD1'!$B$32:$B$53,MATCH(Master!S87,'ADD1'!$C$32:$C$53,0))</f>
        <v>Indonesia AirAsia</v>
      </c>
      <c r="U87" s="74">
        <f t="shared" si="31"/>
        <v>100</v>
      </c>
      <c r="V87" s="77">
        <f t="shared" si="26"/>
        <v>130.45310712541561</v>
      </c>
      <c r="W87" s="78">
        <f t="shared" si="27"/>
        <v>1950000</v>
      </c>
      <c r="Y87" s="78">
        <f t="shared" si="30"/>
        <v>2145000</v>
      </c>
    </row>
    <row r="88" spans="2:25" ht="25" customHeight="1" x14ac:dyDescent="0.35">
      <c r="B88" s="1">
        <v>1284</v>
      </c>
      <c r="C88" s="1" t="s">
        <v>29</v>
      </c>
      <c r="D88" s="4" t="s">
        <v>125</v>
      </c>
      <c r="E88" s="1" t="s">
        <v>173</v>
      </c>
      <c r="F88" s="1" t="s">
        <v>163</v>
      </c>
      <c r="G88" s="1" t="s">
        <v>196</v>
      </c>
      <c r="H88" s="1" t="s">
        <v>199</v>
      </c>
      <c r="I88" s="1" t="str">
        <f t="shared" si="28"/>
        <v>Singapore Changi Airport</v>
      </c>
      <c r="K88" s="4" t="str">
        <f>INDEX('ADD1'!$D$5:$D$27,MATCH(Master!R88,'ADD1'!$E$5:$E$27,0))</f>
        <v>Hanoi International Airport</v>
      </c>
      <c r="L88" s="1">
        <v>104</v>
      </c>
      <c r="M88" s="1" t="str">
        <f t="shared" si="22"/>
        <v>Wednesday</v>
      </c>
      <c r="N88" s="1">
        <f t="shared" si="23"/>
        <v>7</v>
      </c>
      <c r="O88" s="1" t="str">
        <f t="shared" si="24"/>
        <v>Wednesday</v>
      </c>
      <c r="P88" s="1">
        <f t="shared" si="25"/>
        <v>9</v>
      </c>
      <c r="Q88" s="6" t="s">
        <v>395</v>
      </c>
      <c r="R88" s="1" t="str">
        <f t="shared" si="29"/>
        <v>HAN</v>
      </c>
      <c r="S88" s="1" t="s">
        <v>331</v>
      </c>
      <c r="T88" s="11" t="str">
        <f>INDEX('ADD1'!$B$32:$B$53,MATCH(Master!S88,'ADD1'!$C$32:$C$53,0))</f>
        <v>All Nippon Airways</v>
      </c>
      <c r="U88" s="74">
        <f t="shared" si="31"/>
        <v>50</v>
      </c>
      <c r="V88" s="77">
        <f t="shared" si="26"/>
        <v>638.88572976806108</v>
      </c>
      <c r="W88" s="78">
        <f t="shared" si="27"/>
        <v>9550000</v>
      </c>
      <c r="X88" s="78">
        <f>W88*50%</f>
        <v>4775000</v>
      </c>
      <c r="Y88" s="78">
        <f t="shared" si="30"/>
        <v>10505000</v>
      </c>
    </row>
    <row r="89" spans="2:25" ht="25" customHeight="1" x14ac:dyDescent="0.35">
      <c r="B89" s="1">
        <v>1285</v>
      </c>
      <c r="C89" s="1" t="s">
        <v>29</v>
      </c>
      <c r="D89" s="4" t="s">
        <v>126</v>
      </c>
      <c r="E89" s="1" t="s">
        <v>174</v>
      </c>
      <c r="F89" s="1" t="s">
        <v>163</v>
      </c>
      <c r="G89" s="1" t="s">
        <v>196</v>
      </c>
      <c r="H89" s="1" t="s">
        <v>199</v>
      </c>
      <c r="I89" s="1" t="str">
        <f t="shared" si="28"/>
        <v>Singapore Changi Airport</v>
      </c>
      <c r="K89" s="4" t="str">
        <f>INDEX('ADD1'!$D$5:$D$27,MATCH(Master!R89,'ADD1'!$E$5:$E$27,0))</f>
        <v>Adelaide International Airport</v>
      </c>
      <c r="L89" s="1">
        <v>106</v>
      </c>
      <c r="M89" s="1" t="str">
        <f t="shared" si="22"/>
        <v>Friday</v>
      </c>
      <c r="N89" s="1">
        <f t="shared" si="23"/>
        <v>12</v>
      </c>
      <c r="O89" s="1" t="str">
        <f t="shared" si="24"/>
        <v>Friday</v>
      </c>
      <c r="P89" s="1">
        <f t="shared" si="25"/>
        <v>14</v>
      </c>
      <c r="Q89" s="6" t="s">
        <v>391</v>
      </c>
      <c r="R89" s="1" t="str">
        <f t="shared" si="29"/>
        <v>ADL</v>
      </c>
      <c r="S89" s="1" t="s">
        <v>329</v>
      </c>
      <c r="T89" s="11" t="str">
        <f>INDEX('ADD1'!$B$32:$B$53,MATCH(Master!S89,'ADD1'!$C$32:$C$53,0))</f>
        <v xml:space="preserve">Emirates </v>
      </c>
      <c r="U89" s="74">
        <f t="shared" si="31"/>
        <v>50</v>
      </c>
      <c r="V89" s="77">
        <f t="shared" si="26"/>
        <v>786.0635942172479</v>
      </c>
      <c r="W89" s="78">
        <f t="shared" si="27"/>
        <v>11750000</v>
      </c>
      <c r="X89" s="78">
        <f>W89*50%</f>
        <v>5875000</v>
      </c>
      <c r="Y89" s="78">
        <f t="shared" si="30"/>
        <v>12925000</v>
      </c>
    </row>
    <row r="90" spans="2:25" ht="25" customHeight="1" x14ac:dyDescent="0.35">
      <c r="B90" s="1">
        <v>1286</v>
      </c>
      <c r="C90" s="1" t="s">
        <v>29</v>
      </c>
      <c r="D90" s="4" t="s">
        <v>127</v>
      </c>
      <c r="E90" s="1" t="s">
        <v>186</v>
      </c>
      <c r="F90" s="1" t="s">
        <v>162</v>
      </c>
      <c r="G90" s="1" t="s">
        <v>197</v>
      </c>
      <c r="H90" s="1" t="s">
        <v>198</v>
      </c>
      <c r="I90" s="1" t="str">
        <f t="shared" si="28"/>
        <v>Soekarno-Hatta Airport</v>
      </c>
      <c r="J90" s="4" t="str">
        <f>INDEX('ADD1'!$B$5:$B$27,MATCH(Master!R90,'ADD1'!$C$5:$C$27,0))</f>
        <v>Sultan Iskanda Muda, Aceh</v>
      </c>
      <c r="L90" s="1">
        <v>101</v>
      </c>
      <c r="M90" s="1" t="str">
        <f t="shared" si="22"/>
        <v>Sunday</v>
      </c>
      <c r="N90" s="1">
        <f t="shared" si="23"/>
        <v>9</v>
      </c>
      <c r="O90" s="1" t="str">
        <f t="shared" si="24"/>
        <v>Sunday</v>
      </c>
      <c r="P90" s="1">
        <f t="shared" si="25"/>
        <v>11</v>
      </c>
      <c r="Q90" s="6" t="s">
        <v>372</v>
      </c>
      <c r="R90" s="1" t="str">
        <f t="shared" si="29"/>
        <v>BTJ</v>
      </c>
      <c r="S90" s="1" t="s">
        <v>321</v>
      </c>
      <c r="T90" s="11" t="str">
        <f>INDEX('ADD1'!$B$32:$B$53,MATCH(Master!S90,'ADD1'!$C$32:$C$53,0))</f>
        <v>Garuda Indonesia</v>
      </c>
      <c r="U90" s="74">
        <f t="shared" si="31"/>
        <v>100</v>
      </c>
      <c r="V90" s="77">
        <f t="shared" si="26"/>
        <v>163.90262177295807</v>
      </c>
      <c r="W90" s="78">
        <f t="shared" si="27"/>
        <v>2450000</v>
      </c>
      <c r="Y90" s="78">
        <f t="shared" si="30"/>
        <v>2695000</v>
      </c>
    </row>
    <row r="91" spans="2:25" ht="25" customHeight="1" x14ac:dyDescent="0.35">
      <c r="B91" s="1">
        <v>1287</v>
      </c>
      <c r="C91" s="1" t="s">
        <v>29</v>
      </c>
      <c r="D91" s="4" t="s">
        <v>128</v>
      </c>
      <c r="E91" s="1" t="s">
        <v>187</v>
      </c>
      <c r="F91" s="1" t="s">
        <v>162</v>
      </c>
      <c r="G91" s="1" t="s">
        <v>196</v>
      </c>
      <c r="H91" s="1" t="s">
        <v>199</v>
      </c>
      <c r="I91" s="1" t="str">
        <f t="shared" si="28"/>
        <v>Singapore Changi Airport</v>
      </c>
      <c r="K91" s="4" t="str">
        <f>INDEX('ADD1'!$D$5:$D$27,MATCH(Master!R91,'ADD1'!$E$5:$E$27,0))</f>
        <v>Indira Gandhi International Airport</v>
      </c>
      <c r="L91" s="1">
        <v>101</v>
      </c>
      <c r="M91" s="1" t="str">
        <f t="shared" si="22"/>
        <v>Sunday</v>
      </c>
      <c r="N91" s="1">
        <f t="shared" si="23"/>
        <v>9</v>
      </c>
      <c r="O91" s="1" t="str">
        <f t="shared" si="24"/>
        <v>Sunday</v>
      </c>
      <c r="P91" s="1">
        <f t="shared" si="25"/>
        <v>11</v>
      </c>
      <c r="Q91" s="6" t="s">
        <v>384</v>
      </c>
      <c r="R91" s="1" t="str">
        <f t="shared" si="29"/>
        <v>DEL</v>
      </c>
      <c r="S91" s="1" t="s">
        <v>338</v>
      </c>
      <c r="T91" s="11" t="str">
        <f>INDEX('ADD1'!$B$32:$B$53,MATCH(Master!S91,'ADD1'!$C$32:$C$53,0))</f>
        <v>Malaysia Airlines</v>
      </c>
      <c r="U91" s="74">
        <f t="shared" si="31"/>
        <v>50</v>
      </c>
      <c r="V91" s="77">
        <f t="shared" si="26"/>
        <v>752.6140795697055</v>
      </c>
      <c r="W91" s="78">
        <f t="shared" si="27"/>
        <v>11250000</v>
      </c>
      <c r="X91" s="78">
        <f>W91*50%</f>
        <v>5625000</v>
      </c>
      <c r="Y91" s="78">
        <f t="shared" si="30"/>
        <v>12375000</v>
      </c>
    </row>
    <row r="92" spans="2:25" ht="25" customHeight="1" x14ac:dyDescent="0.35">
      <c r="B92" s="1">
        <v>1288</v>
      </c>
      <c r="C92" s="3" t="s">
        <v>30</v>
      </c>
      <c r="D92" s="4" t="s">
        <v>129</v>
      </c>
      <c r="E92" s="1" t="s">
        <v>188</v>
      </c>
      <c r="F92" s="1" t="s">
        <v>162</v>
      </c>
      <c r="G92" s="1" t="s">
        <v>196</v>
      </c>
      <c r="H92" s="1" t="s">
        <v>198</v>
      </c>
      <c r="I92" s="1" t="str">
        <f t="shared" si="28"/>
        <v>Soekarno-Hatta Airport</v>
      </c>
      <c r="J92" s="4" t="str">
        <f>INDEX('ADD1'!$B$5:$B$27,MATCH(Master!R92,'ADD1'!$C$5:$C$27,0))</f>
        <v xml:space="preserve">Adisutjipto, DIY </v>
      </c>
      <c r="L92" s="1">
        <v>104</v>
      </c>
      <c r="M92" s="1" t="str">
        <f t="shared" si="22"/>
        <v>Wednesday</v>
      </c>
      <c r="N92" s="1">
        <f t="shared" si="23"/>
        <v>7</v>
      </c>
      <c r="O92" s="1" t="str">
        <f t="shared" si="24"/>
        <v>Wednesday</v>
      </c>
      <c r="P92" s="1">
        <f t="shared" si="25"/>
        <v>9</v>
      </c>
      <c r="Q92" s="6" t="s">
        <v>376</v>
      </c>
      <c r="R92" s="1" t="str">
        <f t="shared" si="29"/>
        <v>JOG</v>
      </c>
      <c r="S92" s="1" t="s">
        <v>318</v>
      </c>
      <c r="T92" s="11" t="str">
        <f>INDEX('ADD1'!$B$32:$B$53,MATCH(Master!S92,'ADD1'!$C$32:$C$53,0))</f>
        <v>Batik Air</v>
      </c>
      <c r="U92" s="74">
        <f t="shared" si="31"/>
        <v>100</v>
      </c>
      <c r="V92" s="77">
        <f t="shared" si="26"/>
        <v>133.79805859016986</v>
      </c>
      <c r="W92" s="78">
        <f t="shared" si="27"/>
        <v>2000000</v>
      </c>
      <c r="Y92" s="78">
        <f t="shared" si="30"/>
        <v>2200000</v>
      </c>
    </row>
    <row r="93" spans="2:25" ht="25" customHeight="1" x14ac:dyDescent="0.35">
      <c r="B93" s="1">
        <v>1289</v>
      </c>
      <c r="C93" s="1" t="s">
        <v>30</v>
      </c>
      <c r="D93" s="4" t="s">
        <v>130</v>
      </c>
      <c r="E93" s="1" t="s">
        <v>176</v>
      </c>
      <c r="F93" s="1" t="s">
        <v>162</v>
      </c>
      <c r="G93" s="1" t="s">
        <v>196</v>
      </c>
      <c r="H93" s="1" t="s">
        <v>199</v>
      </c>
      <c r="I93" s="1" t="str">
        <f t="shared" si="28"/>
        <v>Singapore Changi Airport</v>
      </c>
      <c r="K93" s="4" t="str">
        <f>INDEX('ADD1'!$D$5:$D$27,MATCH(Master!R93,'ADD1'!$E$5:$E$27,0))</f>
        <v>Vancouver International Airport</v>
      </c>
      <c r="L93" s="1">
        <v>106</v>
      </c>
      <c r="M93" s="1" t="str">
        <f t="shared" si="22"/>
        <v>Friday</v>
      </c>
      <c r="N93" s="1">
        <f t="shared" si="23"/>
        <v>12</v>
      </c>
      <c r="O93" s="1" t="str">
        <f t="shared" si="24"/>
        <v>Friday</v>
      </c>
      <c r="P93" s="1">
        <f t="shared" si="25"/>
        <v>14</v>
      </c>
      <c r="Q93" s="6" t="s">
        <v>396</v>
      </c>
      <c r="R93" s="1" t="str">
        <f t="shared" si="29"/>
        <v>YVR</v>
      </c>
      <c r="S93" s="1" t="s">
        <v>336</v>
      </c>
      <c r="T93" s="11" t="str">
        <f>INDEX('ADD1'!$B$32:$B$53,MATCH(Master!S93,'ADD1'!$C$32:$C$53,0))</f>
        <v>Cathay Pacific Airlines</v>
      </c>
      <c r="U93" s="74">
        <f t="shared" si="31"/>
        <v>50</v>
      </c>
      <c r="V93" s="77">
        <f t="shared" si="26"/>
        <v>913.17174987790929</v>
      </c>
      <c r="W93" s="78">
        <f t="shared" si="27"/>
        <v>13650000</v>
      </c>
      <c r="X93" s="78">
        <f>W93*50%</f>
        <v>6825000</v>
      </c>
      <c r="Y93" s="78">
        <f t="shared" si="30"/>
        <v>15015000</v>
      </c>
    </row>
    <row r="94" spans="2:25" ht="25" customHeight="1" x14ac:dyDescent="0.35">
      <c r="B94" s="1">
        <v>1290</v>
      </c>
      <c r="C94" s="1" t="s">
        <v>31</v>
      </c>
      <c r="D94" s="4" t="s">
        <v>131</v>
      </c>
      <c r="E94" s="1" t="s">
        <v>187</v>
      </c>
      <c r="F94" s="1" t="s">
        <v>163</v>
      </c>
      <c r="G94" s="1" t="s">
        <v>196</v>
      </c>
      <c r="H94" s="1" t="s">
        <v>199</v>
      </c>
      <c r="I94" s="1" t="str">
        <f t="shared" si="28"/>
        <v>Singapore Changi Airport</v>
      </c>
      <c r="K94" s="4" t="str">
        <f>INDEX('ADD1'!$D$5:$D$27,MATCH(Master!R94,'ADD1'!$E$5:$E$27,0))</f>
        <v>Kopenhagen International Airport</v>
      </c>
      <c r="L94" s="1">
        <v>101</v>
      </c>
      <c r="M94" s="1" t="str">
        <f t="shared" si="22"/>
        <v>Sunday</v>
      </c>
      <c r="N94" s="1">
        <f t="shared" si="23"/>
        <v>9</v>
      </c>
      <c r="O94" s="1" t="str">
        <f t="shared" si="24"/>
        <v>Sunday</v>
      </c>
      <c r="P94" s="1">
        <f t="shared" si="25"/>
        <v>11</v>
      </c>
      <c r="Q94" s="6" t="s">
        <v>397</v>
      </c>
      <c r="R94" s="1" t="str">
        <f t="shared" si="29"/>
        <v>CPH</v>
      </c>
      <c r="S94" s="1" t="s">
        <v>336</v>
      </c>
      <c r="T94" s="11" t="str">
        <f>INDEX('ADD1'!$B$32:$B$53,MATCH(Master!S94,'ADD1'!$C$32:$C$53,0))</f>
        <v>Cathay Pacific Airlines</v>
      </c>
      <c r="U94" s="74">
        <f t="shared" si="31"/>
        <v>50</v>
      </c>
      <c r="V94" s="77">
        <f t="shared" si="26"/>
        <v>980.07077917299421</v>
      </c>
      <c r="W94" s="78">
        <f t="shared" si="27"/>
        <v>14650000</v>
      </c>
      <c r="X94" s="78">
        <f t="shared" ref="X94:X97" si="33">W94*50%</f>
        <v>7325000</v>
      </c>
      <c r="Y94" s="78">
        <f t="shared" si="30"/>
        <v>16115000</v>
      </c>
    </row>
    <row r="95" spans="2:25" ht="25" customHeight="1" x14ac:dyDescent="0.35">
      <c r="B95" s="1">
        <v>1291</v>
      </c>
      <c r="C95" s="3" t="s">
        <v>33</v>
      </c>
      <c r="D95" s="4" t="s">
        <v>132</v>
      </c>
      <c r="E95" s="1" t="s">
        <v>188</v>
      </c>
      <c r="F95" s="1" t="s">
        <v>163</v>
      </c>
      <c r="G95" s="1" t="s">
        <v>196</v>
      </c>
      <c r="H95" s="1" t="s">
        <v>199</v>
      </c>
      <c r="I95" s="1" t="str">
        <f t="shared" si="28"/>
        <v>Singapore Changi Airport</v>
      </c>
      <c r="K95" s="4" t="str">
        <f>INDEX('ADD1'!$D$5:$D$27,MATCH(Master!R95,'ADD1'!$E$5:$E$27,0))</f>
        <v>Kuala Lumpur International Airport</v>
      </c>
      <c r="L95" s="1">
        <v>103</v>
      </c>
      <c r="M95" s="1" t="str">
        <f t="shared" si="22"/>
        <v>Tuesday</v>
      </c>
      <c r="N95" s="1">
        <f t="shared" si="23"/>
        <v>3</v>
      </c>
      <c r="O95" s="1" t="str">
        <f t="shared" si="24"/>
        <v>Tuesday</v>
      </c>
      <c r="P95" s="1">
        <f t="shared" si="25"/>
        <v>5</v>
      </c>
      <c r="Q95" s="6" t="s">
        <v>398</v>
      </c>
      <c r="R95" s="1" t="str">
        <f t="shared" si="29"/>
        <v>KUL</v>
      </c>
      <c r="S95" s="1" t="s">
        <v>328</v>
      </c>
      <c r="T95" s="11" t="str">
        <f>INDEX('ADD1'!$B$32:$B$53,MATCH(Master!S95,'ADD1'!$C$32:$C$53,0))</f>
        <v>Singapore Airlines</v>
      </c>
      <c r="U95" s="74">
        <f t="shared" si="31"/>
        <v>50</v>
      </c>
      <c r="V95" s="77">
        <f t="shared" si="26"/>
        <v>187.31728202623779</v>
      </c>
      <c r="W95" s="78">
        <f t="shared" si="27"/>
        <v>2800000</v>
      </c>
      <c r="X95" s="78">
        <f t="shared" si="33"/>
        <v>1400000</v>
      </c>
      <c r="Y95" s="78">
        <f t="shared" si="30"/>
        <v>3080000</v>
      </c>
    </row>
    <row r="96" spans="2:25" ht="25" customHeight="1" x14ac:dyDescent="0.35">
      <c r="B96" s="1">
        <v>1292</v>
      </c>
      <c r="C96" s="1" t="s">
        <v>33</v>
      </c>
      <c r="D96" s="4" t="s">
        <v>133</v>
      </c>
      <c r="E96" s="1" t="s">
        <v>176</v>
      </c>
      <c r="F96" s="1" t="s">
        <v>162</v>
      </c>
      <c r="G96" s="1" t="s">
        <v>197</v>
      </c>
      <c r="H96" s="1" t="s">
        <v>199</v>
      </c>
      <c r="I96" s="1" t="str">
        <f t="shared" si="28"/>
        <v>Singapore Changi Airport</v>
      </c>
      <c r="K96" s="4" t="str">
        <f>INDEX('ADD1'!$D$5:$D$27,MATCH(Master!R96,'ADD1'!$E$5:$E$27,0))</f>
        <v>Narita Tokyo International Airport</v>
      </c>
      <c r="L96" s="1">
        <v>107</v>
      </c>
      <c r="M96" s="1" t="str">
        <f t="shared" si="22"/>
        <v>Saturday</v>
      </c>
      <c r="N96" s="1">
        <f t="shared" si="23"/>
        <v>3</v>
      </c>
      <c r="O96" s="1" t="str">
        <f t="shared" si="24"/>
        <v>Saturday</v>
      </c>
      <c r="P96" s="1">
        <f t="shared" si="25"/>
        <v>5</v>
      </c>
      <c r="Q96" s="6" t="s">
        <v>399</v>
      </c>
      <c r="R96" s="1" t="str">
        <f t="shared" si="29"/>
        <v>NRT</v>
      </c>
      <c r="S96" s="1" t="s">
        <v>334</v>
      </c>
      <c r="T96" s="11" t="str">
        <f>INDEX('ADD1'!$B$32:$B$53,MATCH(Master!S96,'ADD1'!$C$32:$C$53,0))</f>
        <v>Saudia Airlines</v>
      </c>
      <c r="U96" s="74">
        <f t="shared" si="31"/>
        <v>50</v>
      </c>
      <c r="V96" s="77">
        <f t="shared" si="26"/>
        <v>551.91699168445064</v>
      </c>
      <c r="W96" s="78">
        <f t="shared" si="27"/>
        <v>8250000</v>
      </c>
      <c r="X96" s="78">
        <f t="shared" si="33"/>
        <v>4125000</v>
      </c>
      <c r="Y96" s="78">
        <f t="shared" si="30"/>
        <v>9075000</v>
      </c>
    </row>
    <row r="97" spans="2:25" ht="25" customHeight="1" x14ac:dyDescent="0.35">
      <c r="B97" s="1">
        <v>1293</v>
      </c>
      <c r="C97" s="1" t="s">
        <v>34</v>
      </c>
      <c r="D97" s="4" t="s">
        <v>134</v>
      </c>
      <c r="E97" s="2">
        <v>35737</v>
      </c>
      <c r="F97" s="1" t="s">
        <v>162</v>
      </c>
      <c r="G97" s="1" t="s">
        <v>197</v>
      </c>
      <c r="H97" s="1" t="s">
        <v>199</v>
      </c>
      <c r="I97" s="1" t="str">
        <f t="shared" si="28"/>
        <v>Singapore Changi Airport</v>
      </c>
      <c r="K97" s="4" t="str">
        <f>INDEX('ADD1'!$D$5:$D$27,MATCH(Master!R97,'ADD1'!$E$5:$E$27,0))</f>
        <v>Osaka Japan International Airport</v>
      </c>
      <c r="L97" s="1">
        <v>104</v>
      </c>
      <c r="M97" s="1" t="str">
        <f t="shared" si="22"/>
        <v>Wednesday</v>
      </c>
      <c r="N97" s="1">
        <f t="shared" si="23"/>
        <v>7</v>
      </c>
      <c r="O97" s="1" t="str">
        <f t="shared" si="24"/>
        <v>Wednesday</v>
      </c>
      <c r="P97" s="1">
        <f t="shared" si="25"/>
        <v>9</v>
      </c>
      <c r="Q97" s="6" t="s">
        <v>400</v>
      </c>
      <c r="R97" s="1" t="str">
        <f t="shared" si="29"/>
        <v>KIX</v>
      </c>
      <c r="S97" s="1" t="s">
        <v>334</v>
      </c>
      <c r="T97" s="11" t="str">
        <f>INDEX('ADD1'!$B$32:$B$53,MATCH(Master!S97,'ADD1'!$C$32:$C$53,0))</f>
        <v>Saudia Airlines</v>
      </c>
      <c r="U97" s="74">
        <f t="shared" si="31"/>
        <v>50</v>
      </c>
      <c r="V97" s="77">
        <f t="shared" si="26"/>
        <v>919.86165280741784</v>
      </c>
      <c r="W97" s="78">
        <f t="shared" si="27"/>
        <v>13750000</v>
      </c>
      <c r="X97" s="78">
        <f t="shared" si="33"/>
        <v>6875000</v>
      </c>
      <c r="Y97" s="78">
        <f t="shared" si="30"/>
        <v>15125000</v>
      </c>
    </row>
    <row r="98" spans="2:25" ht="25" customHeight="1" x14ac:dyDescent="0.35">
      <c r="B98" s="1">
        <v>1294</v>
      </c>
      <c r="C98" s="3" t="s">
        <v>34</v>
      </c>
      <c r="D98" s="4" t="s">
        <v>135</v>
      </c>
      <c r="E98" s="2">
        <v>35771</v>
      </c>
      <c r="F98" s="1" t="s">
        <v>163</v>
      </c>
      <c r="G98" s="1" t="s">
        <v>196</v>
      </c>
      <c r="H98" s="1" t="s">
        <v>198</v>
      </c>
      <c r="I98" s="1" t="str">
        <f t="shared" si="28"/>
        <v>Soekarno-Hatta Airport</v>
      </c>
      <c r="J98" s="4" t="str">
        <f>INDEX('ADD1'!$B$5:$B$27,MATCH(Master!R98,'ADD1'!$C$5:$C$27,0))</f>
        <v>Radin Inten II, Bandar Lampung</v>
      </c>
      <c r="L98" s="1">
        <v>103</v>
      </c>
      <c r="M98" s="1" t="str">
        <f t="shared" si="22"/>
        <v>Tuesday</v>
      </c>
      <c r="N98" s="1">
        <f t="shared" si="23"/>
        <v>3</v>
      </c>
      <c r="O98" s="1" t="str">
        <f t="shared" si="24"/>
        <v>Tuesday</v>
      </c>
      <c r="P98" s="1">
        <f t="shared" si="25"/>
        <v>5</v>
      </c>
      <c r="Q98" s="6" t="s">
        <v>378</v>
      </c>
      <c r="R98" s="1" t="str">
        <f t="shared" si="29"/>
        <v>TKG</v>
      </c>
      <c r="S98" s="1" t="s">
        <v>318</v>
      </c>
      <c r="T98" s="11" t="str">
        <f>INDEX('ADD1'!$B$32:$B$53,MATCH(Master!S98,'ADD1'!$C$32:$C$53,0))</f>
        <v>Batik Air</v>
      </c>
      <c r="U98" s="74">
        <f t="shared" si="31"/>
        <v>100</v>
      </c>
      <c r="V98" s="77">
        <f t="shared" si="26"/>
        <v>157.21271884344958</v>
      </c>
      <c r="W98" s="78">
        <f t="shared" si="27"/>
        <v>2350000</v>
      </c>
      <c r="Y98" s="78">
        <f t="shared" si="30"/>
        <v>2585000</v>
      </c>
    </row>
    <row r="99" spans="2:25" ht="25" customHeight="1" x14ac:dyDescent="0.35">
      <c r="B99" s="1">
        <v>1295</v>
      </c>
      <c r="C99" s="1" t="s">
        <v>35</v>
      </c>
      <c r="D99" s="4" t="s">
        <v>136</v>
      </c>
      <c r="E99" s="2">
        <v>31599</v>
      </c>
      <c r="F99" s="1" t="s">
        <v>163</v>
      </c>
      <c r="G99" s="1" t="s">
        <v>196</v>
      </c>
      <c r="H99" s="1" t="s">
        <v>199</v>
      </c>
      <c r="I99" s="1" t="str">
        <f t="shared" si="28"/>
        <v>Singapore Changi Airport</v>
      </c>
      <c r="K99" s="4" t="str">
        <f>INDEX('ADD1'!$D$5:$D$27,MATCH(Master!R99,'ADD1'!$E$5:$E$27,0))</f>
        <v>Zurich International Airport</v>
      </c>
      <c r="L99" s="1">
        <v>102</v>
      </c>
      <c r="M99" s="1" t="str">
        <f t="shared" si="22"/>
        <v>Monday</v>
      </c>
      <c r="N99" s="1">
        <f t="shared" si="23"/>
        <v>1</v>
      </c>
      <c r="O99" s="1" t="str">
        <f t="shared" si="24"/>
        <v>Monday</v>
      </c>
      <c r="P99" s="1">
        <f t="shared" si="25"/>
        <v>3</v>
      </c>
      <c r="Q99" s="6" t="s">
        <v>402</v>
      </c>
      <c r="R99" s="1" t="str">
        <f t="shared" si="29"/>
        <v>ZRH</v>
      </c>
      <c r="S99" s="1" t="s">
        <v>332</v>
      </c>
      <c r="T99" s="11" t="str">
        <f>INDEX('ADD1'!$B$32:$B$53,MATCH(Master!S99,'ADD1'!$C$32:$C$53,0))</f>
        <v>Turkish Airlines</v>
      </c>
      <c r="U99" s="74">
        <f t="shared" si="31"/>
        <v>50</v>
      </c>
      <c r="V99" s="77">
        <f t="shared" si="26"/>
        <v>699.429351280113</v>
      </c>
      <c r="W99" s="78">
        <f t="shared" si="27"/>
        <v>10455000</v>
      </c>
      <c r="X99" s="78">
        <f>W99*50%</f>
        <v>5227500</v>
      </c>
      <c r="Y99" s="78">
        <f t="shared" si="30"/>
        <v>11500500</v>
      </c>
    </row>
    <row r="100" spans="2:25" ht="25" customHeight="1" x14ac:dyDescent="0.35">
      <c r="B100" s="1">
        <v>1296</v>
      </c>
      <c r="C100" s="1" t="s">
        <v>35</v>
      </c>
      <c r="D100" s="4" t="s">
        <v>137</v>
      </c>
      <c r="E100" s="2">
        <v>29285</v>
      </c>
      <c r="F100" s="1" t="s">
        <v>163</v>
      </c>
      <c r="G100" s="1" t="s">
        <v>196</v>
      </c>
      <c r="H100" s="1" t="s">
        <v>198</v>
      </c>
      <c r="I100" s="1" t="str">
        <f t="shared" si="28"/>
        <v>Soekarno-Hatta Airport</v>
      </c>
      <c r="J100" s="4" t="str">
        <f>INDEX('ADD1'!$B$5:$B$27,MATCH(Master!R100,'ADD1'!$C$5:$C$27,0))</f>
        <v>Juanda, Surabaya</v>
      </c>
      <c r="L100" s="1">
        <v>101</v>
      </c>
      <c r="M100" s="1" t="str">
        <f t="shared" si="22"/>
        <v>Sunday</v>
      </c>
      <c r="N100" s="1">
        <f t="shared" si="23"/>
        <v>9</v>
      </c>
      <c r="O100" s="1" t="str">
        <f t="shared" si="24"/>
        <v>Sunday</v>
      </c>
      <c r="P100" s="1">
        <f t="shared" si="25"/>
        <v>11</v>
      </c>
      <c r="Q100" s="6" t="s">
        <v>349</v>
      </c>
      <c r="R100" s="1" t="str">
        <f t="shared" si="29"/>
        <v>SUB</v>
      </c>
      <c r="S100" s="1" t="s">
        <v>326</v>
      </c>
      <c r="T100" s="11" t="str">
        <f>INDEX('ADD1'!$B$32:$B$53,MATCH(Master!S100,'ADD1'!$C$32:$C$53,0))</f>
        <v>Lion Air</v>
      </c>
      <c r="U100" s="74">
        <f t="shared" si="31"/>
        <v>100</v>
      </c>
      <c r="V100" s="77">
        <f t="shared" si="26"/>
        <v>130.45310712541561</v>
      </c>
      <c r="W100" s="78">
        <f t="shared" si="27"/>
        <v>1950000</v>
      </c>
      <c r="Y100" s="78">
        <f t="shared" si="30"/>
        <v>2145000</v>
      </c>
    </row>
    <row r="101" spans="2:25" ht="25" customHeight="1" x14ac:dyDescent="0.35">
      <c r="B101" s="1">
        <v>1297</v>
      </c>
      <c r="C101" s="1" t="s">
        <v>35</v>
      </c>
      <c r="D101" s="4" t="s">
        <v>138</v>
      </c>
      <c r="E101" s="2">
        <v>29567</v>
      </c>
      <c r="F101" s="1" t="s">
        <v>162</v>
      </c>
      <c r="G101" s="1" t="s">
        <v>196</v>
      </c>
      <c r="H101" s="1" t="s">
        <v>198</v>
      </c>
      <c r="I101" s="1" t="str">
        <f t="shared" si="28"/>
        <v>Soekarno-Hatta Airport</v>
      </c>
      <c r="J101" s="4" t="str">
        <f>INDEX('ADD1'!$B$5:$B$27,MATCH(Master!R101,'ADD1'!$C$5:$C$27,0))</f>
        <v>Sultan Syarif Kasim II, Riau</v>
      </c>
      <c r="L101" s="1">
        <v>105</v>
      </c>
      <c r="M101" s="1" t="str">
        <f t="shared" ref="M101:M124" si="34">VLOOKUP(L101,Departure,2,0)</f>
        <v>Thursday</v>
      </c>
      <c r="N101" s="1">
        <f t="shared" ref="N101:N124" si="35">VLOOKUP(L101,Departure,3,0)</f>
        <v>9</v>
      </c>
      <c r="O101" s="1" t="str">
        <f t="shared" ref="O101:O124" si="36">HLOOKUP(L101,Arrival,2,0)</f>
        <v>Thursday</v>
      </c>
      <c r="P101" s="1">
        <f t="shared" ref="P101:P124" si="37">HLOOKUP(L101,Arrival,3,0)</f>
        <v>11</v>
      </c>
      <c r="Q101" s="6" t="s">
        <v>350</v>
      </c>
      <c r="R101" s="1" t="str">
        <f t="shared" si="29"/>
        <v>PKU</v>
      </c>
      <c r="S101" s="1" t="s">
        <v>318</v>
      </c>
      <c r="T101" s="11" t="str">
        <f>INDEX('ADD1'!$B$32:$B$53,MATCH(Master!S101,'ADD1'!$C$32:$C$53,0))</f>
        <v>Batik Air</v>
      </c>
      <c r="U101" s="74">
        <f t="shared" si="31"/>
        <v>100</v>
      </c>
      <c r="V101" s="77">
        <f t="shared" ref="V101:V124" si="38">VLOOKUP(R101,Price,3,0)</f>
        <v>133.79805859016986</v>
      </c>
      <c r="W101" s="78">
        <f t="shared" ref="W101:W124" si="39">VLOOKUP(R101,Price,2,0)</f>
        <v>2000000</v>
      </c>
      <c r="Y101" s="78">
        <f t="shared" si="30"/>
        <v>2200000</v>
      </c>
    </row>
    <row r="102" spans="2:25" ht="25" customHeight="1" x14ac:dyDescent="0.35">
      <c r="B102" s="1">
        <v>1298</v>
      </c>
      <c r="C102" s="1" t="s">
        <v>35</v>
      </c>
      <c r="D102" s="4" t="s">
        <v>139</v>
      </c>
      <c r="E102" s="2">
        <v>29688</v>
      </c>
      <c r="F102" s="1" t="s">
        <v>162</v>
      </c>
      <c r="G102" s="1" t="s">
        <v>196</v>
      </c>
      <c r="H102" s="1" t="s">
        <v>198</v>
      </c>
      <c r="I102" s="1" t="str">
        <f t="shared" si="28"/>
        <v>Soekarno-Hatta Airport</v>
      </c>
      <c r="J102" s="4" t="str">
        <f>INDEX('ADD1'!$B$5:$B$27,MATCH(Master!R102,'ADD1'!$C$5:$C$27,0))</f>
        <v>Sultan Iskanda Muda, Aceh</v>
      </c>
      <c r="L102" s="1">
        <v>104</v>
      </c>
      <c r="M102" s="1" t="str">
        <f t="shared" si="34"/>
        <v>Wednesday</v>
      </c>
      <c r="N102" s="1">
        <f t="shared" si="35"/>
        <v>7</v>
      </c>
      <c r="O102" s="1" t="str">
        <f t="shared" si="36"/>
        <v>Wednesday</v>
      </c>
      <c r="P102" s="1">
        <f t="shared" si="37"/>
        <v>9</v>
      </c>
      <c r="Q102" s="6" t="s">
        <v>353</v>
      </c>
      <c r="R102" s="1" t="str">
        <f t="shared" si="29"/>
        <v>BTJ</v>
      </c>
      <c r="S102" s="1" t="s">
        <v>318</v>
      </c>
      <c r="T102" s="11" t="str">
        <f>INDEX('ADD1'!$B$32:$B$53,MATCH(Master!S102,'ADD1'!$C$32:$C$53,0))</f>
        <v>Batik Air</v>
      </c>
      <c r="U102" s="74">
        <f t="shared" si="31"/>
        <v>100</v>
      </c>
      <c r="V102" s="77">
        <f t="shared" si="38"/>
        <v>163.90262177295807</v>
      </c>
      <c r="W102" s="78">
        <f t="shared" si="39"/>
        <v>2450000</v>
      </c>
      <c r="Y102" s="78">
        <f t="shared" si="30"/>
        <v>2695000</v>
      </c>
    </row>
    <row r="103" spans="2:25" ht="25" customHeight="1" x14ac:dyDescent="0.35">
      <c r="B103" s="1">
        <v>1299</v>
      </c>
      <c r="C103" s="1" t="s">
        <v>36</v>
      </c>
      <c r="D103" s="4" t="s">
        <v>140</v>
      </c>
      <c r="E103" s="2">
        <v>36504</v>
      </c>
      <c r="F103" s="1" t="s">
        <v>162</v>
      </c>
      <c r="G103" s="1" t="s">
        <v>197</v>
      </c>
      <c r="H103" s="1" t="s">
        <v>198</v>
      </c>
      <c r="I103" s="1" t="str">
        <f t="shared" si="28"/>
        <v>Soekarno-Hatta Airport</v>
      </c>
      <c r="J103" s="4" t="str">
        <f>INDEX('ADD1'!$B$5:$B$27,MATCH(Master!R103,'ADD1'!$C$5:$C$27,0))</f>
        <v>Supadio, Pontianak</v>
      </c>
      <c r="L103" s="1">
        <v>103</v>
      </c>
      <c r="M103" s="1" t="str">
        <f t="shared" si="34"/>
        <v>Tuesday</v>
      </c>
      <c r="N103" s="1">
        <f t="shared" si="35"/>
        <v>3</v>
      </c>
      <c r="O103" s="1" t="str">
        <f t="shared" si="36"/>
        <v>Tuesday</v>
      </c>
      <c r="P103" s="1">
        <f t="shared" si="37"/>
        <v>5</v>
      </c>
      <c r="Q103" s="6" t="s">
        <v>354</v>
      </c>
      <c r="R103" s="1" t="str">
        <f t="shared" si="29"/>
        <v>PNK</v>
      </c>
      <c r="S103" s="1" t="s">
        <v>321</v>
      </c>
      <c r="T103" s="11" t="str">
        <f>INDEX('ADD1'!$B$32:$B$53,MATCH(Master!S103,'ADD1'!$C$32:$C$53,0))</f>
        <v>Garuda Indonesia</v>
      </c>
      <c r="U103" s="74">
        <f t="shared" si="31"/>
        <v>100</v>
      </c>
      <c r="V103" s="77">
        <f t="shared" si="38"/>
        <v>143.8329129844326</v>
      </c>
      <c r="W103" s="78">
        <f t="shared" si="39"/>
        <v>2150000</v>
      </c>
      <c r="Y103" s="78">
        <f t="shared" si="30"/>
        <v>2365000</v>
      </c>
    </row>
    <row r="104" spans="2:25" ht="25" customHeight="1" x14ac:dyDescent="0.35">
      <c r="B104" s="1">
        <v>1300</v>
      </c>
      <c r="C104" s="3" t="s">
        <v>36</v>
      </c>
      <c r="D104" s="4" t="s">
        <v>141</v>
      </c>
      <c r="E104" s="1" t="s">
        <v>179</v>
      </c>
      <c r="F104" s="1" t="s">
        <v>162</v>
      </c>
      <c r="G104" s="1" t="s">
        <v>196</v>
      </c>
      <c r="H104" s="1" t="s">
        <v>198</v>
      </c>
      <c r="I104" s="1" t="str">
        <f t="shared" si="28"/>
        <v>Soekarno-Hatta Airport</v>
      </c>
      <c r="J104" s="4" t="str">
        <f>INDEX('ADD1'!$B$5:$B$27,MATCH(Master!R104,'ADD1'!$C$5:$C$27,0))</f>
        <v>Ngurah Rai, Denpasar Bali</v>
      </c>
      <c r="L104" s="1">
        <v>102</v>
      </c>
      <c r="M104" s="1" t="str">
        <f t="shared" si="34"/>
        <v>Monday</v>
      </c>
      <c r="N104" s="1">
        <f t="shared" si="35"/>
        <v>1</v>
      </c>
      <c r="O104" s="1" t="str">
        <f t="shared" si="36"/>
        <v>Monday</v>
      </c>
      <c r="P104" s="1">
        <f t="shared" si="37"/>
        <v>3</v>
      </c>
      <c r="Q104" s="6" t="s">
        <v>355</v>
      </c>
      <c r="R104" s="1" t="str">
        <f t="shared" si="29"/>
        <v>DPS</v>
      </c>
      <c r="S104" s="1" t="s">
        <v>321</v>
      </c>
      <c r="T104" s="11" t="str">
        <f>INDEX('ADD1'!$B$32:$B$53,MATCH(Master!S104,'ADD1'!$C$32:$C$53,0))</f>
        <v>Garuda Indonesia</v>
      </c>
      <c r="U104" s="74">
        <f t="shared" si="31"/>
        <v>100</v>
      </c>
      <c r="V104" s="77">
        <f t="shared" si="38"/>
        <v>130.45310712541561</v>
      </c>
      <c r="W104" s="78">
        <f t="shared" si="39"/>
        <v>1950000</v>
      </c>
      <c r="Y104" s="78">
        <f t="shared" si="30"/>
        <v>2145000</v>
      </c>
    </row>
    <row r="105" spans="2:25" ht="25" customHeight="1" x14ac:dyDescent="0.35">
      <c r="B105" s="1">
        <v>1301</v>
      </c>
      <c r="C105" s="1" t="s">
        <v>36</v>
      </c>
      <c r="D105" s="4" t="s">
        <v>142</v>
      </c>
      <c r="E105" s="1" t="s">
        <v>180</v>
      </c>
      <c r="F105" s="1" t="s">
        <v>163</v>
      </c>
      <c r="G105" s="1" t="s">
        <v>196</v>
      </c>
      <c r="H105" s="1" t="s">
        <v>198</v>
      </c>
      <c r="I105" s="1" t="str">
        <f t="shared" si="28"/>
        <v>Soekarno-Hatta Airport</v>
      </c>
      <c r="J105" s="4" t="str">
        <f>INDEX('ADD1'!$B$5:$B$27,MATCH(Master!R105,'ADD1'!$C$5:$C$27,0))</f>
        <v>Sultan Syarif Kasim II, Riau</v>
      </c>
      <c r="L105" s="1">
        <v>105</v>
      </c>
      <c r="M105" s="1" t="str">
        <f t="shared" si="34"/>
        <v>Thursday</v>
      </c>
      <c r="N105" s="1">
        <f t="shared" si="35"/>
        <v>9</v>
      </c>
      <c r="O105" s="1" t="str">
        <f t="shared" si="36"/>
        <v>Thursday</v>
      </c>
      <c r="P105" s="1">
        <f t="shared" si="37"/>
        <v>11</v>
      </c>
      <c r="Q105" s="6" t="s">
        <v>350</v>
      </c>
      <c r="R105" s="1" t="str">
        <f t="shared" si="29"/>
        <v>PKU</v>
      </c>
      <c r="S105" s="1" t="s">
        <v>318</v>
      </c>
      <c r="T105" s="11" t="str">
        <f>INDEX('ADD1'!$B$32:$B$53,MATCH(Master!S105,'ADD1'!$C$32:$C$53,0))</f>
        <v>Batik Air</v>
      </c>
      <c r="U105" s="74">
        <f t="shared" si="31"/>
        <v>100</v>
      </c>
      <c r="V105" s="77">
        <f t="shared" si="38"/>
        <v>133.79805859016986</v>
      </c>
      <c r="W105" s="78">
        <f t="shared" si="39"/>
        <v>2000000</v>
      </c>
      <c r="Y105" s="78">
        <f t="shared" si="30"/>
        <v>2200000</v>
      </c>
    </row>
    <row r="106" spans="2:25" ht="25" customHeight="1" x14ac:dyDescent="0.35">
      <c r="B106" s="1">
        <v>1302</v>
      </c>
      <c r="C106" s="1" t="s">
        <v>36</v>
      </c>
      <c r="D106" s="4" t="s">
        <v>143</v>
      </c>
      <c r="E106" s="2">
        <v>36468</v>
      </c>
      <c r="F106" s="1" t="s">
        <v>163</v>
      </c>
      <c r="G106" s="1" t="s">
        <v>196</v>
      </c>
      <c r="H106" s="1" t="s">
        <v>198</v>
      </c>
      <c r="I106" s="1" t="str">
        <f t="shared" si="28"/>
        <v>Soekarno-Hatta Airport</v>
      </c>
      <c r="J106" s="4" t="str">
        <f>INDEX('ADD1'!$B$5:$B$27,MATCH(Master!R106,'ADD1'!$C$5:$C$27,0))</f>
        <v>Sultan Iskanda Muda, Aceh</v>
      </c>
      <c r="L106" s="1">
        <v>104</v>
      </c>
      <c r="M106" s="1" t="str">
        <f t="shared" si="34"/>
        <v>Wednesday</v>
      </c>
      <c r="N106" s="1">
        <f t="shared" si="35"/>
        <v>7</v>
      </c>
      <c r="O106" s="1" t="str">
        <f t="shared" si="36"/>
        <v>Wednesday</v>
      </c>
      <c r="P106" s="1">
        <f t="shared" si="37"/>
        <v>9</v>
      </c>
      <c r="Q106" s="6" t="s">
        <v>353</v>
      </c>
      <c r="R106" s="1" t="str">
        <f t="shared" si="29"/>
        <v>BTJ</v>
      </c>
      <c r="S106" s="1" t="s">
        <v>318</v>
      </c>
      <c r="T106" s="11" t="str">
        <f>INDEX('ADD1'!$B$32:$B$53,MATCH(Master!S106,'ADD1'!$C$32:$C$53,0))</f>
        <v>Batik Air</v>
      </c>
      <c r="U106" s="74">
        <f t="shared" si="31"/>
        <v>100</v>
      </c>
      <c r="V106" s="77">
        <f t="shared" si="38"/>
        <v>163.90262177295807</v>
      </c>
      <c r="W106" s="78">
        <f t="shared" si="39"/>
        <v>2450000</v>
      </c>
      <c r="Y106" s="78">
        <f t="shared" si="30"/>
        <v>2695000</v>
      </c>
    </row>
    <row r="107" spans="2:25" ht="25" customHeight="1" x14ac:dyDescent="0.35">
      <c r="B107" s="1">
        <v>1303</v>
      </c>
      <c r="C107" s="1" t="s">
        <v>36</v>
      </c>
      <c r="D107" s="4" t="s">
        <v>144</v>
      </c>
      <c r="E107" s="1" t="s">
        <v>181</v>
      </c>
      <c r="F107" s="1" t="s">
        <v>162</v>
      </c>
      <c r="G107" s="1" t="s">
        <v>197</v>
      </c>
      <c r="H107" s="1" t="s">
        <v>198</v>
      </c>
      <c r="I107" s="1" t="str">
        <f t="shared" si="28"/>
        <v>Soekarno-Hatta Airport</v>
      </c>
      <c r="J107" s="4" t="str">
        <f>INDEX('ADD1'!$B$5:$B$27,MATCH(Master!R107,'ADD1'!$C$5:$C$27,0))</f>
        <v>Supadio, Pontianak</v>
      </c>
      <c r="L107" s="1">
        <v>103</v>
      </c>
      <c r="M107" s="1" t="str">
        <f t="shared" si="34"/>
        <v>Tuesday</v>
      </c>
      <c r="N107" s="1">
        <f t="shared" si="35"/>
        <v>3</v>
      </c>
      <c r="O107" s="1" t="str">
        <f t="shared" si="36"/>
        <v>Tuesday</v>
      </c>
      <c r="P107" s="1">
        <f t="shared" si="37"/>
        <v>5</v>
      </c>
      <c r="Q107" s="6" t="s">
        <v>354</v>
      </c>
      <c r="R107" s="1" t="str">
        <f t="shared" si="29"/>
        <v>PNK</v>
      </c>
      <c r="S107" s="1" t="s">
        <v>321</v>
      </c>
      <c r="T107" s="11" t="str">
        <f>INDEX('ADD1'!$B$32:$B$53,MATCH(Master!S107,'ADD1'!$C$32:$C$53,0))</f>
        <v>Garuda Indonesia</v>
      </c>
      <c r="U107" s="74">
        <f t="shared" si="31"/>
        <v>100</v>
      </c>
      <c r="V107" s="77">
        <f t="shared" si="38"/>
        <v>143.8329129844326</v>
      </c>
      <c r="W107" s="78">
        <f t="shared" si="39"/>
        <v>2150000</v>
      </c>
      <c r="Y107" s="78">
        <f t="shared" si="30"/>
        <v>2365000</v>
      </c>
    </row>
    <row r="108" spans="2:25" ht="25" customHeight="1" x14ac:dyDescent="0.35">
      <c r="B108" s="1">
        <v>1304</v>
      </c>
      <c r="C108" s="1" t="s">
        <v>36</v>
      </c>
      <c r="D108" s="4" t="s">
        <v>145</v>
      </c>
      <c r="E108" s="1" t="s">
        <v>182</v>
      </c>
      <c r="F108" s="1" t="s">
        <v>162</v>
      </c>
      <c r="G108" s="1" t="s">
        <v>196</v>
      </c>
      <c r="H108" s="1" t="s">
        <v>198</v>
      </c>
      <c r="I108" s="1" t="str">
        <f t="shared" si="28"/>
        <v>Soekarno-Hatta Airport</v>
      </c>
      <c r="J108" s="4" t="str">
        <f>INDEX('ADD1'!$B$5:$B$27,MATCH(Master!R108,'ADD1'!$C$5:$C$27,0))</f>
        <v>Ngurah Rai, Denpasar Bali</v>
      </c>
      <c r="L108" s="1">
        <v>102</v>
      </c>
      <c r="M108" s="1" t="str">
        <f t="shared" si="34"/>
        <v>Monday</v>
      </c>
      <c r="N108" s="1">
        <f t="shared" si="35"/>
        <v>1</v>
      </c>
      <c r="O108" s="1" t="str">
        <f t="shared" si="36"/>
        <v>Monday</v>
      </c>
      <c r="P108" s="1">
        <f t="shared" si="37"/>
        <v>3</v>
      </c>
      <c r="Q108" s="6" t="s">
        <v>355</v>
      </c>
      <c r="R108" s="1" t="str">
        <f t="shared" si="29"/>
        <v>DPS</v>
      </c>
      <c r="S108" s="1" t="s">
        <v>321</v>
      </c>
      <c r="T108" s="11" t="str">
        <f>INDEX('ADD1'!$B$32:$B$53,MATCH(Master!S108,'ADD1'!$C$32:$C$53,0))</f>
        <v>Garuda Indonesia</v>
      </c>
      <c r="U108" s="74">
        <f t="shared" si="31"/>
        <v>100</v>
      </c>
      <c r="V108" s="77">
        <f t="shared" si="38"/>
        <v>130.45310712541561</v>
      </c>
      <c r="W108" s="78">
        <f t="shared" si="39"/>
        <v>1950000</v>
      </c>
      <c r="Y108" s="78">
        <f t="shared" si="30"/>
        <v>2145000</v>
      </c>
    </row>
    <row r="109" spans="2:25" ht="25" customHeight="1" x14ac:dyDescent="0.35">
      <c r="B109" s="1">
        <v>1305</v>
      </c>
      <c r="C109" s="1" t="s">
        <v>32</v>
      </c>
      <c r="D109" s="4" t="s">
        <v>146</v>
      </c>
      <c r="E109" s="1" t="s">
        <v>183</v>
      </c>
      <c r="F109" s="1" t="s">
        <v>162</v>
      </c>
      <c r="G109" s="1" t="s">
        <v>196</v>
      </c>
      <c r="H109" s="1" t="s">
        <v>198</v>
      </c>
      <c r="I109" s="1" t="str">
        <f t="shared" si="28"/>
        <v>Soekarno-Hatta Airport</v>
      </c>
      <c r="J109" s="4" t="str">
        <f>INDEX('ADD1'!$B$5:$B$27,MATCH(Master!R109,'ADD1'!$C$5:$C$27,0))</f>
        <v>Ngurah Rai, Denpasar Bali</v>
      </c>
      <c r="L109" s="1">
        <v>104</v>
      </c>
      <c r="M109" s="1" t="str">
        <f t="shared" si="34"/>
        <v>Wednesday</v>
      </c>
      <c r="N109" s="1">
        <f t="shared" si="35"/>
        <v>7</v>
      </c>
      <c r="O109" s="1" t="str">
        <f t="shared" si="36"/>
        <v>Wednesday</v>
      </c>
      <c r="P109" s="1">
        <f t="shared" si="37"/>
        <v>9</v>
      </c>
      <c r="Q109" s="6" t="s">
        <v>356</v>
      </c>
      <c r="R109" s="1" t="str">
        <f t="shared" si="29"/>
        <v>DPS</v>
      </c>
      <c r="S109" s="1" t="s">
        <v>322</v>
      </c>
      <c r="T109" s="11" t="str">
        <f>INDEX('ADD1'!$B$32:$B$53,MATCH(Master!S109,'ADD1'!$C$32:$C$53,0))</f>
        <v>Indonesia AirAsia</v>
      </c>
      <c r="U109" s="74">
        <f t="shared" si="31"/>
        <v>100</v>
      </c>
      <c r="V109" s="77">
        <f t="shared" si="38"/>
        <v>130.45310712541561</v>
      </c>
      <c r="W109" s="78">
        <f t="shared" si="39"/>
        <v>1950000</v>
      </c>
      <c r="Y109" s="78">
        <f t="shared" si="30"/>
        <v>2145000</v>
      </c>
    </row>
    <row r="110" spans="2:25" ht="25" customHeight="1" x14ac:dyDescent="0.35">
      <c r="B110" s="1">
        <v>1306</v>
      </c>
      <c r="C110" s="1" t="s">
        <v>32</v>
      </c>
      <c r="D110" s="4" t="s">
        <v>147</v>
      </c>
      <c r="E110" s="1" t="s">
        <v>184</v>
      </c>
      <c r="F110" s="1" t="s">
        <v>163</v>
      </c>
      <c r="G110" s="1" t="s">
        <v>197</v>
      </c>
      <c r="H110" s="1" t="s">
        <v>198</v>
      </c>
      <c r="I110" s="1" t="str">
        <f t="shared" si="28"/>
        <v>Soekarno-Hatta Airport</v>
      </c>
      <c r="J110" s="4" t="str">
        <f>INDEX('ADD1'!$B$5:$B$27,MATCH(Master!R110,'ADD1'!$C$5:$C$27,0))</f>
        <v>Kualanamu, Medan</v>
      </c>
      <c r="L110" s="1">
        <v>102</v>
      </c>
      <c r="M110" s="1" t="str">
        <f t="shared" si="34"/>
        <v>Monday</v>
      </c>
      <c r="N110" s="1">
        <f t="shared" si="35"/>
        <v>1</v>
      </c>
      <c r="O110" s="1" t="str">
        <f t="shared" si="36"/>
        <v>Monday</v>
      </c>
      <c r="P110" s="1">
        <f t="shared" si="37"/>
        <v>3</v>
      </c>
      <c r="Q110" s="6" t="s">
        <v>357</v>
      </c>
      <c r="R110" s="1" t="str">
        <f t="shared" si="29"/>
        <v>KNO</v>
      </c>
      <c r="S110" s="1" t="s">
        <v>321</v>
      </c>
      <c r="T110" s="11" t="str">
        <f>INDEX('ADD1'!$B$32:$B$53,MATCH(Master!S110,'ADD1'!$C$32:$C$53,0))</f>
        <v>Garuda Indonesia</v>
      </c>
      <c r="U110" s="74">
        <f t="shared" si="31"/>
        <v>100</v>
      </c>
      <c r="V110" s="77">
        <f t="shared" si="38"/>
        <v>147.17786444918684</v>
      </c>
      <c r="W110" s="78">
        <f t="shared" si="39"/>
        <v>2200000</v>
      </c>
      <c r="Y110" s="78">
        <f t="shared" si="30"/>
        <v>2420000</v>
      </c>
    </row>
    <row r="111" spans="2:25" ht="25" customHeight="1" x14ac:dyDescent="0.35">
      <c r="B111" s="1">
        <v>1307</v>
      </c>
      <c r="C111" s="1" t="s">
        <v>32</v>
      </c>
      <c r="D111" s="4" t="s">
        <v>148</v>
      </c>
      <c r="E111" s="1" t="s">
        <v>185</v>
      </c>
      <c r="F111" s="1" t="s">
        <v>163</v>
      </c>
      <c r="G111" s="1" t="s">
        <v>196</v>
      </c>
      <c r="H111" s="1" t="s">
        <v>198</v>
      </c>
      <c r="I111" s="1" t="str">
        <f t="shared" si="28"/>
        <v>Soekarno-Hatta Airport</v>
      </c>
      <c r="J111" s="4" t="str">
        <f>INDEX('ADD1'!$B$5:$B$27,MATCH(Master!R111,'ADD1'!$C$5:$C$27,0))</f>
        <v>Jenderal Ahmad Yani, Semarang</v>
      </c>
      <c r="L111" s="1">
        <v>105</v>
      </c>
      <c r="M111" s="1" t="str">
        <f t="shared" si="34"/>
        <v>Thursday</v>
      </c>
      <c r="N111" s="1">
        <f t="shared" si="35"/>
        <v>9</v>
      </c>
      <c r="O111" s="1" t="str">
        <f t="shared" si="36"/>
        <v>Thursday</v>
      </c>
      <c r="P111" s="1">
        <f t="shared" si="37"/>
        <v>11</v>
      </c>
      <c r="Q111" s="6" t="s">
        <v>358</v>
      </c>
      <c r="R111" s="1" t="str">
        <f t="shared" si="29"/>
        <v>SRG</v>
      </c>
      <c r="S111" s="1" t="s">
        <v>327</v>
      </c>
      <c r="T111" s="11" t="str">
        <f>INDEX('ADD1'!$B$32:$B$53,MATCH(Master!S111,'ADD1'!$C$32:$C$53,0))</f>
        <v>Pelita Air</v>
      </c>
      <c r="U111" s="74">
        <f t="shared" si="31"/>
        <v>100</v>
      </c>
      <c r="V111" s="77">
        <f t="shared" si="38"/>
        <v>127.10815566066137</v>
      </c>
      <c r="W111" s="78">
        <f t="shared" si="39"/>
        <v>1900000</v>
      </c>
      <c r="Y111" s="78">
        <f t="shared" si="30"/>
        <v>2090000</v>
      </c>
    </row>
    <row r="112" spans="2:25" ht="25" customHeight="1" x14ac:dyDescent="0.35">
      <c r="B112" s="1">
        <v>1308</v>
      </c>
      <c r="C112" s="1" t="s">
        <v>37</v>
      </c>
      <c r="D112" s="4" t="s">
        <v>149</v>
      </c>
      <c r="E112" s="1" t="s">
        <v>172</v>
      </c>
      <c r="F112" s="1" t="s">
        <v>162</v>
      </c>
      <c r="G112" s="1" t="s">
        <v>196</v>
      </c>
      <c r="H112" s="1" t="s">
        <v>198</v>
      </c>
      <c r="I112" s="1" t="str">
        <f t="shared" si="28"/>
        <v>Soekarno-Hatta Airport</v>
      </c>
      <c r="J112" s="4" t="str">
        <f>INDEX('ADD1'!$B$5:$B$27,MATCH(Master!R112,'ADD1'!$C$5:$C$27,0))</f>
        <v>Hang Nadim, Kepulauan Riau</v>
      </c>
      <c r="L112" s="1">
        <v>103</v>
      </c>
      <c r="M112" s="1" t="str">
        <f t="shared" si="34"/>
        <v>Tuesday</v>
      </c>
      <c r="N112" s="1">
        <f t="shared" si="35"/>
        <v>3</v>
      </c>
      <c r="O112" s="1" t="str">
        <f t="shared" si="36"/>
        <v>Tuesday</v>
      </c>
      <c r="P112" s="1">
        <f t="shared" si="37"/>
        <v>5</v>
      </c>
      <c r="Q112" s="6" t="s">
        <v>359</v>
      </c>
      <c r="R112" s="1" t="str">
        <f t="shared" si="29"/>
        <v>BTH</v>
      </c>
      <c r="S112" s="1" t="s">
        <v>323</v>
      </c>
      <c r="T112" s="11" t="str">
        <f>INDEX('ADD1'!$B$32:$B$53,MATCH(Master!S112,'ADD1'!$C$32:$C$53,0))</f>
        <v>Transnusa</v>
      </c>
      <c r="U112" s="74">
        <f t="shared" si="31"/>
        <v>100</v>
      </c>
      <c r="V112" s="77">
        <f t="shared" si="38"/>
        <v>220.76679667378028</v>
      </c>
      <c r="W112" s="78">
        <f t="shared" si="39"/>
        <v>3300000</v>
      </c>
      <c r="Y112" s="78">
        <f t="shared" si="30"/>
        <v>3630000</v>
      </c>
    </row>
    <row r="113" spans="2:25" ht="25" customHeight="1" x14ac:dyDescent="0.35">
      <c r="B113" s="1">
        <v>1309</v>
      </c>
      <c r="C113" s="1" t="s">
        <v>37</v>
      </c>
      <c r="D113" s="4" t="s">
        <v>150</v>
      </c>
      <c r="E113" s="2">
        <v>36348</v>
      </c>
      <c r="F113" s="1" t="s">
        <v>162</v>
      </c>
      <c r="G113" s="1" t="s">
        <v>196</v>
      </c>
      <c r="H113" s="1" t="s">
        <v>199</v>
      </c>
      <c r="I113" s="1" t="str">
        <f t="shared" si="28"/>
        <v>Singapore Changi Airport</v>
      </c>
      <c r="K113" s="4" t="str">
        <f>INDEX('ADD1'!$D$5:$D$27,MATCH(Master!R113,'ADD1'!$E$5:$E$27,0))</f>
        <v>Kuala Lumpur International Airport</v>
      </c>
      <c r="L113" s="1">
        <v>103</v>
      </c>
      <c r="M113" s="1" t="str">
        <f t="shared" si="34"/>
        <v>Tuesday</v>
      </c>
      <c r="N113" s="1">
        <f t="shared" si="35"/>
        <v>3</v>
      </c>
      <c r="O113" s="1" t="str">
        <f t="shared" si="36"/>
        <v>Tuesday</v>
      </c>
      <c r="P113" s="1">
        <f t="shared" si="37"/>
        <v>5</v>
      </c>
      <c r="Q113" s="5" t="s">
        <v>398</v>
      </c>
      <c r="R113" s="1" t="str">
        <f t="shared" si="29"/>
        <v>KUL</v>
      </c>
      <c r="S113" s="1" t="s">
        <v>328</v>
      </c>
      <c r="T113" s="11" t="str">
        <f>INDEX('ADD1'!$B$32:$B$53,MATCH(Master!S113,'ADD1'!$C$32:$C$53,0))</f>
        <v>Singapore Airlines</v>
      </c>
      <c r="U113" s="74">
        <f t="shared" si="31"/>
        <v>50</v>
      </c>
      <c r="V113" s="77">
        <f t="shared" si="38"/>
        <v>187.31728202623779</v>
      </c>
      <c r="W113" s="78">
        <f t="shared" si="39"/>
        <v>2800000</v>
      </c>
      <c r="X113" s="78">
        <f>W113*50%</f>
        <v>1400000</v>
      </c>
      <c r="Y113" s="78">
        <f t="shared" si="30"/>
        <v>3080000</v>
      </c>
    </row>
    <row r="114" spans="2:25" ht="25" customHeight="1" x14ac:dyDescent="0.35">
      <c r="B114" s="1">
        <v>1310</v>
      </c>
      <c r="C114" s="1" t="s">
        <v>37</v>
      </c>
      <c r="D114" s="4" t="s">
        <v>151</v>
      </c>
      <c r="E114" s="1" t="s">
        <v>173</v>
      </c>
      <c r="F114" s="1" t="s">
        <v>162</v>
      </c>
      <c r="G114" s="1" t="s">
        <v>196</v>
      </c>
      <c r="H114" s="1" t="s">
        <v>198</v>
      </c>
      <c r="I114" s="1" t="str">
        <f t="shared" si="28"/>
        <v>Soekarno-Hatta Airport</v>
      </c>
      <c r="J114" s="4" t="str">
        <f>INDEX('ADD1'!$B$5:$B$27,MATCH(Master!R114,'ADD1'!$C$5:$C$27,0))</f>
        <v>Sultan Thaha, Jambi</v>
      </c>
      <c r="L114" s="1">
        <v>104</v>
      </c>
      <c r="M114" s="1" t="str">
        <f t="shared" si="34"/>
        <v>Wednesday</v>
      </c>
      <c r="N114" s="1">
        <f t="shared" si="35"/>
        <v>7</v>
      </c>
      <c r="O114" s="1" t="str">
        <f t="shared" si="36"/>
        <v>Wednesday</v>
      </c>
      <c r="P114" s="1">
        <f t="shared" si="37"/>
        <v>9</v>
      </c>
      <c r="Q114" s="6" t="s">
        <v>361</v>
      </c>
      <c r="R114" s="1" t="str">
        <f t="shared" si="29"/>
        <v>DJB</v>
      </c>
      <c r="S114" s="1" t="s">
        <v>326</v>
      </c>
      <c r="T114" s="11" t="str">
        <f>INDEX('ADD1'!$B$32:$B$53,MATCH(Master!S114,'ADD1'!$C$32:$C$53,0))</f>
        <v>Lion Air</v>
      </c>
      <c r="U114" s="74">
        <f t="shared" si="31"/>
        <v>100</v>
      </c>
      <c r="V114" s="77">
        <f t="shared" si="38"/>
        <v>157.54721398992501</v>
      </c>
      <c r="W114" s="78">
        <f t="shared" si="39"/>
        <v>2355000</v>
      </c>
      <c r="Y114" s="78">
        <f t="shared" si="30"/>
        <v>2590500</v>
      </c>
    </row>
    <row r="115" spans="2:25" ht="25" customHeight="1" x14ac:dyDescent="0.35">
      <c r="B115" s="1">
        <v>1311</v>
      </c>
      <c r="C115" s="1" t="s">
        <v>37</v>
      </c>
      <c r="D115" s="4" t="s">
        <v>152</v>
      </c>
      <c r="E115" s="1" t="s">
        <v>174</v>
      </c>
      <c r="F115" s="1" t="s">
        <v>163</v>
      </c>
      <c r="G115" s="1" t="s">
        <v>196</v>
      </c>
      <c r="H115" s="1" t="s">
        <v>198</v>
      </c>
      <c r="I115" s="1" t="str">
        <f t="shared" si="28"/>
        <v>Soekarno-Hatta Airport</v>
      </c>
      <c r="J115" s="4" t="str">
        <f>INDEX('ADD1'!$B$5:$B$27,MATCH(Master!R115,'ADD1'!$C$5:$C$27,0))</f>
        <v>Minangkabau, Padang</v>
      </c>
      <c r="L115" s="1">
        <v>104</v>
      </c>
      <c r="M115" s="1" t="str">
        <f t="shared" si="34"/>
        <v>Wednesday</v>
      </c>
      <c r="N115" s="1">
        <f t="shared" si="35"/>
        <v>7</v>
      </c>
      <c r="O115" s="1" t="str">
        <f t="shared" si="36"/>
        <v>Wednesday</v>
      </c>
      <c r="P115" s="1">
        <f t="shared" si="37"/>
        <v>9</v>
      </c>
      <c r="Q115" s="6" t="s">
        <v>362</v>
      </c>
      <c r="R115" s="1" t="str">
        <f t="shared" si="29"/>
        <v>PDG</v>
      </c>
      <c r="S115" s="1" t="s">
        <v>321</v>
      </c>
      <c r="T115" s="11" t="str">
        <f>INDEX('ADD1'!$B$32:$B$53,MATCH(Master!S115,'ADD1'!$C$32:$C$53,0))</f>
        <v>Garuda Indonesia</v>
      </c>
      <c r="U115" s="74">
        <f t="shared" si="31"/>
        <v>100</v>
      </c>
      <c r="V115" s="77">
        <f t="shared" si="38"/>
        <v>147.17786444918684</v>
      </c>
      <c r="W115" s="78">
        <f t="shared" si="39"/>
        <v>2200000</v>
      </c>
      <c r="Y115" s="78">
        <f t="shared" si="30"/>
        <v>2420000</v>
      </c>
    </row>
    <row r="116" spans="2:25" ht="25" customHeight="1" x14ac:dyDescent="0.35">
      <c r="B116" s="1">
        <v>1312</v>
      </c>
      <c r="C116" s="1" t="s">
        <v>38</v>
      </c>
      <c r="D116" s="4" t="s">
        <v>153</v>
      </c>
      <c r="E116" s="1" t="s">
        <v>186</v>
      </c>
      <c r="F116" s="1" t="s">
        <v>162</v>
      </c>
      <c r="G116" s="1" t="s">
        <v>197</v>
      </c>
      <c r="H116" s="1" t="s">
        <v>199</v>
      </c>
      <c r="I116" s="1" t="str">
        <f t="shared" si="28"/>
        <v>Singapore Changi Airport</v>
      </c>
      <c r="K116" s="4" t="str">
        <f>INDEX('ADD1'!$D$5:$D$27,MATCH(Master!R116,'ADD1'!$E$5:$E$27,0))</f>
        <v>Baiyun International Airport</v>
      </c>
      <c r="L116" s="1">
        <v>105</v>
      </c>
      <c r="M116" s="1" t="str">
        <f t="shared" si="34"/>
        <v>Thursday</v>
      </c>
      <c r="N116" s="1">
        <f t="shared" si="35"/>
        <v>9</v>
      </c>
      <c r="O116" s="1" t="str">
        <f t="shared" si="36"/>
        <v>Thursday</v>
      </c>
      <c r="P116" s="1">
        <f t="shared" si="37"/>
        <v>11</v>
      </c>
      <c r="Q116" s="6" t="s">
        <v>401</v>
      </c>
      <c r="R116" s="1" t="str">
        <f t="shared" si="29"/>
        <v>CAN</v>
      </c>
      <c r="S116" s="1" t="s">
        <v>335</v>
      </c>
      <c r="T116" s="11" t="str">
        <f>INDEX('ADD1'!$B$32:$B$53,MATCH(Master!S116,'ADD1'!$C$32:$C$53,0))</f>
        <v>Air France Airlines</v>
      </c>
      <c r="U116" s="74">
        <f t="shared" si="31"/>
        <v>50</v>
      </c>
      <c r="V116" s="77">
        <f t="shared" si="38"/>
        <v>658.95543855658661</v>
      </c>
      <c r="W116" s="78">
        <f t="shared" si="39"/>
        <v>9850000</v>
      </c>
      <c r="X116" s="78">
        <f>W116*50%</f>
        <v>4925000</v>
      </c>
      <c r="Y116" s="78">
        <f t="shared" si="30"/>
        <v>10835000</v>
      </c>
    </row>
    <row r="117" spans="2:25" ht="25" customHeight="1" x14ac:dyDescent="0.35">
      <c r="B117" s="1">
        <v>1313</v>
      </c>
      <c r="C117" s="1" t="s">
        <v>38</v>
      </c>
      <c r="D117" s="4" t="s">
        <v>154</v>
      </c>
      <c r="E117" s="1" t="s">
        <v>187</v>
      </c>
      <c r="F117" s="1" t="s">
        <v>162</v>
      </c>
      <c r="G117" s="1" t="s">
        <v>196</v>
      </c>
      <c r="H117" s="1" t="s">
        <v>198</v>
      </c>
      <c r="I117" s="1" t="str">
        <f t="shared" si="28"/>
        <v>Soekarno-Hatta Airport</v>
      </c>
      <c r="J117" s="4" t="str">
        <f>INDEX('ADD1'!$B$5:$B$27,MATCH(Master!R117,'ADD1'!$C$5:$C$27,0))</f>
        <v>Ngurah Rai, Denpasar Bali</v>
      </c>
      <c r="L117" s="1">
        <v>106</v>
      </c>
      <c r="M117" s="1" t="str">
        <f t="shared" si="34"/>
        <v>Friday</v>
      </c>
      <c r="N117" s="1">
        <f t="shared" si="35"/>
        <v>12</v>
      </c>
      <c r="O117" s="1" t="str">
        <f t="shared" si="36"/>
        <v>Friday</v>
      </c>
      <c r="P117" s="1">
        <f t="shared" si="37"/>
        <v>14</v>
      </c>
      <c r="Q117" s="6" t="s">
        <v>364</v>
      </c>
      <c r="R117" s="1" t="str">
        <f t="shared" si="29"/>
        <v>DPS</v>
      </c>
      <c r="S117" s="1" t="s">
        <v>322</v>
      </c>
      <c r="T117" s="11" t="str">
        <f>INDEX('ADD1'!$B$32:$B$53,MATCH(Master!S117,'ADD1'!$C$32:$C$53,0))</f>
        <v>Indonesia AirAsia</v>
      </c>
      <c r="U117" s="74">
        <f t="shared" si="31"/>
        <v>100</v>
      </c>
      <c r="V117" s="77">
        <f t="shared" si="38"/>
        <v>130.45310712541561</v>
      </c>
      <c r="W117" s="78">
        <f t="shared" si="39"/>
        <v>1950000</v>
      </c>
      <c r="Y117" s="78">
        <f t="shared" si="30"/>
        <v>2145000</v>
      </c>
    </row>
    <row r="118" spans="2:25" ht="25" customHeight="1" x14ac:dyDescent="0.35">
      <c r="B118" s="1">
        <v>1314</v>
      </c>
      <c r="C118" s="1" t="s">
        <v>38</v>
      </c>
      <c r="D118" s="4" t="s">
        <v>155</v>
      </c>
      <c r="E118" s="1" t="s">
        <v>188</v>
      </c>
      <c r="F118" s="1" t="s">
        <v>163</v>
      </c>
      <c r="G118" s="1" t="s">
        <v>196</v>
      </c>
      <c r="H118" s="1" t="s">
        <v>199</v>
      </c>
      <c r="I118" s="1" t="str">
        <f t="shared" si="28"/>
        <v>Singapore Changi Airport</v>
      </c>
      <c r="K118" s="4" t="str">
        <f>INDEX('ADD1'!$D$5:$D$27,MATCH(Master!R118,'ADD1'!$E$5:$E$27,0))</f>
        <v>Zurich International Airport</v>
      </c>
      <c r="L118" s="1">
        <v>102</v>
      </c>
      <c r="M118" s="1" t="str">
        <f t="shared" si="34"/>
        <v>Monday</v>
      </c>
      <c r="N118" s="1">
        <f t="shared" si="35"/>
        <v>1</v>
      </c>
      <c r="O118" s="1" t="str">
        <f t="shared" si="36"/>
        <v>Monday</v>
      </c>
      <c r="P118" s="1">
        <f t="shared" si="37"/>
        <v>3</v>
      </c>
      <c r="Q118" s="6" t="s">
        <v>402</v>
      </c>
      <c r="R118" s="1" t="str">
        <f t="shared" si="29"/>
        <v>ZRH</v>
      </c>
      <c r="S118" s="1" t="s">
        <v>332</v>
      </c>
      <c r="T118" s="11" t="str">
        <f>INDEX('ADD1'!$B$32:$B$53,MATCH(Master!S118,'ADD1'!$C$32:$C$53,0))</f>
        <v>Turkish Airlines</v>
      </c>
      <c r="U118" s="74">
        <f t="shared" si="31"/>
        <v>50</v>
      </c>
      <c r="V118" s="77">
        <f t="shared" si="38"/>
        <v>699.429351280113</v>
      </c>
      <c r="W118" s="78">
        <f t="shared" si="39"/>
        <v>10455000</v>
      </c>
      <c r="X118" s="78">
        <f>W118*50%</f>
        <v>5227500</v>
      </c>
      <c r="Y118" s="78">
        <f t="shared" si="30"/>
        <v>11500500</v>
      </c>
    </row>
    <row r="119" spans="2:25" ht="25" customHeight="1" x14ac:dyDescent="0.35">
      <c r="B119" s="1">
        <v>1315</v>
      </c>
      <c r="C119" s="1" t="s">
        <v>38</v>
      </c>
      <c r="D119" s="4" t="s">
        <v>156</v>
      </c>
      <c r="E119" s="1" t="s">
        <v>176</v>
      </c>
      <c r="F119" s="1" t="s">
        <v>162</v>
      </c>
      <c r="G119" s="1" t="s">
        <v>196</v>
      </c>
      <c r="H119" s="1" t="s">
        <v>198</v>
      </c>
      <c r="I119" s="1" t="str">
        <f t="shared" si="28"/>
        <v>Soekarno-Hatta Airport</v>
      </c>
      <c r="J119" s="4" t="str">
        <f>INDEX('ADD1'!$B$5:$B$27,MATCH(Master!R119,'ADD1'!$C$5:$C$27,0))</f>
        <v>Kualanamu, Medan</v>
      </c>
      <c r="L119" s="1">
        <v>102</v>
      </c>
      <c r="M119" s="1" t="str">
        <f t="shared" si="34"/>
        <v>Monday</v>
      </c>
      <c r="N119" s="1">
        <f t="shared" si="35"/>
        <v>1</v>
      </c>
      <c r="O119" s="1" t="str">
        <f t="shared" si="36"/>
        <v>Monday</v>
      </c>
      <c r="P119" s="1">
        <f t="shared" si="37"/>
        <v>3</v>
      </c>
      <c r="Q119" s="6" t="s">
        <v>357</v>
      </c>
      <c r="R119" s="1" t="str">
        <f t="shared" si="29"/>
        <v>KNO</v>
      </c>
      <c r="S119" s="1" t="s">
        <v>321</v>
      </c>
      <c r="T119" s="11" t="str">
        <f>INDEX('ADD1'!$B$32:$B$53,MATCH(Master!S119,'ADD1'!$C$32:$C$53,0))</f>
        <v>Garuda Indonesia</v>
      </c>
      <c r="U119" s="74">
        <f t="shared" si="31"/>
        <v>100</v>
      </c>
      <c r="V119" s="77">
        <f t="shared" si="38"/>
        <v>147.17786444918684</v>
      </c>
      <c r="W119" s="78">
        <f t="shared" si="39"/>
        <v>2200000</v>
      </c>
      <c r="Y119" s="78">
        <f t="shared" si="30"/>
        <v>2420000</v>
      </c>
    </row>
    <row r="120" spans="2:25" ht="25" customHeight="1" x14ac:dyDescent="0.35">
      <c r="B120" s="1">
        <v>1316</v>
      </c>
      <c r="C120" s="1" t="s">
        <v>38</v>
      </c>
      <c r="D120" s="4" t="s">
        <v>157</v>
      </c>
      <c r="E120" s="1" t="s">
        <v>189</v>
      </c>
      <c r="F120" s="1" t="s">
        <v>162</v>
      </c>
      <c r="G120" s="1" t="s">
        <v>196</v>
      </c>
      <c r="H120" s="1" t="s">
        <v>199</v>
      </c>
      <c r="I120" s="1" t="str">
        <f t="shared" si="28"/>
        <v>Singapore Changi Airport</v>
      </c>
      <c r="K120" s="4" t="str">
        <f>INDEX('ADD1'!$D$5:$D$27,MATCH(Master!R120,'ADD1'!$E$5:$E$27,0))</f>
        <v>Istanbul Turkey International Airport</v>
      </c>
      <c r="L120" s="1">
        <v>106</v>
      </c>
      <c r="M120" s="1" t="str">
        <f t="shared" si="34"/>
        <v>Friday</v>
      </c>
      <c r="N120" s="1">
        <f t="shared" si="35"/>
        <v>12</v>
      </c>
      <c r="O120" s="1" t="str">
        <f t="shared" si="36"/>
        <v>Friday</v>
      </c>
      <c r="P120" s="1">
        <f t="shared" si="37"/>
        <v>14</v>
      </c>
      <c r="Q120" s="6" t="s">
        <v>382</v>
      </c>
      <c r="R120" s="1" t="str">
        <f t="shared" si="29"/>
        <v>IST</v>
      </c>
      <c r="S120" s="1" t="s">
        <v>330</v>
      </c>
      <c r="T120" s="11" t="str">
        <f>INDEX('ADD1'!$B$32:$B$53,MATCH(Master!S120,'ADD1'!$C$32:$C$53,0))</f>
        <v>Qatar Airways</v>
      </c>
      <c r="U120" s="74">
        <f t="shared" si="31"/>
        <v>50</v>
      </c>
      <c r="V120" s="77">
        <f t="shared" si="38"/>
        <v>772.68378835823091</v>
      </c>
      <c r="W120" s="78">
        <f t="shared" si="39"/>
        <v>11550000</v>
      </c>
      <c r="X120" s="78">
        <f>W120*50%</f>
        <v>5775000</v>
      </c>
      <c r="Y120" s="78">
        <f t="shared" si="30"/>
        <v>12705000</v>
      </c>
    </row>
    <row r="121" spans="2:25" ht="25" customHeight="1" x14ac:dyDescent="0.35">
      <c r="B121" s="1">
        <v>1317</v>
      </c>
      <c r="C121" s="1" t="s">
        <v>39</v>
      </c>
      <c r="D121" s="4" t="s">
        <v>158</v>
      </c>
      <c r="E121" s="1" t="s">
        <v>190</v>
      </c>
      <c r="F121" s="1" t="s">
        <v>163</v>
      </c>
      <c r="G121" s="1" t="s">
        <v>196</v>
      </c>
      <c r="H121" s="1" t="s">
        <v>199</v>
      </c>
      <c r="I121" s="1" t="str">
        <f t="shared" si="28"/>
        <v>Singapore Changi Airport</v>
      </c>
      <c r="K121" s="4" t="str">
        <f>INDEX('ADD1'!$D$5:$D$27,MATCH(Master!R121,'ADD1'!$E$5:$E$27,0))</f>
        <v>Kuala Lumpur International Airport</v>
      </c>
      <c r="L121" s="1">
        <v>105</v>
      </c>
      <c r="M121" s="1" t="str">
        <f t="shared" si="34"/>
        <v>Thursday</v>
      </c>
      <c r="N121" s="1">
        <f t="shared" si="35"/>
        <v>9</v>
      </c>
      <c r="O121" s="1" t="str">
        <f t="shared" si="36"/>
        <v>Thursday</v>
      </c>
      <c r="P121" s="1">
        <f t="shared" si="37"/>
        <v>11</v>
      </c>
      <c r="Q121" s="6" t="s">
        <v>383</v>
      </c>
      <c r="R121" s="1" t="str">
        <f t="shared" si="29"/>
        <v>KUL</v>
      </c>
      <c r="S121" s="1" t="s">
        <v>338</v>
      </c>
      <c r="T121" s="11" t="str">
        <f>INDEX('ADD1'!$B$32:$B$53,MATCH(Master!S121,'ADD1'!$C$32:$C$53,0))</f>
        <v>Malaysia Airlines</v>
      </c>
      <c r="U121" s="74">
        <f t="shared" si="31"/>
        <v>50</v>
      </c>
      <c r="V121" s="77">
        <f t="shared" si="38"/>
        <v>187.31728202623779</v>
      </c>
      <c r="W121" s="78">
        <f t="shared" si="39"/>
        <v>2800000</v>
      </c>
      <c r="X121" s="78">
        <f t="shared" ref="X121:X124" si="40">W121*50%</f>
        <v>1400000</v>
      </c>
      <c r="Y121" s="78">
        <f t="shared" si="30"/>
        <v>3080000</v>
      </c>
    </row>
    <row r="122" spans="2:25" ht="25" customHeight="1" x14ac:dyDescent="0.35">
      <c r="B122" s="1">
        <v>1318</v>
      </c>
      <c r="C122" s="1" t="s">
        <v>39</v>
      </c>
      <c r="D122" s="4" t="s">
        <v>159</v>
      </c>
      <c r="E122" s="1" t="s">
        <v>191</v>
      </c>
      <c r="F122" s="1" t="s">
        <v>162</v>
      </c>
      <c r="G122" s="1" t="s">
        <v>196</v>
      </c>
      <c r="H122" s="1" t="s">
        <v>199</v>
      </c>
      <c r="I122" s="1" t="str">
        <f t="shared" si="28"/>
        <v>Singapore Changi Airport</v>
      </c>
      <c r="K122" s="4" t="str">
        <f>INDEX('ADD1'!$D$5:$D$27,MATCH(Master!R122,'ADD1'!$E$5:$E$27,0))</f>
        <v>Indira Gandhi International Airport</v>
      </c>
      <c r="L122" s="1">
        <v>101</v>
      </c>
      <c r="M122" s="1" t="str">
        <f t="shared" si="34"/>
        <v>Sunday</v>
      </c>
      <c r="N122" s="1">
        <f t="shared" si="35"/>
        <v>9</v>
      </c>
      <c r="O122" s="1" t="str">
        <f t="shared" si="36"/>
        <v>Sunday</v>
      </c>
      <c r="P122" s="1">
        <f t="shared" si="37"/>
        <v>11</v>
      </c>
      <c r="Q122" s="6" t="s">
        <v>384</v>
      </c>
      <c r="R122" s="1" t="str">
        <f t="shared" si="29"/>
        <v>DEL</v>
      </c>
      <c r="S122" s="1" t="s">
        <v>338</v>
      </c>
      <c r="T122" s="11" t="str">
        <f>INDEX('ADD1'!$B$32:$B$53,MATCH(Master!S122,'ADD1'!$C$32:$C$53,0))</f>
        <v>Malaysia Airlines</v>
      </c>
      <c r="U122" s="74">
        <f t="shared" si="31"/>
        <v>50</v>
      </c>
      <c r="V122" s="77">
        <f t="shared" si="38"/>
        <v>752.6140795697055</v>
      </c>
      <c r="W122" s="78">
        <f t="shared" si="39"/>
        <v>11250000</v>
      </c>
      <c r="X122" s="78">
        <f t="shared" si="40"/>
        <v>5625000</v>
      </c>
      <c r="Y122" s="78">
        <f t="shared" si="30"/>
        <v>12375000</v>
      </c>
    </row>
    <row r="123" spans="2:25" ht="25" customHeight="1" x14ac:dyDescent="0.35">
      <c r="B123" s="1">
        <v>1319</v>
      </c>
      <c r="C123" s="1" t="s">
        <v>40</v>
      </c>
      <c r="D123" s="4" t="s">
        <v>160</v>
      </c>
      <c r="E123" s="2">
        <v>32724</v>
      </c>
      <c r="F123" s="1" t="s">
        <v>163</v>
      </c>
      <c r="G123" s="1" t="s">
        <v>196</v>
      </c>
      <c r="H123" s="1" t="s">
        <v>199</v>
      </c>
      <c r="I123" s="1" t="str">
        <f t="shared" si="28"/>
        <v>Singapore Changi Airport</v>
      </c>
      <c r="K123" s="4" t="str">
        <f>INDEX('ADD1'!$D$5:$D$27,MATCH(Master!R123,'ADD1'!$E$5:$E$27,0))</f>
        <v>Seattle International Airport</v>
      </c>
      <c r="L123" s="1">
        <v>104</v>
      </c>
      <c r="M123" s="1" t="str">
        <f t="shared" si="34"/>
        <v>Wednesday</v>
      </c>
      <c r="N123" s="1">
        <f t="shared" si="35"/>
        <v>7</v>
      </c>
      <c r="O123" s="1" t="str">
        <f t="shared" si="36"/>
        <v>Wednesday</v>
      </c>
      <c r="P123" s="1">
        <f t="shared" si="37"/>
        <v>9</v>
      </c>
      <c r="Q123" s="6" t="s">
        <v>385</v>
      </c>
      <c r="R123" s="1" t="str">
        <f t="shared" si="29"/>
        <v>SEA</v>
      </c>
      <c r="S123" s="1" t="s">
        <v>335</v>
      </c>
      <c r="T123" s="11" t="str">
        <f>INDEX('ADD1'!$B$32:$B$53,MATCH(Master!S123,'ADD1'!$C$32:$C$53,0))</f>
        <v>Air France Airlines</v>
      </c>
      <c r="U123" s="74">
        <f t="shared" si="31"/>
        <v>50</v>
      </c>
      <c r="V123" s="77">
        <f t="shared" si="38"/>
        <v>571.98670047297617</v>
      </c>
      <c r="W123" s="78">
        <f t="shared" si="39"/>
        <v>8550000</v>
      </c>
      <c r="X123" s="78">
        <f t="shared" si="40"/>
        <v>4275000</v>
      </c>
      <c r="Y123" s="78">
        <f t="shared" si="30"/>
        <v>9405000</v>
      </c>
    </row>
    <row r="124" spans="2:25" ht="25" customHeight="1" x14ac:dyDescent="0.35">
      <c r="B124" s="1">
        <v>1320</v>
      </c>
      <c r="C124" s="1" t="s">
        <v>41</v>
      </c>
      <c r="D124" s="4" t="s">
        <v>161</v>
      </c>
      <c r="E124" s="1" t="s">
        <v>192</v>
      </c>
      <c r="F124" s="1" t="s">
        <v>163</v>
      </c>
      <c r="G124" s="1" t="s">
        <v>196</v>
      </c>
      <c r="H124" s="1" t="s">
        <v>199</v>
      </c>
      <c r="I124" s="1" t="str">
        <f t="shared" si="28"/>
        <v>Singapore Changi Airport</v>
      </c>
      <c r="K124" s="4" t="str">
        <f>INDEX('ADD1'!$D$5:$D$27,MATCH(Master!R124,'ADD1'!$E$5:$E$27,0))</f>
        <v>Capital International Airport</v>
      </c>
      <c r="L124" s="1">
        <v>105</v>
      </c>
      <c r="M124" s="1" t="str">
        <f t="shared" si="34"/>
        <v>Thursday</v>
      </c>
      <c r="N124" s="1">
        <f t="shared" si="35"/>
        <v>9</v>
      </c>
      <c r="O124" s="1" t="str">
        <f t="shared" si="36"/>
        <v>Thursday</v>
      </c>
      <c r="P124" s="1">
        <f t="shared" si="37"/>
        <v>11</v>
      </c>
      <c r="Q124" s="6" t="s">
        <v>386</v>
      </c>
      <c r="R124" s="1" t="str">
        <f t="shared" si="29"/>
        <v>PEK</v>
      </c>
      <c r="S124" s="1" t="s">
        <v>336</v>
      </c>
      <c r="T124" s="11" t="str">
        <f>INDEX('ADD1'!$B$32:$B$53,MATCH(Master!S124,'ADD1'!$C$32:$C$53,0))</f>
        <v>Cathay Pacific Airlines</v>
      </c>
      <c r="U124" s="74">
        <f t="shared" si="31"/>
        <v>50</v>
      </c>
      <c r="V124" s="77">
        <f t="shared" si="38"/>
        <v>702.43980759839178</v>
      </c>
      <c r="W124" s="78">
        <f t="shared" si="39"/>
        <v>10500000</v>
      </c>
      <c r="X124" s="78">
        <f t="shared" si="40"/>
        <v>5250000</v>
      </c>
      <c r="Y124" s="78">
        <f t="shared" si="30"/>
        <v>11550000</v>
      </c>
    </row>
    <row r="125" spans="2:25" ht="25" customHeight="1" x14ac:dyDescent="0.35">
      <c r="L125" s="1"/>
      <c r="Q125" s="6"/>
      <c r="T125" s="11"/>
      <c r="U125" s="74"/>
      <c r="V125" s="77"/>
      <c r="W125" s="78"/>
      <c r="X125" s="78"/>
      <c r="Y125" s="78"/>
    </row>
    <row r="126" spans="2:25" ht="25" customHeight="1" x14ac:dyDescent="0.35">
      <c r="I126" s="4"/>
    </row>
  </sheetData>
  <mergeCells count="1">
    <mergeCell ref="B3:Y3"/>
  </mergeCells>
  <conditionalFormatting sqref="G1:G2 G4:G1048576">
    <cfRule type="containsText" dxfId="6" priority="6" operator="containsText" text="Cancelled">
      <formula>NOT(ISERROR(SEARCH("Cancelled",G1)))</formula>
    </cfRule>
    <cfRule type="containsText" dxfId="5" priority="7" operator="containsText" text="Confirmed">
      <formula>NOT(ISERROR(SEARCH("Confirmed",G1)))</formula>
    </cfRule>
  </conditionalFormatting>
  <conditionalFormatting sqref="J4:L4 J5:K124">
    <cfRule type="containsBlanks" dxfId="4" priority="5">
      <formula>LEN(TRIM(J4))=0</formula>
    </cfRule>
  </conditionalFormatting>
  <conditionalFormatting sqref="X5:X125">
    <cfRule type="containsBlanks" dxfId="3" priority="1">
      <formula>LEN(TRIM(X5))=0</formula>
    </cfRule>
    <cfRule type="containsBlanks" dxfId="2" priority="2">
      <formula>LEN(TRIM(X5))=0</formula>
    </cfRule>
    <cfRule type="containsBlanks" dxfId="1" priority="3">
      <formula>LEN(TRIM(X5))=0</formula>
    </cfRule>
    <cfRule type="containsBlanks" dxfId="0" priority="4">
      <formula>LEN(TRIM(X5))=0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2398F-3BE6-934F-90DB-32FA8ADA857D}">
  <sheetPr codeName="Sheet19">
    <tabColor theme="8" tint="0.39997558519241921"/>
  </sheetPr>
  <dimension ref="B2:U50"/>
  <sheetViews>
    <sheetView topLeftCell="C1" zoomScale="108" workbookViewId="0">
      <selection activeCell="O4" sqref="O4"/>
    </sheetView>
  </sheetViews>
  <sheetFormatPr defaultColWidth="10.83203125" defaultRowHeight="15.5" x14ac:dyDescent="0.35"/>
  <cols>
    <col min="1" max="1" width="10.83203125" style="187"/>
    <col min="2" max="2" width="15.5" style="187" bestFit="1" customWidth="1"/>
    <col min="3" max="3" width="18.5" style="188" bestFit="1" customWidth="1"/>
    <col min="4" max="5" width="10.83203125" style="187"/>
    <col min="6" max="6" width="29.83203125" style="187" bestFit="1" customWidth="1"/>
    <col min="7" max="7" width="14.33203125" style="194" bestFit="1" customWidth="1"/>
    <col min="8" max="8" width="10.83203125" style="187"/>
    <col min="9" max="9" width="10.5" style="187" customWidth="1"/>
    <col min="10" max="10" width="12.5" style="187" customWidth="1"/>
    <col min="11" max="11" width="33" style="187" bestFit="1" customWidth="1"/>
    <col min="12" max="12" width="16.5" style="187" bestFit="1" customWidth="1"/>
    <col min="13" max="14" width="10.83203125" style="187"/>
    <col min="15" max="15" width="33" style="194" bestFit="1" customWidth="1"/>
    <col min="16" max="16" width="18.6640625" style="194" bestFit="1" customWidth="1"/>
    <col min="17" max="17" width="6.6640625" style="187" customWidth="1"/>
    <col min="18" max="18" width="17" style="187" customWidth="1"/>
    <col min="19" max="19" width="33" style="187" bestFit="1" customWidth="1"/>
    <col min="20" max="20" width="14.6640625" style="187" bestFit="1" customWidth="1"/>
    <col min="21" max="16384" width="10.83203125" style="187"/>
  </cols>
  <sheetData>
    <row r="2" spans="2:21" s="194" customFormat="1" ht="31" x14ac:dyDescent="0.35">
      <c r="B2" s="194" t="s">
        <v>865</v>
      </c>
      <c r="C2" s="194" t="s">
        <v>980</v>
      </c>
      <c r="F2" s="194" t="s">
        <v>865</v>
      </c>
      <c r="G2" s="194" t="s">
        <v>981</v>
      </c>
      <c r="K2" s="194" t="s">
        <v>865</v>
      </c>
      <c r="L2" s="194" t="s">
        <v>927</v>
      </c>
      <c r="O2" s="194" t="s">
        <v>865</v>
      </c>
      <c r="P2" s="193" t="s">
        <v>982</v>
      </c>
      <c r="S2" s="198" t="s">
        <v>865</v>
      </c>
      <c r="T2" s="193" t="s">
        <v>987</v>
      </c>
      <c r="U2" s="187"/>
    </row>
    <row r="3" spans="2:21" x14ac:dyDescent="0.35">
      <c r="B3" s="189" t="s">
        <v>19</v>
      </c>
      <c r="C3" s="187">
        <v>1</v>
      </c>
      <c r="F3" s="189" t="s">
        <v>197</v>
      </c>
      <c r="G3" s="194">
        <v>29</v>
      </c>
      <c r="H3" s="200">
        <f>GETPIVOTDATA("Remarks",$F$2,"Remarks","Cancelled")/GETPIVOTDATA("Remarks",$F$2)</f>
        <v>0.24166666666666667</v>
      </c>
      <c r="I3" s="203">
        <f>1-H3</f>
        <v>0.7583333333333333</v>
      </c>
      <c r="J3" s="197"/>
      <c r="K3" s="189" t="s">
        <v>289</v>
      </c>
      <c r="L3" s="191">
        <v>6600000</v>
      </c>
      <c r="O3" s="189" t="s">
        <v>289</v>
      </c>
      <c r="P3" s="194">
        <v>3</v>
      </c>
      <c r="Q3" s="200">
        <f>GETPIVOTDATA("Destination Aiport (Domestic)",$O$2,"Destination Aiport (Domestic)","Abdul Rachman Saleh, Malang")/GETPIVOTDATA("Destination Aiport (Domestic)",$O$2)</f>
        <v>5.0847457627118647E-2</v>
      </c>
      <c r="S3" s="189" t="s">
        <v>289</v>
      </c>
      <c r="T3" s="191">
        <v>2420000</v>
      </c>
    </row>
    <row r="4" spans="2:21" x14ac:dyDescent="0.35">
      <c r="B4" s="189" t="s">
        <v>18</v>
      </c>
      <c r="C4" s="187">
        <v>3</v>
      </c>
      <c r="F4" s="189" t="s">
        <v>196</v>
      </c>
      <c r="G4" s="194">
        <v>91</v>
      </c>
      <c r="H4" s="200">
        <f>GETPIVOTDATA("Remarks",$F$2,"Remarks","Confirmed")/GETPIVOTDATA("Remarks",$F$2)</f>
        <v>0.7583333333333333</v>
      </c>
      <c r="I4" s="203">
        <f>1-H4</f>
        <v>0.2416666666666667</v>
      </c>
      <c r="J4" s="197"/>
      <c r="K4" s="189" t="s">
        <v>283</v>
      </c>
      <c r="L4" s="191">
        <v>5200000</v>
      </c>
      <c r="O4" s="189" t="s">
        <v>283</v>
      </c>
      <c r="P4" s="194">
        <v>2</v>
      </c>
      <c r="Q4" s="200">
        <f>GETPIVOTDATA("Destination Aiport (Domestic)",$O$2,"Destination Aiport (Domestic)","Adisumarno, Solo")/GETPIVOTDATA("Destination Aiport (Domestic)",$O$2)</f>
        <v>3.3898305084745763E-2</v>
      </c>
      <c r="S4" s="189" t="s">
        <v>283</v>
      </c>
      <c r="T4" s="191">
        <v>2860000</v>
      </c>
    </row>
    <row r="5" spans="2:21" x14ac:dyDescent="0.35">
      <c r="B5" s="189" t="s">
        <v>20</v>
      </c>
      <c r="C5" s="187">
        <v>2</v>
      </c>
      <c r="F5" s="189" t="s">
        <v>864</v>
      </c>
      <c r="G5" s="194">
        <v>120</v>
      </c>
      <c r="K5" s="189" t="s">
        <v>256</v>
      </c>
      <c r="L5" s="191">
        <v>8000000</v>
      </c>
      <c r="O5" s="189" t="s">
        <v>256</v>
      </c>
      <c r="P5" s="194">
        <v>4</v>
      </c>
      <c r="Q5" s="200">
        <f>GETPIVOTDATA("Destination Aiport (Domestic)",$O$2,"Destination Aiport (Domestic)","Adisutjipto, DIY ")/GETPIVOTDATA("Destination Aiport (Domestic)",$O$2)</f>
        <v>6.7796610169491525E-2</v>
      </c>
      <c r="S5" s="189" t="s">
        <v>256</v>
      </c>
      <c r="T5" s="191">
        <v>2200000</v>
      </c>
    </row>
    <row r="6" spans="2:21" x14ac:dyDescent="0.35">
      <c r="B6" s="189" t="s">
        <v>21</v>
      </c>
      <c r="C6" s="187">
        <v>3</v>
      </c>
      <c r="K6" s="189" t="s">
        <v>260</v>
      </c>
      <c r="L6" s="191">
        <v>3300000</v>
      </c>
      <c r="O6" s="189" t="s">
        <v>260</v>
      </c>
      <c r="P6" s="194">
        <v>1</v>
      </c>
      <c r="Q6" s="200">
        <f>GETPIVOTDATA("Destination Aiport (Domestic)",$O$2,"Destination Aiport (Domestic)","Hang Nadim, Kepulauan Riau")/GETPIVOTDATA("Destination Aiport (Domestic)",$O$2)</f>
        <v>1.6949152542372881E-2</v>
      </c>
      <c r="S6" s="189" t="s">
        <v>260</v>
      </c>
      <c r="T6" s="191">
        <v>3630000</v>
      </c>
    </row>
    <row r="7" spans="2:21" x14ac:dyDescent="0.35">
      <c r="B7" s="189" t="s">
        <v>22</v>
      </c>
      <c r="C7" s="187">
        <v>2</v>
      </c>
      <c r="K7" s="189" t="s">
        <v>264</v>
      </c>
      <c r="L7" s="191">
        <v>1900000</v>
      </c>
      <c r="O7" s="189" t="s">
        <v>264</v>
      </c>
      <c r="P7" s="194">
        <v>1</v>
      </c>
      <c r="Q7" s="200">
        <f>GETPIVOTDATA("Destination Aiport (Domestic)",$O$2,"Destination Aiport (Domestic)","Jenderal Ahmad Yani, Semarang")/GETPIVOTDATA("Destination Aiport (Domestic)",$O$2)</f>
        <v>1.6949152542372881E-2</v>
      </c>
      <c r="S7" s="189" t="s">
        <v>264</v>
      </c>
      <c r="T7" s="191">
        <v>2090000</v>
      </c>
    </row>
    <row r="8" spans="2:21" x14ac:dyDescent="0.35">
      <c r="B8" s="189" t="s">
        <v>23</v>
      </c>
      <c r="C8" s="187">
        <v>4</v>
      </c>
      <c r="F8" s="187" t="s">
        <v>865</v>
      </c>
      <c r="G8" s="194" t="s">
        <v>983</v>
      </c>
      <c r="K8" s="189" t="s">
        <v>254</v>
      </c>
      <c r="L8" s="191">
        <v>7800000</v>
      </c>
      <c r="O8" s="189" t="s">
        <v>254</v>
      </c>
      <c r="P8" s="194">
        <v>4</v>
      </c>
      <c r="Q8" s="200">
        <f>GETPIVOTDATA("Destination Aiport (Domestic)",$O$2,"Destination Aiport (Domestic)","Juanda, Surabaya")/GETPIVOTDATA("Destination Aiport (Domestic)",$O$2)</f>
        <v>6.7796610169491525E-2</v>
      </c>
      <c r="S8" s="189" t="s">
        <v>254</v>
      </c>
      <c r="T8" s="191">
        <v>2145000</v>
      </c>
    </row>
    <row r="9" spans="2:21" x14ac:dyDescent="0.35">
      <c r="B9" s="189" t="s">
        <v>24</v>
      </c>
      <c r="C9" s="187">
        <v>2</v>
      </c>
      <c r="F9" s="189" t="s">
        <v>520</v>
      </c>
      <c r="G9" s="194">
        <v>61</v>
      </c>
      <c r="H9" s="200">
        <f>GETPIVOTDATA("Origin Airport",$F$8,"Origin Airport","Singapore Changi Airport")/GETPIVOTDATA("Origin Airport",$F$8)</f>
        <v>0.5083333333333333</v>
      </c>
      <c r="I9" s="197">
        <f>1-H9</f>
        <v>0.4916666666666667</v>
      </c>
      <c r="J9" s="197"/>
      <c r="K9" s="189" t="s">
        <v>253</v>
      </c>
      <c r="L9" s="191">
        <v>6600000</v>
      </c>
      <c r="O9" s="189" t="s">
        <v>253</v>
      </c>
      <c r="P9" s="194">
        <v>3</v>
      </c>
      <c r="Q9" s="200">
        <f>GETPIVOTDATA("Destination Aiport (Domestic)",$O$2,"Destination Aiport (Domestic)","Kualanamu, Medan")/GETPIVOTDATA("Destination Aiport (Domestic)",$O$2)</f>
        <v>5.0847457627118647E-2</v>
      </c>
      <c r="S9" s="189" t="s">
        <v>253</v>
      </c>
      <c r="T9" s="191">
        <v>2420000</v>
      </c>
    </row>
    <row r="10" spans="2:21" x14ac:dyDescent="0.35">
      <c r="B10" s="189" t="s">
        <v>25</v>
      </c>
      <c r="C10" s="187">
        <v>3</v>
      </c>
      <c r="F10" s="189" t="s">
        <v>519</v>
      </c>
      <c r="G10" s="194">
        <v>59</v>
      </c>
      <c r="H10" s="200">
        <f>GETPIVOTDATA("Origin Airport",$F$8,"Origin Airport","Soekarno-Hatta Airport")/GETPIVOTDATA("Origin Airport",$F$8)</f>
        <v>0.49166666666666664</v>
      </c>
      <c r="I10" s="197">
        <f>1-H10</f>
        <v>0.5083333333333333</v>
      </c>
      <c r="K10" s="189" t="s">
        <v>272</v>
      </c>
      <c r="L10" s="191">
        <v>8800000</v>
      </c>
      <c r="O10" s="189" t="s">
        <v>272</v>
      </c>
      <c r="P10" s="194">
        <v>4</v>
      </c>
      <c r="Q10" s="200">
        <f>GETPIVOTDATA("Destination Aiport (Domestic)",$O$2,"Destination Aiport (Domestic)","Minangkabau, Padang")/GETPIVOTDATA("Destination Aiport (Domestic)",$O$2)</f>
        <v>6.7796610169491525E-2</v>
      </c>
      <c r="S10" s="189" t="s">
        <v>272</v>
      </c>
      <c r="T10" s="191">
        <v>2420000</v>
      </c>
    </row>
    <row r="11" spans="2:21" x14ac:dyDescent="0.35">
      <c r="B11" s="189" t="s">
        <v>26</v>
      </c>
      <c r="C11" s="187">
        <v>1</v>
      </c>
      <c r="F11" s="189" t="s">
        <v>864</v>
      </c>
      <c r="G11" s="194">
        <v>120</v>
      </c>
      <c r="K11" s="189" t="s">
        <v>251</v>
      </c>
      <c r="L11" s="191">
        <v>19500000</v>
      </c>
      <c r="O11" s="189" t="s">
        <v>251</v>
      </c>
      <c r="P11" s="194">
        <v>10</v>
      </c>
      <c r="Q11" s="200">
        <f>GETPIVOTDATA("Destination Aiport (Domestic)",$O$2,"Destination Aiport (Domestic)","Ngurah Rai, Denpasar Bali")/GETPIVOTDATA("Destination Aiport (Domestic)",$O$2)</f>
        <v>0.16949152542372881</v>
      </c>
      <c r="S11" s="189" t="s">
        <v>251</v>
      </c>
      <c r="T11" s="191">
        <v>2145000</v>
      </c>
    </row>
    <row r="12" spans="2:21" x14ac:dyDescent="0.35">
      <c r="B12" s="189" t="s">
        <v>27</v>
      </c>
      <c r="C12" s="187">
        <v>2</v>
      </c>
      <c r="K12" s="189" t="s">
        <v>287</v>
      </c>
      <c r="L12" s="191">
        <v>15000000</v>
      </c>
      <c r="O12" s="189" t="s">
        <v>287</v>
      </c>
      <c r="P12" s="194">
        <v>4</v>
      </c>
      <c r="Q12" s="200">
        <f>GETPIVOTDATA("Destination Aiport (Domestic)",$O$2,"Destination Aiport (Domestic)","Pattimura, Ambon")/GETPIVOTDATA("Destination Aiport (Domestic)",$O$2)</f>
        <v>6.7796610169491525E-2</v>
      </c>
      <c r="S12" s="189" t="s">
        <v>287</v>
      </c>
      <c r="T12" s="191">
        <v>4125000</v>
      </c>
    </row>
    <row r="13" spans="2:21" x14ac:dyDescent="0.35">
      <c r="B13" s="189" t="s">
        <v>28</v>
      </c>
      <c r="C13" s="187">
        <v>5</v>
      </c>
      <c r="K13" s="189" t="s">
        <v>279</v>
      </c>
      <c r="L13" s="191">
        <v>4700000</v>
      </c>
      <c r="O13" s="189" t="s">
        <v>279</v>
      </c>
      <c r="P13" s="194">
        <v>2</v>
      </c>
      <c r="Q13" s="200">
        <f>GETPIVOTDATA("Destination Aiport (Domestic)",$O$2,"Destination Aiport (Domestic)","Radin Inten II, Bandar Lampung")/GETPIVOTDATA("Destination Aiport (Domestic)",$O$2)</f>
        <v>3.3898305084745763E-2</v>
      </c>
      <c r="S13" s="189" t="s">
        <v>279</v>
      </c>
      <c r="T13" s="191">
        <v>2585000</v>
      </c>
    </row>
    <row r="14" spans="2:21" x14ac:dyDescent="0.35">
      <c r="B14" s="189" t="s">
        <v>29</v>
      </c>
      <c r="C14" s="187">
        <v>7</v>
      </c>
      <c r="F14" s="187" t="s">
        <v>865</v>
      </c>
      <c r="G14" s="194" t="s">
        <v>984</v>
      </c>
      <c r="K14" s="189" t="s">
        <v>281</v>
      </c>
      <c r="L14" s="191">
        <v>2750000</v>
      </c>
      <c r="O14" s="189" t="s">
        <v>281</v>
      </c>
      <c r="P14" s="194">
        <v>1</v>
      </c>
      <c r="Q14" s="200">
        <f>GETPIVOTDATA("Destination Aiport (Domestic)",$O$2,"Destination Aiport (Domestic)","Sentani, Jayapura")/GETPIVOTDATA("Destination Aiport (Domestic)",$O$2)</f>
        <v>1.6949152542372881E-2</v>
      </c>
      <c r="S14" s="189" t="s">
        <v>281</v>
      </c>
      <c r="T14" s="191">
        <v>3025000</v>
      </c>
    </row>
    <row r="15" spans="2:21" x14ac:dyDescent="0.35">
      <c r="B15" s="189" t="s">
        <v>30</v>
      </c>
      <c r="C15" s="187">
        <v>2</v>
      </c>
      <c r="F15" s="189" t="s">
        <v>506</v>
      </c>
      <c r="G15" s="194">
        <v>14</v>
      </c>
      <c r="H15" s="200">
        <f>GETPIVOTDATA("Arrival Date",$F$14,"Arrival Date","Sunday")/GETPIVOTDATA("Arrival Date",$F$14)</f>
        <v>0.11666666666666667</v>
      </c>
      <c r="I15" s="197">
        <f t="shared" ref="I15:I21" si="0">1-H15</f>
        <v>0.8833333333333333</v>
      </c>
      <c r="K15" s="189" t="s">
        <v>258</v>
      </c>
      <c r="L15" s="191">
        <v>2350000</v>
      </c>
      <c r="O15" s="189" t="s">
        <v>258</v>
      </c>
      <c r="P15" s="194">
        <v>1</v>
      </c>
      <c r="Q15" s="200">
        <f>GETPIVOTDATA("Destination Aiport (Domestic)",$O$2,"Destination Aiport (Domestic)","Sultan Hasanuddin, Sulawesi Selatan")/GETPIVOTDATA("Destination Aiport (Domestic)",$O$2)</f>
        <v>1.6949152542372881E-2</v>
      </c>
      <c r="S15" s="189" t="s">
        <v>258</v>
      </c>
      <c r="T15" s="191">
        <v>2585000</v>
      </c>
    </row>
    <row r="16" spans="2:21" x14ac:dyDescent="0.35">
      <c r="B16" s="189" t="s">
        <v>31</v>
      </c>
      <c r="C16" s="187">
        <v>1</v>
      </c>
      <c r="F16" s="189" t="s">
        <v>507</v>
      </c>
      <c r="G16" s="194">
        <v>18</v>
      </c>
      <c r="H16" s="200">
        <f>GETPIVOTDATA("Arrival Date",$F$14,"Arrival Date","Monday")/GETPIVOTDATA("Arrival Date",$F$14)</f>
        <v>0.15</v>
      </c>
      <c r="I16" s="197">
        <f t="shared" si="0"/>
        <v>0.85</v>
      </c>
      <c r="K16" s="189" t="s">
        <v>291</v>
      </c>
      <c r="L16" s="191">
        <v>7350000</v>
      </c>
      <c r="O16" s="189" t="s">
        <v>291</v>
      </c>
      <c r="P16" s="194">
        <v>3</v>
      </c>
      <c r="Q16" s="200">
        <f>GETPIVOTDATA("Destination Aiport (Domestic)",$O$2,"Destination Aiport (Domestic)","Sultan Iskanda Muda, Aceh")/GETPIVOTDATA("Destination Aiport (Domestic)",$O$2)</f>
        <v>5.0847457627118647E-2</v>
      </c>
      <c r="S16" s="189" t="s">
        <v>291</v>
      </c>
      <c r="T16" s="191">
        <v>2695000</v>
      </c>
    </row>
    <row r="17" spans="2:20" x14ac:dyDescent="0.35">
      <c r="B17" s="189" t="s">
        <v>33</v>
      </c>
      <c r="C17" s="187">
        <v>2</v>
      </c>
      <c r="F17" s="189" t="s">
        <v>508</v>
      </c>
      <c r="G17" s="194">
        <v>25</v>
      </c>
      <c r="H17" s="200">
        <f>GETPIVOTDATA("Arrival Date",$F$14,"Arrival Date","Tuesday")/GETPIVOTDATA("Arrival Date",$F$14)</f>
        <v>0.20833333333333334</v>
      </c>
      <c r="I17" s="197">
        <f t="shared" si="0"/>
        <v>0.79166666666666663</v>
      </c>
      <c r="K17" s="189" t="s">
        <v>263</v>
      </c>
      <c r="L17" s="191">
        <v>6600000</v>
      </c>
      <c r="O17" s="189" t="s">
        <v>263</v>
      </c>
      <c r="P17" s="194">
        <v>3</v>
      </c>
      <c r="Q17" s="200">
        <f>GETPIVOTDATA("Destination Aiport (Domestic)",$O$2,"Destination Aiport (Domestic)","Sultan Mahmud Badaruddin II, Palembang")/GETPIVOTDATA("Destination Aiport (Domestic)",$O$2)</f>
        <v>5.0847457627118647E-2</v>
      </c>
      <c r="S17" s="189" t="s">
        <v>263</v>
      </c>
      <c r="T17" s="191">
        <v>2420000</v>
      </c>
    </row>
    <row r="18" spans="2:20" x14ac:dyDescent="0.35">
      <c r="B18" s="189" t="s">
        <v>34</v>
      </c>
      <c r="C18" s="187">
        <v>2</v>
      </c>
      <c r="F18" s="189" t="s">
        <v>509</v>
      </c>
      <c r="G18" s="194">
        <v>23</v>
      </c>
      <c r="H18" s="200">
        <f>GETPIVOTDATA("Arrival Date",$F$14,"Arrival Date","Wednesday")/GETPIVOTDATA("Arrival Date",$F$14)</f>
        <v>0.19166666666666668</v>
      </c>
      <c r="I18" s="197">
        <f t="shared" si="0"/>
        <v>0.80833333333333335</v>
      </c>
      <c r="K18" s="189" t="s">
        <v>270</v>
      </c>
      <c r="L18" s="191">
        <v>4000000</v>
      </c>
      <c r="O18" s="189" t="s">
        <v>270</v>
      </c>
      <c r="P18" s="194">
        <v>2</v>
      </c>
      <c r="Q18" s="200">
        <f>GETPIVOTDATA("Destination Aiport (Domestic)",$O$2,"Destination Aiport (Domestic)","Sultan Syarif Kasim II, Riau")/GETPIVOTDATA("Destination Aiport (Domestic)",$O$2)</f>
        <v>3.3898305084745763E-2</v>
      </c>
      <c r="S18" s="189" t="s">
        <v>270</v>
      </c>
      <c r="T18" s="191">
        <v>2200000</v>
      </c>
    </row>
    <row r="19" spans="2:20" x14ac:dyDescent="0.35">
      <c r="B19" s="189" t="s">
        <v>35</v>
      </c>
      <c r="C19" s="187">
        <v>4</v>
      </c>
      <c r="F19" s="189" t="s">
        <v>510</v>
      </c>
      <c r="G19" s="194">
        <v>21</v>
      </c>
      <c r="H19" s="200">
        <f>GETPIVOTDATA("Arrival Date",$F$14,"Arrival Date","Thursday")/GETPIVOTDATA("Arrival Date",$F$14)</f>
        <v>0.17499999999999999</v>
      </c>
      <c r="I19" s="197">
        <f t="shared" si="0"/>
        <v>0.82499999999999996</v>
      </c>
      <c r="K19" s="189" t="s">
        <v>285</v>
      </c>
      <c r="L19" s="191">
        <v>7065000</v>
      </c>
      <c r="O19" s="189" t="s">
        <v>285</v>
      </c>
      <c r="P19" s="194">
        <v>3</v>
      </c>
      <c r="Q19" s="200">
        <f>GETPIVOTDATA("Destination Aiport (Domestic)",$O$2,"Destination Aiport (Domestic)","Sultan Thaha, Jambi")/GETPIVOTDATA("Destination Aiport (Domestic)",$O$2)</f>
        <v>5.0847457627118647E-2</v>
      </c>
      <c r="S19" s="189" t="s">
        <v>285</v>
      </c>
      <c r="T19" s="191">
        <v>2590500</v>
      </c>
    </row>
    <row r="20" spans="2:20" x14ac:dyDescent="0.35">
      <c r="B20" s="189" t="s">
        <v>36</v>
      </c>
      <c r="C20" s="187">
        <v>6</v>
      </c>
      <c r="F20" s="189" t="s">
        <v>511</v>
      </c>
      <c r="G20" s="194">
        <v>12</v>
      </c>
      <c r="H20" s="200">
        <f>GETPIVOTDATA("Arrival Date",$F$14,"Arrival Date","Friday")/GETPIVOTDATA("Arrival Date",$F$14)</f>
        <v>0.1</v>
      </c>
      <c r="I20" s="197">
        <f t="shared" si="0"/>
        <v>0.9</v>
      </c>
      <c r="K20" s="189" t="s">
        <v>266</v>
      </c>
      <c r="L20" s="191">
        <v>10750000</v>
      </c>
      <c r="O20" s="189" t="s">
        <v>266</v>
      </c>
      <c r="P20" s="194">
        <v>5</v>
      </c>
      <c r="Q20" s="200">
        <f>GETPIVOTDATA("Destination Aiport (Domestic)",$O$2,"Destination Aiport (Domestic)","Supadio, Pontianak")/GETPIVOTDATA("Destination Aiport (Domestic)",$O$2)</f>
        <v>8.4745762711864403E-2</v>
      </c>
      <c r="S20" s="189" t="s">
        <v>266</v>
      </c>
      <c r="T20" s="191">
        <v>2365000</v>
      </c>
    </row>
    <row r="21" spans="2:20" x14ac:dyDescent="0.35">
      <c r="B21" s="189" t="s">
        <v>32</v>
      </c>
      <c r="C21" s="187">
        <v>3</v>
      </c>
      <c r="F21" s="189" t="s">
        <v>512</v>
      </c>
      <c r="G21" s="194">
        <v>7</v>
      </c>
      <c r="H21" s="200">
        <f>GETPIVOTDATA("Arrival Date",$F$14,"Arrival Date","Saturday")/GETPIVOTDATA("Arrival Date",$F$14)</f>
        <v>5.8333333333333334E-2</v>
      </c>
      <c r="I21" s="197">
        <f t="shared" si="0"/>
        <v>0.94166666666666665</v>
      </c>
      <c r="K21" s="189" t="s">
        <v>268</v>
      </c>
      <c r="L21" s="191">
        <v>7050000</v>
      </c>
      <c r="O21" s="189" t="s">
        <v>268</v>
      </c>
      <c r="P21" s="194">
        <v>3</v>
      </c>
      <c r="Q21" s="200">
        <f>GETPIVOTDATA("Destination Aiport (Domestic)",$O$2,"Destination Aiport (Domestic)","Zainuddin Abdul Madjid, Praya")/GETPIVOTDATA("Destination Aiport (Domestic)",$O$2)</f>
        <v>5.0847457627118647E-2</v>
      </c>
      <c r="S21" s="189" t="s">
        <v>268</v>
      </c>
      <c r="T21" s="191">
        <v>2585000</v>
      </c>
    </row>
    <row r="22" spans="2:20" x14ac:dyDescent="0.35">
      <c r="B22" s="189" t="s">
        <v>37</v>
      </c>
      <c r="C22" s="187">
        <v>4</v>
      </c>
      <c r="F22" s="189" t="s">
        <v>864</v>
      </c>
      <c r="G22" s="194">
        <v>120</v>
      </c>
      <c r="K22" s="189" t="s">
        <v>979</v>
      </c>
      <c r="L22" s="191">
        <v>599910000</v>
      </c>
      <c r="O22" s="189" t="s">
        <v>979</v>
      </c>
      <c r="Q22" s="201"/>
      <c r="S22" s="189" t="s">
        <v>979</v>
      </c>
      <c r="T22" s="191">
        <v>16115000</v>
      </c>
    </row>
    <row r="23" spans="2:20" x14ac:dyDescent="0.35">
      <c r="B23" s="189" t="s">
        <v>38</v>
      </c>
      <c r="C23" s="187">
        <v>5</v>
      </c>
      <c r="K23" s="189" t="s">
        <v>864</v>
      </c>
      <c r="L23" s="191">
        <v>735225000</v>
      </c>
      <c r="O23" s="189" t="s">
        <v>864</v>
      </c>
      <c r="P23" s="194">
        <v>59</v>
      </c>
      <c r="S23" s="189" t="s">
        <v>864</v>
      </c>
      <c r="T23" s="191">
        <v>16115000</v>
      </c>
    </row>
    <row r="24" spans="2:20" x14ac:dyDescent="0.35">
      <c r="B24" s="189" t="s">
        <v>39</v>
      </c>
      <c r="C24" s="187">
        <v>2</v>
      </c>
    </row>
    <row r="25" spans="2:20" x14ac:dyDescent="0.35">
      <c r="B25" s="189" t="s">
        <v>40</v>
      </c>
      <c r="C25" s="187">
        <v>1</v>
      </c>
      <c r="F25" s="187" t="s">
        <v>865</v>
      </c>
      <c r="G25" s="194" t="s">
        <v>985</v>
      </c>
      <c r="K25" s="194"/>
      <c r="L25" s="194"/>
    </row>
    <row r="26" spans="2:20" x14ac:dyDescent="0.35">
      <c r="B26" s="189" t="s">
        <v>41</v>
      </c>
      <c r="C26" s="187">
        <v>1</v>
      </c>
      <c r="F26" s="189" t="s">
        <v>313</v>
      </c>
      <c r="G26" s="194">
        <v>4</v>
      </c>
      <c r="H26" s="200">
        <f>GETPIVOTDATA("Airline",$F$25,"Airline","Air France Airlines")/GETPIVOTDATA("Airline",$F$25)</f>
        <v>3.3333333333333333E-2</v>
      </c>
      <c r="K26" s="194" t="s">
        <v>865</v>
      </c>
      <c r="L26" s="194" t="s">
        <v>927</v>
      </c>
    </row>
    <row r="27" spans="2:20" ht="46.5" x14ac:dyDescent="0.35">
      <c r="B27" s="190">
        <v>44958</v>
      </c>
      <c r="C27" s="187">
        <v>4</v>
      </c>
      <c r="F27" s="195" t="s">
        <v>299</v>
      </c>
      <c r="G27" s="194">
        <v>4</v>
      </c>
      <c r="H27" s="200">
        <f>GETPIVOTDATA("Airline",$F$25,"Airline","Airfast ")/GETPIVOTDATA("Airline",$F$25)</f>
        <v>3.3333333333333333E-2</v>
      </c>
      <c r="K27" s="195" t="s">
        <v>209</v>
      </c>
      <c r="L27" s="199">
        <v>47000000</v>
      </c>
      <c r="O27" s="187" t="s">
        <v>865</v>
      </c>
      <c r="P27" s="193" t="s">
        <v>986</v>
      </c>
      <c r="S27" s="198" t="s">
        <v>865</v>
      </c>
      <c r="T27" s="193" t="s">
        <v>988</v>
      </c>
    </row>
    <row r="28" spans="2:20" x14ac:dyDescent="0.35">
      <c r="B28" s="190">
        <v>44986</v>
      </c>
      <c r="C28" s="187">
        <v>3</v>
      </c>
      <c r="F28" s="189" t="s">
        <v>309</v>
      </c>
      <c r="G28" s="194">
        <v>4</v>
      </c>
      <c r="H28" s="200">
        <f>GETPIVOTDATA("Airline",$F$25,"Airline","All Nippon Airways")/GETPIVOTDATA("Airline",$F$25)</f>
        <v>3.3333333333333333E-2</v>
      </c>
      <c r="K28" s="189" t="s">
        <v>237</v>
      </c>
      <c r="L28" s="191">
        <v>39400000</v>
      </c>
      <c r="O28" s="189" t="s">
        <v>209</v>
      </c>
      <c r="P28" s="194">
        <v>4</v>
      </c>
      <c r="Q28" s="200">
        <f>GETPIVOTDATA("Destination Airport (International)",$O$27,"Destination Airport (International)","Adelaide International Airport")/GETPIVOTDATA("Destination Airport (International)",$O$27)</f>
        <v>6.5573770491803282E-2</v>
      </c>
      <c r="S28" s="189" t="s">
        <v>209</v>
      </c>
      <c r="T28" s="191">
        <v>12925000</v>
      </c>
    </row>
    <row r="29" spans="2:20" x14ac:dyDescent="0.35">
      <c r="B29" s="190">
        <v>45017</v>
      </c>
      <c r="C29" s="187">
        <v>9</v>
      </c>
      <c r="F29" s="189" t="s">
        <v>300</v>
      </c>
      <c r="G29" s="194">
        <v>11</v>
      </c>
      <c r="H29" s="200">
        <f>GETPIVOTDATA("Airline",$F$25,"Airline","Batik Air")/GETPIVOTDATA("Airline",$F$25)</f>
        <v>9.166666666666666E-2</v>
      </c>
      <c r="K29" s="189" t="s">
        <v>233</v>
      </c>
      <c r="L29" s="191">
        <v>20700000</v>
      </c>
      <c r="O29" s="189" t="s">
        <v>237</v>
      </c>
      <c r="P29" s="194">
        <v>4</v>
      </c>
      <c r="Q29" s="200">
        <f>GETPIVOTDATA("Destination Airport (International)",$O$27,"Destination Airport (International)","Baiyun International Airport")/GETPIVOTDATA("Destination Airport (International)",$O$27)</f>
        <v>6.5573770491803282E-2</v>
      </c>
      <c r="S29" s="189" t="s">
        <v>237</v>
      </c>
      <c r="T29" s="191">
        <v>10835000</v>
      </c>
    </row>
    <row r="30" spans="2:20" x14ac:dyDescent="0.35">
      <c r="B30" s="190">
        <v>45047</v>
      </c>
      <c r="C30" s="187">
        <v>3</v>
      </c>
      <c r="F30" s="189" t="s">
        <v>314</v>
      </c>
      <c r="G30" s="194">
        <v>7</v>
      </c>
      <c r="H30" s="200">
        <f>GETPIVOTDATA("Airline",$F$25,"Airline","Cathay Pacific Airlines")/GETPIVOTDATA("Airline",$F$25)</f>
        <v>5.8333333333333334E-2</v>
      </c>
      <c r="K30" s="189" t="s">
        <v>219</v>
      </c>
      <c r="L30" s="191">
        <v>31500000</v>
      </c>
      <c r="O30" s="189" t="s">
        <v>233</v>
      </c>
      <c r="P30" s="194">
        <v>2</v>
      </c>
      <c r="Q30" s="200">
        <f>GETPIVOTDATA("Destination Airport (International)",$O$27,"Destination Airport (International)","Brisbane International Airport")/GETPIVOTDATA("Destination Airport (International)",$O$27)</f>
        <v>3.2786885245901641E-2</v>
      </c>
      <c r="S30" s="189" t="s">
        <v>233</v>
      </c>
      <c r="T30" s="191">
        <v>11385000</v>
      </c>
    </row>
    <row r="31" spans="2:20" x14ac:dyDescent="0.35">
      <c r="B31" s="190">
        <v>45078</v>
      </c>
      <c r="C31" s="187">
        <v>10</v>
      </c>
      <c r="F31" s="189" t="s">
        <v>303</v>
      </c>
      <c r="G31" s="194">
        <v>3</v>
      </c>
      <c r="H31" s="200">
        <f>GETPIVOTDATA("Airline",$F$25,"Airline","Citilink")/GETPIVOTDATA("Airline",$F$25)</f>
        <v>2.5000000000000001E-2</v>
      </c>
      <c r="K31" s="189" t="s">
        <v>225</v>
      </c>
      <c r="L31" s="191">
        <v>22700000</v>
      </c>
      <c r="O31" s="189" t="s">
        <v>219</v>
      </c>
      <c r="P31" s="194">
        <v>3</v>
      </c>
      <c r="Q31" s="200">
        <f>GETPIVOTDATA("Destination Airport (International)",$O$27,"Destination Airport (International)","Capital International Airport")/GETPIVOTDATA("Destination Airport (International)",$O$27)</f>
        <v>4.9180327868852458E-2</v>
      </c>
      <c r="S31" s="189" t="s">
        <v>219</v>
      </c>
      <c r="T31" s="191">
        <v>11550000</v>
      </c>
    </row>
    <row r="32" spans="2:20" x14ac:dyDescent="0.35">
      <c r="B32" s="190">
        <v>45108</v>
      </c>
      <c r="C32" s="187">
        <v>4</v>
      </c>
      <c r="F32" s="189" t="s">
        <v>307</v>
      </c>
      <c r="G32" s="194">
        <v>10</v>
      </c>
      <c r="H32" s="200">
        <f>GETPIVOTDATA("Airline",$F$25,"Airline","Emirates ")/GETPIVOTDATA("Airline",$F$25)</f>
        <v>8.3333333333333329E-2</v>
      </c>
      <c r="K32" s="189" t="s">
        <v>227</v>
      </c>
      <c r="L32" s="191">
        <v>52750000</v>
      </c>
      <c r="O32" s="189" t="s">
        <v>225</v>
      </c>
      <c r="P32" s="194">
        <v>2</v>
      </c>
      <c r="Q32" s="200">
        <f>GETPIVOTDATA("Destination Airport (International)",$O$27,"Destination Airport (International)","Da Nang International Airport")/GETPIVOTDATA("Destination Airport (International)",$O$27)</f>
        <v>3.2786885245901641E-2</v>
      </c>
      <c r="S32" s="189" t="s">
        <v>225</v>
      </c>
      <c r="T32" s="191">
        <v>12485000</v>
      </c>
    </row>
    <row r="33" spans="2:20" x14ac:dyDescent="0.35">
      <c r="B33" s="190">
        <v>45139</v>
      </c>
      <c r="C33" s="187">
        <v>2</v>
      </c>
      <c r="F33" s="189" t="s">
        <v>302</v>
      </c>
      <c r="G33" s="194">
        <v>12</v>
      </c>
      <c r="H33" s="200">
        <f>GETPIVOTDATA("Airline",$F$25,"Airline","Garuda Indonesia")/GETPIVOTDATA("Airline",$F$25)</f>
        <v>0.1</v>
      </c>
      <c r="K33" s="189" t="s">
        <v>239</v>
      </c>
      <c r="L33" s="191">
        <v>20710000</v>
      </c>
      <c r="O33" s="189" t="s">
        <v>227</v>
      </c>
      <c r="P33" s="194">
        <v>5</v>
      </c>
      <c r="Q33" s="200">
        <f>GETPIVOTDATA("Destination Airport (International)",$O$27,"Destination Airport (International)","Darwin International Airport")/GETPIVOTDATA("Destination Airport (International)",$O$27)</f>
        <v>8.1967213114754092E-2</v>
      </c>
      <c r="S33" s="189" t="s">
        <v>227</v>
      </c>
      <c r="T33" s="191">
        <v>11605000</v>
      </c>
    </row>
    <row r="34" spans="2:20" x14ac:dyDescent="0.35">
      <c r="B34" s="190">
        <v>45170</v>
      </c>
      <c r="C34" s="187">
        <v>5</v>
      </c>
      <c r="F34" s="189" t="s">
        <v>295</v>
      </c>
      <c r="G34" s="194">
        <v>7</v>
      </c>
      <c r="H34" s="200">
        <f>GETPIVOTDATA("Airline",$F$25,"Airline","Indonesia AirAsia")/GETPIVOTDATA("Airline",$F$25)</f>
        <v>5.8333333333333334E-2</v>
      </c>
      <c r="K34" s="189" t="s">
        <v>241</v>
      </c>
      <c r="L34" s="191">
        <v>19100000</v>
      </c>
      <c r="O34" s="189" t="s">
        <v>239</v>
      </c>
      <c r="P34" s="194">
        <v>2</v>
      </c>
      <c r="Q34" s="200">
        <f>GETPIVOTDATA("Destination Airport (International)",$O$27,"Destination Airport (International)","Frankfut German International Airport")/GETPIVOTDATA("Destination Airport (International)",$O$27)</f>
        <v>3.2786885245901641E-2</v>
      </c>
      <c r="S34" s="189" t="s">
        <v>239</v>
      </c>
      <c r="T34" s="191">
        <v>11390500</v>
      </c>
    </row>
    <row r="35" spans="2:20" x14ac:dyDescent="0.35">
      <c r="B35" s="190">
        <v>45200</v>
      </c>
      <c r="C35" s="187">
        <v>2</v>
      </c>
      <c r="F35" s="189" t="s">
        <v>311</v>
      </c>
      <c r="G35" s="194">
        <v>2</v>
      </c>
      <c r="H35" s="200">
        <f>GETPIVOTDATA("Airline",$F$25,"Airline","Japan Airlines ")/GETPIVOTDATA("Airline",$F$25)</f>
        <v>1.6666666666666666E-2</v>
      </c>
      <c r="K35" s="189" t="s">
        <v>200</v>
      </c>
      <c r="L35" s="191">
        <v>16710000</v>
      </c>
      <c r="O35" s="189" t="s">
        <v>241</v>
      </c>
      <c r="P35" s="194">
        <v>2</v>
      </c>
      <c r="Q35" s="200">
        <f>GETPIVOTDATA("Destination Airport (International)",$O$27,"Destination Airport (International)","Hanoi International Airport")/GETPIVOTDATA("Destination Airport (International)",$O$27)</f>
        <v>3.2786885245901641E-2</v>
      </c>
      <c r="S35" s="189" t="s">
        <v>241</v>
      </c>
      <c r="T35" s="191">
        <v>10505000</v>
      </c>
    </row>
    <row r="36" spans="2:20" x14ac:dyDescent="0.35">
      <c r="B36" s="190">
        <v>45231</v>
      </c>
      <c r="C36" s="187">
        <v>7</v>
      </c>
      <c r="F36" s="189" t="s">
        <v>301</v>
      </c>
      <c r="G36" s="194">
        <v>8</v>
      </c>
      <c r="H36" s="200">
        <f>GETPIVOTDATA("Airline",$F$25,"Airline","Lion Air")/GETPIVOTDATA("Airline",$F$25)</f>
        <v>6.6666666666666666E-2</v>
      </c>
      <c r="K36" s="189" t="s">
        <v>235</v>
      </c>
      <c r="L36" s="191">
        <v>22500000</v>
      </c>
      <c r="O36" s="189" t="s">
        <v>200</v>
      </c>
      <c r="P36" s="194">
        <v>2</v>
      </c>
      <c r="Q36" s="200">
        <f>GETPIVOTDATA("Destination Airport (International)",$O$27,"Destination Airport (International)","Incheon International Aiport")/GETPIVOTDATA("Destination Airport (International)",$O$27)</f>
        <v>3.2786885245901641E-2</v>
      </c>
      <c r="S36" s="189" t="s">
        <v>200</v>
      </c>
      <c r="T36" s="191">
        <v>9190500</v>
      </c>
    </row>
    <row r="37" spans="2:20" x14ac:dyDescent="0.35">
      <c r="B37" s="190">
        <v>45261</v>
      </c>
      <c r="C37" s="187">
        <v>3</v>
      </c>
      <c r="F37" s="189" t="s">
        <v>316</v>
      </c>
      <c r="G37" s="194">
        <v>4</v>
      </c>
      <c r="H37" s="200">
        <f>GETPIVOTDATA("Airline",$F$25,"Airline","Malaysia Airlines")/GETPIVOTDATA("Airline",$F$25)</f>
        <v>3.3333333333333333E-2</v>
      </c>
      <c r="K37" s="189" t="s">
        <v>207</v>
      </c>
      <c r="L37" s="191">
        <v>46200000</v>
      </c>
      <c r="O37" s="189" t="s">
        <v>235</v>
      </c>
      <c r="P37" s="194">
        <v>2</v>
      </c>
      <c r="Q37" s="200">
        <f>GETPIVOTDATA("Destination Airport (International)",$O$27,"Destination Airport (International)","Indira Gandhi International Airport")/GETPIVOTDATA("Destination Airport (International)",$O$27)</f>
        <v>3.2786885245901641E-2</v>
      </c>
      <c r="S37" s="189" t="s">
        <v>235</v>
      </c>
      <c r="T37" s="191">
        <v>12375000</v>
      </c>
    </row>
    <row r="38" spans="2:20" x14ac:dyDescent="0.35">
      <c r="B38" s="189" t="s">
        <v>864</v>
      </c>
      <c r="C38" s="187">
        <v>120</v>
      </c>
      <c r="F38" s="189" t="s">
        <v>298</v>
      </c>
      <c r="G38" s="194">
        <v>3</v>
      </c>
      <c r="H38" s="200">
        <f>GETPIVOTDATA("Airline",$F$25,"Airline","NAM Air")/GETPIVOTDATA("Airline",$F$25)</f>
        <v>2.5000000000000001E-2</v>
      </c>
      <c r="K38" s="189" t="s">
        <v>249</v>
      </c>
      <c r="L38" s="191">
        <v>29300000</v>
      </c>
      <c r="O38" s="189" t="s">
        <v>207</v>
      </c>
      <c r="P38" s="194">
        <v>4</v>
      </c>
      <c r="Q38" s="200">
        <f>GETPIVOTDATA("Destination Airport (International)",$O$27,"Destination Airport (International)","Istanbul Turkey International Airport")/GETPIVOTDATA("Destination Airport (International)",$O$27)</f>
        <v>6.5573770491803282E-2</v>
      </c>
      <c r="S38" s="189" t="s">
        <v>207</v>
      </c>
      <c r="T38" s="191">
        <v>12705000</v>
      </c>
    </row>
    <row r="39" spans="2:20" x14ac:dyDescent="0.35">
      <c r="F39" s="189" t="s">
        <v>304</v>
      </c>
      <c r="G39" s="194">
        <v>2</v>
      </c>
      <c r="H39" s="200">
        <f>GETPIVOTDATA("Airline",$F$25,"Airline","Pelita Air")/GETPIVOTDATA("Airline",$F$25)</f>
        <v>1.6666666666666666E-2</v>
      </c>
      <c r="K39" s="189" t="s">
        <v>221</v>
      </c>
      <c r="L39" s="191">
        <v>11200000</v>
      </c>
      <c r="O39" s="189" t="s">
        <v>249</v>
      </c>
      <c r="P39" s="194">
        <v>2</v>
      </c>
      <c r="Q39" s="200">
        <f>GETPIVOTDATA("Destination Airport (International)",$O$27,"Destination Airport (International)","Kopenhagen International Airport")/GETPIVOTDATA("Destination Airport (International)",$O$27)</f>
        <v>3.2786885245901641E-2</v>
      </c>
      <c r="S39" s="189" t="s">
        <v>249</v>
      </c>
      <c r="T39" s="191">
        <v>16115000</v>
      </c>
    </row>
    <row r="40" spans="2:20" x14ac:dyDescent="0.35">
      <c r="F40" s="189" t="s">
        <v>308</v>
      </c>
      <c r="G40" s="194">
        <v>5</v>
      </c>
      <c r="H40" s="200">
        <f>GETPIVOTDATA("Airline",$F$25,"Airline","Qatar Airways")/GETPIVOTDATA("Airline",$F$25)</f>
        <v>4.1666666666666664E-2</v>
      </c>
      <c r="K40" s="189" t="s">
        <v>201</v>
      </c>
      <c r="L40" s="191">
        <v>33000000</v>
      </c>
      <c r="O40" s="189" t="s">
        <v>221</v>
      </c>
      <c r="P40" s="194">
        <v>4</v>
      </c>
      <c r="Q40" s="200">
        <f>GETPIVOTDATA("Destination Airport (International)",$O$27,"Destination Airport (International)","Kuala Lumpur International Airport")/GETPIVOTDATA("Destination Airport (International)",$O$27)</f>
        <v>6.5573770491803282E-2</v>
      </c>
      <c r="S40" s="189" t="s">
        <v>221</v>
      </c>
      <c r="T40" s="191">
        <v>3080000</v>
      </c>
    </row>
    <row r="41" spans="2:20" x14ac:dyDescent="0.35">
      <c r="F41" s="189" t="s">
        <v>312</v>
      </c>
      <c r="G41" s="194">
        <v>5</v>
      </c>
      <c r="H41" s="200">
        <f>GETPIVOTDATA("Airline",$F$25,"Airline","Saudia Airlines")/GETPIVOTDATA("Airline",$F$25)</f>
        <v>4.1666666666666664E-2</v>
      </c>
      <c r="K41" s="189" t="s">
        <v>206</v>
      </c>
      <c r="L41" s="191">
        <v>41250000</v>
      </c>
      <c r="O41" s="189" t="s">
        <v>201</v>
      </c>
      <c r="P41" s="194">
        <v>4</v>
      </c>
      <c r="Q41" s="200">
        <f>GETPIVOTDATA("Destination Airport (International)",$O$27,"Destination Airport (International)","Narita Tokyo International Airport")/GETPIVOTDATA("Destination Airport (International)",$O$27)</f>
        <v>6.5573770491803282E-2</v>
      </c>
      <c r="S41" s="189" t="s">
        <v>201</v>
      </c>
      <c r="T41" s="191">
        <v>9075000</v>
      </c>
    </row>
    <row r="42" spans="2:20" x14ac:dyDescent="0.35">
      <c r="F42" s="189" t="s">
        <v>306</v>
      </c>
      <c r="G42" s="194">
        <v>8</v>
      </c>
      <c r="H42" s="200">
        <f>GETPIVOTDATA("Airline",$F$25,"Airline","Singapore Airlines")/GETPIVOTDATA("Airline",$F$25)</f>
        <v>6.6666666666666666E-2</v>
      </c>
      <c r="K42" s="189" t="s">
        <v>213</v>
      </c>
      <c r="L42" s="191">
        <v>37665000</v>
      </c>
      <c r="O42" s="189" t="s">
        <v>206</v>
      </c>
      <c r="P42" s="194">
        <v>3</v>
      </c>
      <c r="Q42" s="200">
        <f>GETPIVOTDATA("Destination Airport (International)",$O$27,"Destination Airport (International)","Osaka Japan International Airport")/GETPIVOTDATA("Destination Airport (International)",$O$27)</f>
        <v>4.9180327868852458E-2</v>
      </c>
      <c r="S42" s="189" t="s">
        <v>206</v>
      </c>
      <c r="T42" s="191">
        <v>15125000</v>
      </c>
    </row>
    <row r="43" spans="2:20" x14ac:dyDescent="0.35">
      <c r="F43" s="189" t="s">
        <v>297</v>
      </c>
      <c r="G43" s="194">
        <v>4</v>
      </c>
      <c r="H43" s="200">
        <f>GETPIVOTDATA("Airline",$F$25,"Airline","Sriwijaya Air")/GETPIVOTDATA("Airline",$F$25)</f>
        <v>3.3333333333333333E-2</v>
      </c>
      <c r="K43" s="189" t="s">
        <v>243</v>
      </c>
      <c r="L43" s="191">
        <v>8550000</v>
      </c>
      <c r="O43" s="189" t="s">
        <v>213</v>
      </c>
      <c r="P43" s="194">
        <v>3</v>
      </c>
      <c r="Q43" s="200">
        <f>GETPIVOTDATA("Destination Airport (International)",$O$27,"Destination Airport (International)","Schiphol International Airport")/GETPIVOTDATA("Destination Airport (International)",$O$27)</f>
        <v>4.9180327868852458E-2</v>
      </c>
      <c r="S43" s="189" t="s">
        <v>213</v>
      </c>
      <c r="T43" s="191">
        <v>13810500</v>
      </c>
    </row>
    <row r="44" spans="2:20" x14ac:dyDescent="0.35">
      <c r="F44" s="189" t="s">
        <v>296</v>
      </c>
      <c r="G44" s="194">
        <v>4</v>
      </c>
      <c r="H44" s="200">
        <f>GETPIVOTDATA("Airline",$F$25,"Airline","Super Air Jet")/GETPIVOTDATA("Airline",$F$25)</f>
        <v>3.3333333333333333E-2</v>
      </c>
      <c r="K44" s="189" t="s">
        <v>229</v>
      </c>
      <c r="L44" s="191">
        <v>26100000</v>
      </c>
      <c r="O44" s="189" t="s">
        <v>243</v>
      </c>
      <c r="P44" s="194">
        <v>1</v>
      </c>
      <c r="Q44" s="200">
        <f>GETPIVOTDATA("Destination Airport (International)",$O$27,"Destination Airport (International)","Seattle International Airport")/GETPIVOTDATA("Destination Airport (International)",$O$27)</f>
        <v>1.6393442622950821E-2</v>
      </c>
      <c r="S44" s="189" t="s">
        <v>243</v>
      </c>
      <c r="T44" s="191">
        <v>9405000</v>
      </c>
    </row>
    <row r="45" spans="2:20" x14ac:dyDescent="0.35">
      <c r="F45" s="189" t="s">
        <v>315</v>
      </c>
      <c r="G45" s="194">
        <v>5</v>
      </c>
      <c r="H45" s="200">
        <f>GETPIVOTDATA("Airline",$F$25,"Airline","Thai Airways International Airlines")/GETPIVOTDATA("Airline",$F$25)</f>
        <v>4.1666666666666664E-2</v>
      </c>
      <c r="K45" s="189" t="s">
        <v>223</v>
      </c>
      <c r="L45" s="191">
        <v>7650000</v>
      </c>
      <c r="O45" s="189" t="s">
        <v>229</v>
      </c>
      <c r="P45" s="194">
        <v>3</v>
      </c>
      <c r="Q45" s="200">
        <f>GETPIVOTDATA("Destination Airport (International)",$O$27,"Destination Airport (International)","Seri BegawanInternational Airport")/GETPIVOTDATA("Destination Airport (International)",$O$27)</f>
        <v>4.9180327868852458E-2</v>
      </c>
      <c r="S45" s="189" t="s">
        <v>229</v>
      </c>
      <c r="T45" s="191">
        <v>9570000</v>
      </c>
    </row>
    <row r="46" spans="2:20" x14ac:dyDescent="0.35">
      <c r="F46" s="189" t="s">
        <v>305</v>
      </c>
      <c r="G46" s="194">
        <v>1</v>
      </c>
      <c r="H46" s="200">
        <f>GETPIVOTDATA("Airline",$F$25,"Airline","Transnusa")/GETPIVOTDATA("Airline",$F$25)</f>
        <v>8.3333333333333332E-3</v>
      </c>
      <c r="K46" s="189" t="s">
        <v>245</v>
      </c>
      <c r="L46" s="191">
        <v>13650000</v>
      </c>
      <c r="O46" s="189" t="s">
        <v>223</v>
      </c>
      <c r="P46" s="194">
        <v>3</v>
      </c>
      <c r="Q46" s="200">
        <f>GETPIVOTDATA("Destination Airport (International)",$O$27,"Destination Airport (International)","Suvarnabhumi International Airport")/GETPIVOTDATA("Destination Airport (International)",$O$27)</f>
        <v>4.9180327868852458E-2</v>
      </c>
      <c r="S46" s="189" t="s">
        <v>223</v>
      </c>
      <c r="T46" s="191">
        <v>2805000</v>
      </c>
    </row>
    <row r="47" spans="2:20" x14ac:dyDescent="0.35">
      <c r="F47" s="189" t="s">
        <v>310</v>
      </c>
      <c r="G47" s="194">
        <v>7</v>
      </c>
      <c r="H47" s="200">
        <f>GETPIVOTDATA("Airline",$F$25,"Airline","Turkish Airlines")/GETPIVOTDATA("Airline",$F$25)</f>
        <v>5.8333333333333334E-2</v>
      </c>
      <c r="K47" s="189" t="s">
        <v>205</v>
      </c>
      <c r="L47" s="191">
        <v>52275000</v>
      </c>
      <c r="O47" s="189" t="s">
        <v>245</v>
      </c>
      <c r="P47" s="194">
        <v>1</v>
      </c>
      <c r="Q47" s="200">
        <f>GETPIVOTDATA("Destination Airport (International)",$O$27,"Destination Airport (International)","Vancouver International Airport")/GETPIVOTDATA("Destination Airport (International)",$O$27)</f>
        <v>1.6393442622950821E-2</v>
      </c>
      <c r="S47" s="189" t="s">
        <v>245</v>
      </c>
      <c r="T47" s="191">
        <v>15015000</v>
      </c>
    </row>
    <row r="48" spans="2:20" x14ac:dyDescent="0.35">
      <c r="F48" s="189" t="s">
        <v>864</v>
      </c>
      <c r="G48" s="194">
        <v>120</v>
      </c>
      <c r="K48" s="189" t="s">
        <v>979</v>
      </c>
      <c r="L48" s="191">
        <v>135315000</v>
      </c>
      <c r="O48" s="189" t="s">
        <v>205</v>
      </c>
      <c r="P48" s="194">
        <v>5</v>
      </c>
      <c r="Q48" s="200">
        <f>GETPIVOTDATA("Destination Airport (International)",$O$27,"Destination Airport (International)","Zurich International Airport")/GETPIVOTDATA("Destination Airport (International)",$O$27)</f>
        <v>8.1967213114754092E-2</v>
      </c>
      <c r="S48" s="189" t="s">
        <v>205</v>
      </c>
      <c r="T48" s="191">
        <v>11500500</v>
      </c>
    </row>
    <row r="49" spans="11:20" x14ac:dyDescent="0.35">
      <c r="K49" s="189" t="s">
        <v>864</v>
      </c>
      <c r="L49" s="191">
        <v>735225000</v>
      </c>
      <c r="O49" s="189" t="s">
        <v>979</v>
      </c>
      <c r="S49" s="189" t="s">
        <v>979</v>
      </c>
      <c r="T49" s="191">
        <v>2090000</v>
      </c>
    </row>
    <row r="50" spans="11:20" x14ac:dyDescent="0.35">
      <c r="O50" s="189" t="s">
        <v>864</v>
      </c>
      <c r="P50" s="194">
        <v>61</v>
      </c>
      <c r="S50" s="189" t="s">
        <v>864</v>
      </c>
      <c r="T50" s="191">
        <v>2090000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CA78-1B22-334F-924D-15BB7094B39C}">
  <sheetPr codeName="Sheet20">
    <tabColor theme="8" tint="0.39997558519241921"/>
  </sheetPr>
  <dimension ref="Q29"/>
  <sheetViews>
    <sheetView zoomScale="75" workbookViewId="0">
      <selection activeCell="Q49" sqref="Q49"/>
    </sheetView>
  </sheetViews>
  <sheetFormatPr defaultColWidth="10.83203125" defaultRowHeight="15.5" x14ac:dyDescent="0.35"/>
  <cols>
    <col min="1" max="16384" width="10.83203125" style="202"/>
  </cols>
  <sheetData>
    <row r="29" spans="17:17" x14ac:dyDescent="0.35">
      <c r="Q29" s="202" t="s">
        <v>989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315A6-30DC-D44B-937E-C98C0CCEC025}">
  <sheetPr codeName="Sheet21">
    <tabColor theme="8" tint="0.39997558519241921"/>
  </sheetPr>
  <dimension ref="B2:S49"/>
  <sheetViews>
    <sheetView topLeftCell="A37" zoomScale="165" workbookViewId="0">
      <selection activeCell="H27" activeCellId="1" sqref="F27:F48 H27:H48"/>
    </sheetView>
  </sheetViews>
  <sheetFormatPr defaultColWidth="10.83203125" defaultRowHeight="15.5" x14ac:dyDescent="0.35"/>
  <cols>
    <col min="1" max="1" width="10.83203125" style="187"/>
    <col min="2" max="2" width="14" style="187" customWidth="1"/>
    <col min="3" max="3" width="17.83203125" style="187" bestFit="1" customWidth="1"/>
    <col min="4" max="5" width="10.83203125" style="187"/>
    <col min="6" max="6" width="13" style="187" bestFit="1" customWidth="1"/>
    <col min="7" max="7" width="19" style="187" bestFit="1" customWidth="1"/>
    <col min="8" max="9" width="10.83203125" style="187"/>
    <col min="10" max="10" width="33.83203125" style="187" bestFit="1" customWidth="1"/>
    <col min="11" max="11" width="16.5" style="187" bestFit="1" customWidth="1"/>
    <col min="12" max="13" width="10.83203125" style="187"/>
    <col min="14" max="14" width="33.83203125" style="187" bestFit="1" customWidth="1"/>
    <col min="15" max="15" width="38.6640625" style="187" bestFit="1" customWidth="1"/>
    <col min="16" max="17" width="10.83203125" style="187"/>
    <col min="18" max="18" width="33.83203125" style="187" bestFit="1" customWidth="1"/>
    <col min="19" max="19" width="19.5" style="187" bestFit="1" customWidth="1"/>
    <col min="20" max="16384" width="10.83203125" style="187"/>
  </cols>
  <sheetData>
    <row r="2" spans="2:19" x14ac:dyDescent="0.35">
      <c r="B2" s="187">
        <v>27</v>
      </c>
      <c r="F2" s="187">
        <v>28</v>
      </c>
      <c r="J2" s="187">
        <v>32</v>
      </c>
      <c r="N2" s="187">
        <v>34</v>
      </c>
      <c r="R2" s="187">
        <v>36</v>
      </c>
    </row>
    <row r="3" spans="2:19" x14ac:dyDescent="0.35">
      <c r="B3" s="187" t="s">
        <v>865</v>
      </c>
      <c r="C3" s="187" t="s">
        <v>980</v>
      </c>
      <c r="F3" s="187" t="s">
        <v>865</v>
      </c>
      <c r="G3" s="187" t="s">
        <v>981</v>
      </c>
      <c r="J3" s="187" t="s">
        <v>865</v>
      </c>
      <c r="K3" s="187" t="s">
        <v>927</v>
      </c>
      <c r="N3" s="187" t="s">
        <v>865</v>
      </c>
      <c r="O3" s="187" t="s">
        <v>982</v>
      </c>
      <c r="R3" s="187" t="s">
        <v>865</v>
      </c>
      <c r="S3" s="187" t="s">
        <v>987</v>
      </c>
    </row>
    <row r="4" spans="2:19" x14ac:dyDescent="0.35">
      <c r="B4" s="189" t="s">
        <v>19</v>
      </c>
      <c r="C4" s="187">
        <v>1</v>
      </c>
      <c r="F4" s="189" t="s">
        <v>197</v>
      </c>
      <c r="G4" s="187">
        <v>29</v>
      </c>
      <c r="J4" s="189" t="s">
        <v>289</v>
      </c>
      <c r="K4" s="191">
        <v>6600000</v>
      </c>
      <c r="N4" s="189" t="s">
        <v>289</v>
      </c>
      <c r="O4" s="187">
        <v>3</v>
      </c>
      <c r="R4" s="189" t="s">
        <v>289</v>
      </c>
      <c r="S4" s="191">
        <v>2420000</v>
      </c>
    </row>
    <row r="5" spans="2:19" x14ac:dyDescent="0.35">
      <c r="B5" s="189" t="s">
        <v>18</v>
      </c>
      <c r="C5" s="187">
        <v>3</v>
      </c>
      <c r="F5" s="189" t="s">
        <v>196</v>
      </c>
      <c r="G5" s="187">
        <v>91</v>
      </c>
      <c r="J5" s="189" t="s">
        <v>283</v>
      </c>
      <c r="K5" s="191">
        <v>5200000</v>
      </c>
      <c r="N5" s="189" t="s">
        <v>283</v>
      </c>
      <c r="O5" s="187">
        <v>2</v>
      </c>
      <c r="R5" s="189" t="s">
        <v>283</v>
      </c>
      <c r="S5" s="191">
        <v>2860000</v>
      </c>
    </row>
    <row r="6" spans="2:19" x14ac:dyDescent="0.35">
      <c r="B6" s="189" t="s">
        <v>20</v>
      </c>
      <c r="C6" s="187">
        <v>2</v>
      </c>
      <c r="F6" s="189" t="s">
        <v>864</v>
      </c>
      <c r="G6" s="187">
        <v>120</v>
      </c>
      <c r="J6" s="189" t="s">
        <v>256</v>
      </c>
      <c r="K6" s="191">
        <v>8000000</v>
      </c>
      <c r="N6" s="189" t="s">
        <v>256</v>
      </c>
      <c r="O6" s="187">
        <v>4</v>
      </c>
      <c r="R6" s="189" t="s">
        <v>256</v>
      </c>
      <c r="S6" s="191">
        <v>2200000</v>
      </c>
    </row>
    <row r="7" spans="2:19" x14ac:dyDescent="0.35">
      <c r="B7" s="189" t="s">
        <v>21</v>
      </c>
      <c r="C7" s="187">
        <v>3</v>
      </c>
      <c r="J7" s="189" t="s">
        <v>260</v>
      </c>
      <c r="K7" s="191">
        <v>3300000</v>
      </c>
      <c r="N7" s="189" t="s">
        <v>260</v>
      </c>
      <c r="O7" s="187">
        <v>1</v>
      </c>
      <c r="R7" s="189" t="s">
        <v>260</v>
      </c>
      <c r="S7" s="191">
        <v>3630000</v>
      </c>
    </row>
    <row r="8" spans="2:19" x14ac:dyDescent="0.35">
      <c r="B8" s="189" t="s">
        <v>22</v>
      </c>
      <c r="C8" s="187">
        <v>2</v>
      </c>
      <c r="F8" s="187">
        <v>29</v>
      </c>
      <c r="J8" s="189" t="s">
        <v>264</v>
      </c>
      <c r="K8" s="191">
        <v>1900000</v>
      </c>
      <c r="N8" s="189" t="s">
        <v>264</v>
      </c>
      <c r="O8" s="187">
        <v>1</v>
      </c>
      <c r="R8" s="189" t="s">
        <v>264</v>
      </c>
      <c r="S8" s="191">
        <v>2090000</v>
      </c>
    </row>
    <row r="9" spans="2:19" x14ac:dyDescent="0.35">
      <c r="B9" s="189" t="s">
        <v>23</v>
      </c>
      <c r="C9" s="187">
        <v>4</v>
      </c>
      <c r="F9" s="187" t="s">
        <v>865</v>
      </c>
      <c r="G9" s="187" t="s">
        <v>983</v>
      </c>
      <c r="J9" s="189" t="s">
        <v>254</v>
      </c>
      <c r="K9" s="191">
        <v>7800000</v>
      </c>
      <c r="N9" s="189" t="s">
        <v>254</v>
      </c>
      <c r="O9" s="187">
        <v>4</v>
      </c>
      <c r="R9" s="189" t="s">
        <v>254</v>
      </c>
      <c r="S9" s="191">
        <v>2145000</v>
      </c>
    </row>
    <row r="10" spans="2:19" x14ac:dyDescent="0.35">
      <c r="B10" s="189" t="s">
        <v>24</v>
      </c>
      <c r="C10" s="187">
        <v>2</v>
      </c>
      <c r="F10" s="189" t="s">
        <v>520</v>
      </c>
      <c r="G10" s="187">
        <v>61</v>
      </c>
      <c r="H10" s="196">
        <f>GETPIVOTDATA("Origin Airport",$F$9,"Origin Airport","Singapore Changi Airport")/GETPIVOTDATA("Origin Airport",$F$9)</f>
        <v>0.5083333333333333</v>
      </c>
      <c r="J10" s="189" t="s">
        <v>253</v>
      </c>
      <c r="K10" s="191">
        <v>6600000</v>
      </c>
      <c r="N10" s="189" t="s">
        <v>253</v>
      </c>
      <c r="O10" s="187">
        <v>3</v>
      </c>
      <c r="R10" s="189" t="s">
        <v>253</v>
      </c>
      <c r="S10" s="191">
        <v>2420000</v>
      </c>
    </row>
    <row r="11" spans="2:19" x14ac:dyDescent="0.35">
      <c r="B11" s="189" t="s">
        <v>25</v>
      </c>
      <c r="C11" s="187">
        <v>3</v>
      </c>
      <c r="F11" s="189" t="s">
        <v>519</v>
      </c>
      <c r="G11" s="187">
        <v>59</v>
      </c>
      <c r="H11" s="196">
        <f>GETPIVOTDATA("Origin Airport",$F$9,"Origin Airport","Soekarno-Hatta Airport")/GETPIVOTDATA("Origin Airport",$F$9)</f>
        <v>0.49166666666666664</v>
      </c>
      <c r="J11" s="189" t="s">
        <v>272</v>
      </c>
      <c r="K11" s="191">
        <v>8800000</v>
      </c>
      <c r="N11" s="189" t="s">
        <v>272</v>
      </c>
      <c r="O11" s="187">
        <v>4</v>
      </c>
      <c r="R11" s="189" t="s">
        <v>272</v>
      </c>
      <c r="S11" s="191">
        <v>2420000</v>
      </c>
    </row>
    <row r="12" spans="2:19" x14ac:dyDescent="0.35">
      <c r="B12" s="189" t="s">
        <v>26</v>
      </c>
      <c r="C12" s="187">
        <v>1</v>
      </c>
      <c r="F12" s="189" t="s">
        <v>864</v>
      </c>
      <c r="G12" s="187">
        <v>120</v>
      </c>
      <c r="J12" s="189" t="s">
        <v>251</v>
      </c>
      <c r="K12" s="191">
        <v>19500000</v>
      </c>
      <c r="N12" s="189" t="s">
        <v>251</v>
      </c>
      <c r="O12" s="187">
        <v>10</v>
      </c>
      <c r="R12" s="189" t="s">
        <v>251</v>
      </c>
      <c r="S12" s="191">
        <v>2145000</v>
      </c>
    </row>
    <row r="13" spans="2:19" x14ac:dyDescent="0.35">
      <c r="B13" s="189" t="s">
        <v>27</v>
      </c>
      <c r="C13" s="187">
        <v>2</v>
      </c>
      <c r="J13" s="189" t="s">
        <v>287</v>
      </c>
      <c r="K13" s="191">
        <v>15000000</v>
      </c>
      <c r="N13" s="189" t="s">
        <v>287</v>
      </c>
      <c r="O13" s="187">
        <v>4</v>
      </c>
      <c r="R13" s="189" t="s">
        <v>287</v>
      </c>
      <c r="S13" s="191">
        <v>4125000</v>
      </c>
    </row>
    <row r="14" spans="2:19" x14ac:dyDescent="0.35">
      <c r="B14" s="189" t="s">
        <v>28</v>
      </c>
      <c r="C14" s="187">
        <v>5</v>
      </c>
      <c r="F14" s="187">
        <v>30</v>
      </c>
      <c r="J14" s="189" t="s">
        <v>279</v>
      </c>
      <c r="K14" s="191">
        <v>4700000</v>
      </c>
      <c r="N14" s="189" t="s">
        <v>279</v>
      </c>
      <c r="O14" s="187">
        <v>2</v>
      </c>
      <c r="R14" s="189" t="s">
        <v>279</v>
      </c>
      <c r="S14" s="191">
        <v>2585000</v>
      </c>
    </row>
    <row r="15" spans="2:19" x14ac:dyDescent="0.35">
      <c r="B15" s="189" t="s">
        <v>29</v>
      </c>
      <c r="C15" s="187">
        <v>7</v>
      </c>
      <c r="F15" s="187" t="s">
        <v>865</v>
      </c>
      <c r="G15" s="187" t="s">
        <v>984</v>
      </c>
      <c r="J15" s="189" t="s">
        <v>281</v>
      </c>
      <c r="K15" s="191">
        <v>2750000</v>
      </c>
      <c r="N15" s="189" t="s">
        <v>281</v>
      </c>
      <c r="O15" s="187">
        <v>1</v>
      </c>
      <c r="R15" s="189" t="s">
        <v>281</v>
      </c>
      <c r="S15" s="191">
        <v>3025000</v>
      </c>
    </row>
    <row r="16" spans="2:19" x14ac:dyDescent="0.35">
      <c r="B16" s="189" t="s">
        <v>30</v>
      </c>
      <c r="C16" s="187">
        <v>2</v>
      </c>
      <c r="F16" s="189" t="s">
        <v>506</v>
      </c>
      <c r="G16" s="187">
        <v>14</v>
      </c>
      <c r="J16" s="189" t="s">
        <v>258</v>
      </c>
      <c r="K16" s="191">
        <v>2350000</v>
      </c>
      <c r="N16" s="189" t="s">
        <v>258</v>
      </c>
      <c r="O16" s="187">
        <v>1</v>
      </c>
      <c r="R16" s="189" t="s">
        <v>258</v>
      </c>
      <c r="S16" s="191">
        <v>2585000</v>
      </c>
    </row>
    <row r="17" spans="2:19" x14ac:dyDescent="0.35">
      <c r="B17" s="189" t="s">
        <v>31</v>
      </c>
      <c r="C17" s="187">
        <v>1</v>
      </c>
      <c r="F17" s="189" t="s">
        <v>507</v>
      </c>
      <c r="G17" s="187">
        <v>18</v>
      </c>
      <c r="J17" s="189" t="s">
        <v>291</v>
      </c>
      <c r="K17" s="191">
        <v>7350000</v>
      </c>
      <c r="N17" s="189" t="s">
        <v>291</v>
      </c>
      <c r="O17" s="187">
        <v>3</v>
      </c>
      <c r="R17" s="189" t="s">
        <v>291</v>
      </c>
      <c r="S17" s="191">
        <v>2695000</v>
      </c>
    </row>
    <row r="18" spans="2:19" x14ac:dyDescent="0.35">
      <c r="B18" s="189" t="s">
        <v>33</v>
      </c>
      <c r="C18" s="187">
        <v>2</v>
      </c>
      <c r="F18" s="189" t="s">
        <v>508</v>
      </c>
      <c r="G18" s="187">
        <v>25</v>
      </c>
      <c r="J18" s="189" t="s">
        <v>263</v>
      </c>
      <c r="K18" s="191">
        <v>6600000</v>
      </c>
      <c r="N18" s="189" t="s">
        <v>263</v>
      </c>
      <c r="O18" s="187">
        <v>3</v>
      </c>
      <c r="R18" s="189" t="s">
        <v>263</v>
      </c>
      <c r="S18" s="191">
        <v>2420000</v>
      </c>
    </row>
    <row r="19" spans="2:19" x14ac:dyDescent="0.35">
      <c r="B19" s="189" t="s">
        <v>34</v>
      </c>
      <c r="C19" s="187">
        <v>2</v>
      </c>
      <c r="F19" s="189" t="s">
        <v>509</v>
      </c>
      <c r="G19" s="187">
        <v>23</v>
      </c>
      <c r="J19" s="189" t="s">
        <v>270</v>
      </c>
      <c r="K19" s="191">
        <v>4000000</v>
      </c>
      <c r="N19" s="189" t="s">
        <v>270</v>
      </c>
      <c r="O19" s="187">
        <v>2</v>
      </c>
      <c r="R19" s="189" t="s">
        <v>270</v>
      </c>
      <c r="S19" s="191">
        <v>2200000</v>
      </c>
    </row>
    <row r="20" spans="2:19" x14ac:dyDescent="0.35">
      <c r="B20" s="189" t="s">
        <v>35</v>
      </c>
      <c r="C20" s="187">
        <v>4</v>
      </c>
      <c r="F20" s="189" t="s">
        <v>510</v>
      </c>
      <c r="G20" s="187">
        <v>21</v>
      </c>
      <c r="J20" s="189" t="s">
        <v>285</v>
      </c>
      <c r="K20" s="191">
        <v>7065000</v>
      </c>
      <c r="N20" s="189" t="s">
        <v>285</v>
      </c>
      <c r="O20" s="187">
        <v>3</v>
      </c>
      <c r="R20" s="189" t="s">
        <v>285</v>
      </c>
      <c r="S20" s="191">
        <v>2590500</v>
      </c>
    </row>
    <row r="21" spans="2:19" x14ac:dyDescent="0.35">
      <c r="B21" s="189" t="s">
        <v>36</v>
      </c>
      <c r="C21" s="187">
        <v>6</v>
      </c>
      <c r="F21" s="189" t="s">
        <v>511</v>
      </c>
      <c r="G21" s="187">
        <v>12</v>
      </c>
      <c r="J21" s="189" t="s">
        <v>266</v>
      </c>
      <c r="K21" s="191">
        <v>10750000</v>
      </c>
      <c r="N21" s="189" t="s">
        <v>266</v>
      </c>
      <c r="O21" s="187">
        <v>5</v>
      </c>
      <c r="R21" s="189" t="s">
        <v>266</v>
      </c>
      <c r="S21" s="191">
        <v>2365000</v>
      </c>
    </row>
    <row r="22" spans="2:19" x14ac:dyDescent="0.35">
      <c r="B22" s="189" t="s">
        <v>32</v>
      </c>
      <c r="C22" s="187">
        <v>3</v>
      </c>
      <c r="F22" s="189" t="s">
        <v>512</v>
      </c>
      <c r="G22" s="187">
        <v>7</v>
      </c>
      <c r="J22" s="189" t="s">
        <v>268</v>
      </c>
      <c r="K22" s="191">
        <v>7050000</v>
      </c>
      <c r="N22" s="189" t="s">
        <v>268</v>
      </c>
      <c r="O22" s="187">
        <v>3</v>
      </c>
      <c r="R22" s="189" t="s">
        <v>268</v>
      </c>
      <c r="S22" s="191">
        <v>2585000</v>
      </c>
    </row>
    <row r="23" spans="2:19" x14ac:dyDescent="0.35">
      <c r="B23" s="189" t="s">
        <v>37</v>
      </c>
      <c r="C23" s="187">
        <v>4</v>
      </c>
      <c r="F23" s="189" t="s">
        <v>864</v>
      </c>
      <c r="G23" s="187">
        <v>120</v>
      </c>
      <c r="J23" s="189" t="s">
        <v>979</v>
      </c>
      <c r="K23" s="191">
        <v>599910000</v>
      </c>
      <c r="N23" s="189" t="s">
        <v>979</v>
      </c>
      <c r="R23" s="189" t="s">
        <v>979</v>
      </c>
      <c r="S23" s="191">
        <v>16115000</v>
      </c>
    </row>
    <row r="24" spans="2:19" x14ac:dyDescent="0.35">
      <c r="B24" s="189" t="s">
        <v>38</v>
      </c>
      <c r="C24" s="187">
        <v>5</v>
      </c>
      <c r="J24" s="189" t="s">
        <v>864</v>
      </c>
      <c r="K24" s="191">
        <v>735225000</v>
      </c>
      <c r="N24" s="189" t="s">
        <v>864</v>
      </c>
      <c r="O24" s="187">
        <v>59</v>
      </c>
      <c r="R24" s="189" t="s">
        <v>864</v>
      </c>
      <c r="S24" s="191">
        <v>16115000</v>
      </c>
    </row>
    <row r="25" spans="2:19" x14ac:dyDescent="0.35">
      <c r="B25" s="189" t="s">
        <v>39</v>
      </c>
      <c r="C25" s="187">
        <v>2</v>
      </c>
      <c r="F25" s="187">
        <v>31</v>
      </c>
      <c r="J25" s="187">
        <v>33</v>
      </c>
      <c r="N25" s="187">
        <v>35</v>
      </c>
      <c r="R25" s="187">
        <v>37</v>
      </c>
    </row>
    <row r="26" spans="2:19" x14ac:dyDescent="0.35">
      <c r="B26" s="189" t="s">
        <v>40</v>
      </c>
      <c r="C26" s="187">
        <v>1</v>
      </c>
      <c r="F26" s="187" t="s">
        <v>865</v>
      </c>
      <c r="G26" s="187" t="s">
        <v>985</v>
      </c>
      <c r="J26" s="187" t="s">
        <v>865</v>
      </c>
      <c r="K26" s="187" t="s">
        <v>927</v>
      </c>
      <c r="N26" s="187" t="s">
        <v>865</v>
      </c>
      <c r="O26" s="187" t="s">
        <v>986</v>
      </c>
      <c r="R26" s="187" t="s">
        <v>865</v>
      </c>
      <c r="S26" s="187" t="s">
        <v>988</v>
      </c>
    </row>
    <row r="27" spans="2:19" x14ac:dyDescent="0.35">
      <c r="B27" s="189" t="s">
        <v>41</v>
      </c>
      <c r="C27" s="187">
        <v>1</v>
      </c>
      <c r="F27" s="189" t="s">
        <v>313</v>
      </c>
      <c r="G27" s="187">
        <v>4</v>
      </c>
      <c r="H27" s="196">
        <f>GETPIVOTDATA("Airline",$F$26,"Airline","Air France Airlines")/GETPIVOTDATA("Airline",$F$26)</f>
        <v>3.3333333333333333E-2</v>
      </c>
      <c r="J27" s="189" t="s">
        <v>209</v>
      </c>
      <c r="K27" s="191">
        <v>47000000</v>
      </c>
      <c r="N27" s="189" t="s">
        <v>209</v>
      </c>
      <c r="O27" s="187">
        <v>4</v>
      </c>
      <c r="R27" s="189" t="s">
        <v>209</v>
      </c>
      <c r="S27" s="191">
        <v>12925000</v>
      </c>
    </row>
    <row r="28" spans="2:19" x14ac:dyDescent="0.35">
      <c r="B28" s="190">
        <v>44958</v>
      </c>
      <c r="C28" s="187">
        <v>4</v>
      </c>
      <c r="F28" s="189" t="s">
        <v>299</v>
      </c>
      <c r="G28" s="187">
        <v>4</v>
      </c>
      <c r="H28" s="196">
        <f>GETPIVOTDATA("Airline",$F$26,"Airline","Airfast ")/GETPIVOTDATA("Airline",$F$26)</f>
        <v>3.3333333333333333E-2</v>
      </c>
      <c r="J28" s="189" t="s">
        <v>237</v>
      </c>
      <c r="K28" s="191">
        <v>39400000</v>
      </c>
      <c r="N28" s="189" t="s">
        <v>237</v>
      </c>
      <c r="O28" s="187">
        <v>4</v>
      </c>
      <c r="R28" s="189" t="s">
        <v>237</v>
      </c>
      <c r="S28" s="191">
        <v>10835000</v>
      </c>
    </row>
    <row r="29" spans="2:19" x14ac:dyDescent="0.35">
      <c r="B29" s="190">
        <v>44986</v>
      </c>
      <c r="C29" s="187">
        <v>3</v>
      </c>
      <c r="F29" s="189" t="s">
        <v>309</v>
      </c>
      <c r="G29" s="187">
        <v>4</v>
      </c>
      <c r="H29" s="196">
        <f>GETPIVOTDATA("Airline",$F$26,"Airline","All Nippon Airways")/GETPIVOTDATA("Airline",$F$26)</f>
        <v>3.3333333333333333E-2</v>
      </c>
      <c r="J29" s="189" t="s">
        <v>233</v>
      </c>
      <c r="K29" s="191">
        <v>20700000</v>
      </c>
      <c r="N29" s="189" t="s">
        <v>233</v>
      </c>
      <c r="O29" s="187">
        <v>2</v>
      </c>
      <c r="R29" s="189" t="s">
        <v>233</v>
      </c>
      <c r="S29" s="191">
        <v>11385000</v>
      </c>
    </row>
    <row r="30" spans="2:19" x14ac:dyDescent="0.35">
      <c r="B30" s="190">
        <v>45017</v>
      </c>
      <c r="C30" s="187">
        <v>9</v>
      </c>
      <c r="F30" s="189" t="s">
        <v>300</v>
      </c>
      <c r="G30" s="187">
        <v>11</v>
      </c>
      <c r="H30" s="196">
        <f>GETPIVOTDATA("Airline",$F$26,"Airline","Batik Air")/GETPIVOTDATA("Airline",$F$26)</f>
        <v>9.166666666666666E-2</v>
      </c>
      <c r="J30" s="189" t="s">
        <v>219</v>
      </c>
      <c r="K30" s="191">
        <v>31500000</v>
      </c>
      <c r="N30" s="189" t="s">
        <v>219</v>
      </c>
      <c r="O30" s="187">
        <v>3</v>
      </c>
      <c r="R30" s="189" t="s">
        <v>219</v>
      </c>
      <c r="S30" s="191">
        <v>11550000</v>
      </c>
    </row>
    <row r="31" spans="2:19" x14ac:dyDescent="0.35">
      <c r="B31" s="190">
        <v>45047</v>
      </c>
      <c r="C31" s="187">
        <v>3</v>
      </c>
      <c r="F31" s="189" t="s">
        <v>314</v>
      </c>
      <c r="G31" s="187">
        <v>7</v>
      </c>
      <c r="H31" s="196">
        <f>GETPIVOTDATA("Airline",$F$26,"Airline","Cathay Pacific Airlines")/GETPIVOTDATA("Airline",$F$26)</f>
        <v>5.8333333333333334E-2</v>
      </c>
      <c r="J31" s="189" t="s">
        <v>225</v>
      </c>
      <c r="K31" s="191">
        <v>22700000</v>
      </c>
      <c r="N31" s="189" t="s">
        <v>225</v>
      </c>
      <c r="O31" s="187">
        <v>2</v>
      </c>
      <c r="R31" s="189" t="s">
        <v>225</v>
      </c>
      <c r="S31" s="191">
        <v>12485000</v>
      </c>
    </row>
    <row r="32" spans="2:19" x14ac:dyDescent="0.35">
      <c r="B32" s="190">
        <v>45078</v>
      </c>
      <c r="C32" s="187">
        <v>10</v>
      </c>
      <c r="F32" s="189" t="s">
        <v>303</v>
      </c>
      <c r="G32" s="187">
        <v>3</v>
      </c>
      <c r="H32" s="196">
        <f>GETPIVOTDATA("Airline",$F$26,"Airline","Citilink")/GETPIVOTDATA("Airline",$F$26)</f>
        <v>2.5000000000000001E-2</v>
      </c>
      <c r="J32" s="189" t="s">
        <v>227</v>
      </c>
      <c r="K32" s="191">
        <v>52750000</v>
      </c>
      <c r="N32" s="189" t="s">
        <v>227</v>
      </c>
      <c r="O32" s="187">
        <v>5</v>
      </c>
      <c r="R32" s="189" t="s">
        <v>227</v>
      </c>
      <c r="S32" s="191">
        <v>11605000</v>
      </c>
    </row>
    <row r="33" spans="2:19" x14ac:dyDescent="0.35">
      <c r="B33" s="190">
        <v>45108</v>
      </c>
      <c r="C33" s="187">
        <v>4</v>
      </c>
      <c r="F33" s="189" t="s">
        <v>307</v>
      </c>
      <c r="G33" s="187">
        <v>10</v>
      </c>
      <c r="H33" s="196">
        <f>GETPIVOTDATA("Airline",$F$26,"Airline","Emirates ")/GETPIVOTDATA("Airline",$F$26)</f>
        <v>8.3333333333333329E-2</v>
      </c>
      <c r="J33" s="189" t="s">
        <v>239</v>
      </c>
      <c r="K33" s="191">
        <v>20710000</v>
      </c>
      <c r="N33" s="189" t="s">
        <v>239</v>
      </c>
      <c r="O33" s="187">
        <v>2</v>
      </c>
      <c r="R33" s="189" t="s">
        <v>239</v>
      </c>
      <c r="S33" s="191">
        <v>11390500</v>
      </c>
    </row>
    <row r="34" spans="2:19" x14ac:dyDescent="0.35">
      <c r="B34" s="190">
        <v>45139</v>
      </c>
      <c r="C34" s="187">
        <v>2</v>
      </c>
      <c r="F34" s="189" t="s">
        <v>302</v>
      </c>
      <c r="G34" s="187">
        <v>12</v>
      </c>
      <c r="H34" s="196">
        <f>GETPIVOTDATA("Airline",$F$26,"Airline","Garuda Indonesia")/GETPIVOTDATA("Airline",$F$26)</f>
        <v>0.1</v>
      </c>
      <c r="J34" s="189" t="s">
        <v>241</v>
      </c>
      <c r="K34" s="191">
        <v>19100000</v>
      </c>
      <c r="N34" s="189" t="s">
        <v>241</v>
      </c>
      <c r="O34" s="187">
        <v>2</v>
      </c>
      <c r="R34" s="189" t="s">
        <v>241</v>
      </c>
      <c r="S34" s="191">
        <v>10505000</v>
      </c>
    </row>
    <row r="35" spans="2:19" x14ac:dyDescent="0.35">
      <c r="B35" s="190">
        <v>45170</v>
      </c>
      <c r="C35" s="187">
        <v>5</v>
      </c>
      <c r="F35" s="189" t="s">
        <v>295</v>
      </c>
      <c r="G35" s="187">
        <v>7</v>
      </c>
      <c r="H35" s="196">
        <f>GETPIVOTDATA("Airline",$F$26,"Airline","Indonesia AirAsia")/GETPIVOTDATA("Airline",$F$26)</f>
        <v>5.8333333333333334E-2</v>
      </c>
      <c r="J35" s="189" t="s">
        <v>200</v>
      </c>
      <c r="K35" s="191">
        <v>16710000</v>
      </c>
      <c r="N35" s="189" t="s">
        <v>200</v>
      </c>
      <c r="O35" s="187">
        <v>2</v>
      </c>
      <c r="R35" s="189" t="s">
        <v>200</v>
      </c>
      <c r="S35" s="191">
        <v>9190500</v>
      </c>
    </row>
    <row r="36" spans="2:19" x14ac:dyDescent="0.35">
      <c r="B36" s="190">
        <v>45200</v>
      </c>
      <c r="C36" s="187">
        <v>2</v>
      </c>
      <c r="F36" s="189" t="s">
        <v>311</v>
      </c>
      <c r="G36" s="187">
        <v>2</v>
      </c>
      <c r="H36" s="196">
        <f>GETPIVOTDATA("Airline",$F$26,"Airline","Japan Airlines ")/GETPIVOTDATA("Airline",$F$26)</f>
        <v>1.6666666666666666E-2</v>
      </c>
      <c r="J36" s="189" t="s">
        <v>235</v>
      </c>
      <c r="K36" s="191">
        <v>22500000</v>
      </c>
      <c r="N36" s="189" t="s">
        <v>235</v>
      </c>
      <c r="O36" s="187">
        <v>2</v>
      </c>
      <c r="R36" s="189" t="s">
        <v>235</v>
      </c>
      <c r="S36" s="191">
        <v>12375000</v>
      </c>
    </row>
    <row r="37" spans="2:19" x14ac:dyDescent="0.35">
      <c r="B37" s="190">
        <v>45231</v>
      </c>
      <c r="C37" s="187">
        <v>7</v>
      </c>
      <c r="F37" s="189" t="s">
        <v>301</v>
      </c>
      <c r="G37" s="187">
        <v>8</v>
      </c>
      <c r="H37" s="196">
        <f>GETPIVOTDATA("Airline",$F$26,"Airline","Lion Air")/GETPIVOTDATA("Airline",$F$26)</f>
        <v>6.6666666666666666E-2</v>
      </c>
      <c r="J37" s="189" t="s">
        <v>207</v>
      </c>
      <c r="K37" s="191">
        <v>46200000</v>
      </c>
      <c r="N37" s="189" t="s">
        <v>207</v>
      </c>
      <c r="O37" s="187">
        <v>4</v>
      </c>
      <c r="R37" s="189" t="s">
        <v>207</v>
      </c>
      <c r="S37" s="191">
        <v>12705000</v>
      </c>
    </row>
    <row r="38" spans="2:19" x14ac:dyDescent="0.35">
      <c r="B38" s="190">
        <v>45261</v>
      </c>
      <c r="C38" s="187">
        <v>3</v>
      </c>
      <c r="F38" s="189" t="s">
        <v>316</v>
      </c>
      <c r="G38" s="187">
        <v>4</v>
      </c>
      <c r="H38" s="196">
        <f>GETPIVOTDATA("Airline",$F$26,"Airline","Malaysia Airlines")/GETPIVOTDATA("Airline",$F$26)</f>
        <v>3.3333333333333333E-2</v>
      </c>
      <c r="J38" s="189" t="s">
        <v>249</v>
      </c>
      <c r="K38" s="191">
        <v>29300000</v>
      </c>
      <c r="N38" s="189" t="s">
        <v>249</v>
      </c>
      <c r="O38" s="187">
        <v>2</v>
      </c>
      <c r="R38" s="189" t="s">
        <v>249</v>
      </c>
      <c r="S38" s="191">
        <v>16115000</v>
      </c>
    </row>
    <row r="39" spans="2:19" x14ac:dyDescent="0.35">
      <c r="B39" s="189" t="s">
        <v>864</v>
      </c>
      <c r="C39" s="187">
        <v>120</v>
      </c>
      <c r="F39" s="189" t="s">
        <v>298</v>
      </c>
      <c r="G39" s="187">
        <v>3</v>
      </c>
      <c r="H39" s="196">
        <f>GETPIVOTDATA("Airline",$F$26,"Airline","NAM Air")/GETPIVOTDATA("Airline",$F$26)</f>
        <v>2.5000000000000001E-2</v>
      </c>
      <c r="J39" s="189" t="s">
        <v>221</v>
      </c>
      <c r="K39" s="191">
        <v>11200000</v>
      </c>
      <c r="N39" s="189" t="s">
        <v>221</v>
      </c>
      <c r="O39" s="187">
        <v>4</v>
      </c>
      <c r="R39" s="189" t="s">
        <v>221</v>
      </c>
      <c r="S39" s="191">
        <v>3080000</v>
      </c>
    </row>
    <row r="40" spans="2:19" x14ac:dyDescent="0.35">
      <c r="F40" s="189" t="s">
        <v>304</v>
      </c>
      <c r="G40" s="187">
        <v>2</v>
      </c>
      <c r="H40" s="196">
        <f>GETPIVOTDATA("Airline",$F$26,"Airline","Pelita Air")/GETPIVOTDATA("Airline",$F$26)</f>
        <v>1.6666666666666666E-2</v>
      </c>
      <c r="J40" s="189" t="s">
        <v>201</v>
      </c>
      <c r="K40" s="191">
        <v>33000000</v>
      </c>
      <c r="N40" s="189" t="s">
        <v>201</v>
      </c>
      <c r="O40" s="187">
        <v>4</v>
      </c>
      <c r="R40" s="189" t="s">
        <v>201</v>
      </c>
      <c r="S40" s="191">
        <v>9075000</v>
      </c>
    </row>
    <row r="41" spans="2:19" x14ac:dyDescent="0.35">
      <c r="F41" s="189" t="s">
        <v>308</v>
      </c>
      <c r="G41" s="187">
        <v>5</v>
      </c>
      <c r="H41" s="196">
        <f>GETPIVOTDATA("Airline",$F$26,"Airline","Qatar Airways")/GETPIVOTDATA("Airline",$F$26)</f>
        <v>4.1666666666666664E-2</v>
      </c>
      <c r="J41" s="189" t="s">
        <v>206</v>
      </c>
      <c r="K41" s="191">
        <v>41250000</v>
      </c>
      <c r="N41" s="189" t="s">
        <v>206</v>
      </c>
      <c r="O41" s="187">
        <v>3</v>
      </c>
      <c r="R41" s="189" t="s">
        <v>206</v>
      </c>
      <c r="S41" s="191">
        <v>15125000</v>
      </c>
    </row>
    <row r="42" spans="2:19" x14ac:dyDescent="0.35">
      <c r="F42" s="189" t="s">
        <v>312</v>
      </c>
      <c r="G42" s="187">
        <v>5</v>
      </c>
      <c r="H42" s="196">
        <f>GETPIVOTDATA("Airline",$F$26,"Airline","Saudia Airlines")/GETPIVOTDATA("Airline",$F$26)</f>
        <v>4.1666666666666664E-2</v>
      </c>
      <c r="J42" s="189" t="s">
        <v>213</v>
      </c>
      <c r="K42" s="191">
        <v>37665000</v>
      </c>
      <c r="N42" s="189" t="s">
        <v>213</v>
      </c>
      <c r="O42" s="187">
        <v>3</v>
      </c>
      <c r="R42" s="189" t="s">
        <v>213</v>
      </c>
      <c r="S42" s="191">
        <v>13810500</v>
      </c>
    </row>
    <row r="43" spans="2:19" x14ac:dyDescent="0.35">
      <c r="F43" s="189" t="s">
        <v>306</v>
      </c>
      <c r="G43" s="187">
        <v>8</v>
      </c>
      <c r="H43" s="196">
        <f>GETPIVOTDATA("Airline",$F$26,"Airline","Singapore Airlines")/GETPIVOTDATA("Airline",$F$26)</f>
        <v>6.6666666666666666E-2</v>
      </c>
      <c r="J43" s="189" t="s">
        <v>243</v>
      </c>
      <c r="K43" s="191">
        <v>8550000</v>
      </c>
      <c r="N43" s="189" t="s">
        <v>243</v>
      </c>
      <c r="O43" s="187">
        <v>1</v>
      </c>
      <c r="R43" s="189" t="s">
        <v>243</v>
      </c>
      <c r="S43" s="191">
        <v>9405000</v>
      </c>
    </row>
    <row r="44" spans="2:19" x14ac:dyDescent="0.35">
      <c r="F44" s="189" t="s">
        <v>297</v>
      </c>
      <c r="G44" s="187">
        <v>4</v>
      </c>
      <c r="H44" s="196">
        <f>GETPIVOTDATA("Airline",$F$26,"Airline","Sriwijaya Air")/GETPIVOTDATA("Airline",$F$26)</f>
        <v>3.3333333333333333E-2</v>
      </c>
      <c r="J44" s="189" t="s">
        <v>229</v>
      </c>
      <c r="K44" s="191">
        <v>26100000</v>
      </c>
      <c r="N44" s="189" t="s">
        <v>229</v>
      </c>
      <c r="O44" s="187">
        <v>3</v>
      </c>
      <c r="R44" s="189" t="s">
        <v>229</v>
      </c>
      <c r="S44" s="191">
        <v>9570000</v>
      </c>
    </row>
    <row r="45" spans="2:19" x14ac:dyDescent="0.35">
      <c r="F45" s="189" t="s">
        <v>296</v>
      </c>
      <c r="G45" s="187">
        <v>4</v>
      </c>
      <c r="H45" s="196">
        <f>GETPIVOTDATA("Airline",$F$26,"Airline","Super Air Jet")/GETPIVOTDATA("Airline",$F$26)</f>
        <v>3.3333333333333333E-2</v>
      </c>
      <c r="J45" s="189" t="s">
        <v>223</v>
      </c>
      <c r="K45" s="191">
        <v>7650000</v>
      </c>
      <c r="N45" s="189" t="s">
        <v>223</v>
      </c>
      <c r="O45" s="187">
        <v>3</v>
      </c>
      <c r="R45" s="189" t="s">
        <v>223</v>
      </c>
      <c r="S45" s="191">
        <v>2805000</v>
      </c>
    </row>
    <row r="46" spans="2:19" x14ac:dyDescent="0.35">
      <c r="F46" s="189" t="s">
        <v>315</v>
      </c>
      <c r="G46" s="187">
        <v>5</v>
      </c>
      <c r="H46" s="196">
        <f>GETPIVOTDATA("Airline",$F$26,"Airline","Thai Airways International Airlines")/GETPIVOTDATA("Airline",$F$26)</f>
        <v>4.1666666666666664E-2</v>
      </c>
      <c r="J46" s="189" t="s">
        <v>245</v>
      </c>
      <c r="K46" s="191">
        <v>13650000</v>
      </c>
      <c r="N46" s="189" t="s">
        <v>245</v>
      </c>
      <c r="O46" s="187">
        <v>1</v>
      </c>
      <c r="R46" s="189" t="s">
        <v>245</v>
      </c>
      <c r="S46" s="191">
        <v>15015000</v>
      </c>
    </row>
    <row r="47" spans="2:19" x14ac:dyDescent="0.35">
      <c r="F47" s="189" t="s">
        <v>305</v>
      </c>
      <c r="G47" s="187">
        <v>1</v>
      </c>
      <c r="H47" s="196">
        <f>GETPIVOTDATA("Airline",$F$26,"Airline","Transnusa")/GETPIVOTDATA("Airline",$F$26)</f>
        <v>8.3333333333333332E-3</v>
      </c>
      <c r="J47" s="189" t="s">
        <v>205</v>
      </c>
      <c r="K47" s="191">
        <v>52275000</v>
      </c>
      <c r="N47" s="189" t="s">
        <v>205</v>
      </c>
      <c r="O47" s="187">
        <v>5</v>
      </c>
      <c r="R47" s="189" t="s">
        <v>205</v>
      </c>
      <c r="S47" s="191">
        <v>11500500</v>
      </c>
    </row>
    <row r="48" spans="2:19" x14ac:dyDescent="0.35">
      <c r="F48" s="189" t="s">
        <v>310</v>
      </c>
      <c r="G48" s="187">
        <v>7</v>
      </c>
      <c r="H48" s="196">
        <f>GETPIVOTDATA("Airline",$F$26,"Airline","Turkish Airlines")/GETPIVOTDATA("Airline",$F$26)</f>
        <v>5.8333333333333334E-2</v>
      </c>
      <c r="J48" s="189" t="s">
        <v>979</v>
      </c>
      <c r="K48" s="191">
        <v>135315000</v>
      </c>
      <c r="N48" s="189" t="s">
        <v>979</v>
      </c>
      <c r="R48" s="189" t="s">
        <v>979</v>
      </c>
      <c r="S48" s="191">
        <v>2090000</v>
      </c>
    </row>
    <row r="49" spans="6:19" x14ac:dyDescent="0.35">
      <c r="F49" s="189" t="s">
        <v>864</v>
      </c>
      <c r="G49" s="187">
        <v>120</v>
      </c>
      <c r="J49" s="189" t="s">
        <v>864</v>
      </c>
      <c r="K49" s="191">
        <v>735225000</v>
      </c>
      <c r="N49" s="189" t="s">
        <v>864</v>
      </c>
      <c r="O49" s="187">
        <v>61</v>
      </c>
      <c r="R49" s="189" t="s">
        <v>864</v>
      </c>
      <c r="S49" s="191">
        <v>2090000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5B2F-843B-764D-880C-CA2F90EA45C2}">
  <sheetPr codeName="Sheet22">
    <tabColor theme="8" tint="0.39997558519241921"/>
  </sheetPr>
  <dimension ref="A1"/>
  <sheetViews>
    <sheetView topLeftCell="G3" zoomScale="90" workbookViewId="0">
      <selection activeCell="E35" sqref="E35"/>
    </sheetView>
  </sheetViews>
  <sheetFormatPr defaultColWidth="10.83203125" defaultRowHeight="15.5" x14ac:dyDescent="0.35"/>
  <cols>
    <col min="1" max="16384" width="10.83203125" style="20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40FF7-1475-B34A-AEDD-A579C227C490}">
  <sheetPr codeName="Sheet23">
    <tabColor theme="8" tint="0.39997558519241921"/>
  </sheetPr>
  <dimension ref="B2:O125"/>
  <sheetViews>
    <sheetView topLeftCell="A4" zoomScale="115" workbookViewId="0">
      <selection activeCell="B3" sqref="B3:F3"/>
    </sheetView>
  </sheetViews>
  <sheetFormatPr defaultColWidth="10.83203125" defaultRowHeight="15.5" x14ac:dyDescent="0.35"/>
  <cols>
    <col min="1" max="1" width="10.83203125" style="187"/>
    <col min="2" max="2" width="10.83203125" style="193"/>
    <col min="3" max="3" width="11" style="193" customWidth="1"/>
    <col min="4" max="4" width="11.33203125" style="193" customWidth="1"/>
    <col min="5" max="5" width="15.1640625" style="193" customWidth="1"/>
    <col min="6" max="6" width="24" style="193" customWidth="1"/>
    <col min="7" max="8" width="10.83203125" style="187"/>
    <col min="9" max="9" width="15" style="193" customWidth="1"/>
    <col min="10" max="11" width="14.83203125" style="187" bestFit="1" customWidth="1"/>
    <col min="12" max="13" width="10.83203125" style="187"/>
    <col min="14" max="14" width="12.6640625" style="214" customWidth="1"/>
    <col min="15" max="15" width="29.83203125" style="187" bestFit="1" customWidth="1"/>
    <col min="16" max="16384" width="10.83203125" style="187"/>
  </cols>
  <sheetData>
    <row r="2" spans="2:15" ht="16" thickBot="1" x14ac:dyDescent="0.4">
      <c r="B2" s="215" t="s">
        <v>990</v>
      </c>
      <c r="I2" s="219"/>
    </row>
    <row r="3" spans="2:15" x14ac:dyDescent="0.35">
      <c r="B3" s="221" t="s">
        <v>0</v>
      </c>
      <c r="C3" s="212" t="s">
        <v>5</v>
      </c>
      <c r="D3" s="212" t="s">
        <v>419</v>
      </c>
      <c r="E3" s="212" t="s">
        <v>17</v>
      </c>
      <c r="F3" s="213" t="s">
        <v>7</v>
      </c>
      <c r="I3" s="211" t="s">
        <v>342</v>
      </c>
      <c r="J3" s="212" t="s">
        <v>578</v>
      </c>
      <c r="K3" s="213" t="s">
        <v>580</v>
      </c>
      <c r="N3" s="211" t="s">
        <v>573</v>
      </c>
      <c r="O3" s="213" t="s">
        <v>14</v>
      </c>
    </row>
    <row r="4" spans="2:15" x14ac:dyDescent="0.35">
      <c r="B4" s="205">
        <v>44958</v>
      </c>
      <c r="C4" s="193" t="s">
        <v>162</v>
      </c>
      <c r="D4" s="193" t="s">
        <v>196</v>
      </c>
      <c r="E4" s="193" t="s">
        <v>198</v>
      </c>
      <c r="F4" s="206" t="s">
        <v>519</v>
      </c>
      <c r="I4" s="207" t="s">
        <v>248</v>
      </c>
      <c r="J4" s="191">
        <v>2200000</v>
      </c>
      <c r="K4" s="216">
        <v>2420000</v>
      </c>
      <c r="N4" s="225" t="s">
        <v>324</v>
      </c>
      <c r="O4" s="224" t="s">
        <v>296</v>
      </c>
    </row>
    <row r="5" spans="2:15" x14ac:dyDescent="0.35">
      <c r="B5" s="205">
        <v>44958</v>
      </c>
      <c r="C5" s="193" t="s">
        <v>163</v>
      </c>
      <c r="D5" s="193" t="s">
        <v>197</v>
      </c>
      <c r="E5" s="193" t="s">
        <v>199</v>
      </c>
      <c r="F5" s="206" t="s">
        <v>520</v>
      </c>
      <c r="I5" s="207" t="s">
        <v>212</v>
      </c>
      <c r="J5" s="191">
        <v>8250000</v>
      </c>
      <c r="K5" s="216">
        <v>9075000</v>
      </c>
      <c r="N5" s="225" t="s">
        <v>328</v>
      </c>
      <c r="O5" s="224" t="s">
        <v>306</v>
      </c>
    </row>
    <row r="6" spans="2:15" x14ac:dyDescent="0.35">
      <c r="B6" s="205">
        <v>44958</v>
      </c>
      <c r="C6" s="193" t="s">
        <v>163</v>
      </c>
      <c r="D6" s="193" t="s">
        <v>196</v>
      </c>
      <c r="E6" s="193" t="s">
        <v>199</v>
      </c>
      <c r="F6" s="206" t="s">
        <v>520</v>
      </c>
      <c r="I6" s="207" t="s">
        <v>217</v>
      </c>
      <c r="J6" s="191">
        <v>11550000</v>
      </c>
      <c r="K6" s="216">
        <v>12705000</v>
      </c>
      <c r="N6" s="225" t="s">
        <v>329</v>
      </c>
      <c r="O6" s="224" t="s">
        <v>307</v>
      </c>
    </row>
    <row r="7" spans="2:15" x14ac:dyDescent="0.35">
      <c r="B7" s="205">
        <v>44958</v>
      </c>
      <c r="C7" s="193" t="s">
        <v>163</v>
      </c>
      <c r="D7" s="193" t="s">
        <v>196</v>
      </c>
      <c r="E7" s="193" t="s">
        <v>199</v>
      </c>
      <c r="F7" s="206" t="s">
        <v>520</v>
      </c>
      <c r="I7" s="207" t="s">
        <v>214</v>
      </c>
      <c r="J7" s="191">
        <v>12555000</v>
      </c>
      <c r="K7" s="216">
        <v>13810500</v>
      </c>
      <c r="N7" s="225" t="s">
        <v>328</v>
      </c>
      <c r="O7" s="224" t="s">
        <v>306</v>
      </c>
    </row>
    <row r="8" spans="2:15" x14ac:dyDescent="0.35">
      <c r="B8" s="205">
        <v>44986</v>
      </c>
      <c r="C8" s="193" t="s">
        <v>162</v>
      </c>
      <c r="D8" s="193" t="s">
        <v>197</v>
      </c>
      <c r="E8" s="193" t="s">
        <v>199</v>
      </c>
      <c r="F8" s="206" t="s">
        <v>520</v>
      </c>
      <c r="I8" s="207" t="s">
        <v>216</v>
      </c>
      <c r="J8" s="191">
        <v>13750000</v>
      </c>
      <c r="K8" s="216">
        <v>15125000</v>
      </c>
      <c r="N8" s="225" t="s">
        <v>333</v>
      </c>
      <c r="O8" s="224" t="s">
        <v>311</v>
      </c>
    </row>
    <row r="9" spans="2:15" x14ac:dyDescent="0.35">
      <c r="B9" s="205">
        <v>44986</v>
      </c>
      <c r="C9" s="193" t="s">
        <v>163</v>
      </c>
      <c r="D9" s="193" t="s">
        <v>196</v>
      </c>
      <c r="E9" s="193" t="s">
        <v>198</v>
      </c>
      <c r="F9" s="206" t="s">
        <v>519</v>
      </c>
      <c r="I9" s="207" t="s">
        <v>252</v>
      </c>
      <c r="J9" s="191">
        <v>1950000</v>
      </c>
      <c r="K9" s="216">
        <v>2145000</v>
      </c>
      <c r="N9" s="225" t="s">
        <v>320</v>
      </c>
      <c r="O9" s="224" t="s">
        <v>297</v>
      </c>
    </row>
    <row r="10" spans="2:15" x14ac:dyDescent="0.35">
      <c r="B10" s="205">
        <v>44986</v>
      </c>
      <c r="C10" s="193" t="s">
        <v>162</v>
      </c>
      <c r="D10" s="193" t="s">
        <v>196</v>
      </c>
      <c r="E10" s="193" t="s">
        <v>198</v>
      </c>
      <c r="F10" s="206" t="s">
        <v>519</v>
      </c>
      <c r="I10" s="207" t="s">
        <v>257</v>
      </c>
      <c r="J10" s="191">
        <v>2000000</v>
      </c>
      <c r="K10" s="216">
        <v>2200000</v>
      </c>
      <c r="N10" s="225" t="s">
        <v>324</v>
      </c>
      <c r="O10" s="224" t="s">
        <v>296</v>
      </c>
    </row>
    <row r="11" spans="2:15" x14ac:dyDescent="0.35">
      <c r="B11" s="205">
        <v>45017</v>
      </c>
      <c r="C11" s="193" t="s">
        <v>162</v>
      </c>
      <c r="D11" s="193" t="s">
        <v>197</v>
      </c>
      <c r="E11" s="193" t="s">
        <v>199</v>
      </c>
      <c r="F11" s="206" t="s">
        <v>520</v>
      </c>
      <c r="I11" s="207" t="s">
        <v>230</v>
      </c>
      <c r="J11" s="191">
        <v>8700000</v>
      </c>
      <c r="K11" s="216">
        <v>9570000</v>
      </c>
      <c r="N11" s="225" t="s">
        <v>330</v>
      </c>
      <c r="O11" s="224" t="s">
        <v>308</v>
      </c>
    </row>
    <row r="12" spans="2:15" x14ac:dyDescent="0.35">
      <c r="B12" s="205">
        <v>45017</v>
      </c>
      <c r="C12" s="193" t="s">
        <v>163</v>
      </c>
      <c r="D12" s="193" t="s">
        <v>197</v>
      </c>
      <c r="E12" s="193" t="s">
        <v>198</v>
      </c>
      <c r="F12" s="206" t="s">
        <v>519</v>
      </c>
      <c r="I12" s="207" t="s">
        <v>288</v>
      </c>
      <c r="J12" s="191">
        <v>3750000</v>
      </c>
      <c r="K12" s="216">
        <v>4125000</v>
      </c>
      <c r="N12" s="225" t="s">
        <v>317</v>
      </c>
      <c r="O12" s="224" t="s">
        <v>299</v>
      </c>
    </row>
    <row r="13" spans="2:15" x14ac:dyDescent="0.35">
      <c r="B13" s="205">
        <v>45017</v>
      </c>
      <c r="C13" s="193" t="s">
        <v>163</v>
      </c>
      <c r="D13" s="193" t="s">
        <v>197</v>
      </c>
      <c r="E13" s="193" t="s">
        <v>198</v>
      </c>
      <c r="F13" s="206" t="s">
        <v>519</v>
      </c>
      <c r="I13" s="207" t="s">
        <v>255</v>
      </c>
      <c r="J13" s="191">
        <v>1950000</v>
      </c>
      <c r="K13" s="216">
        <v>2145000</v>
      </c>
      <c r="N13" s="225" t="s">
        <v>317</v>
      </c>
      <c r="O13" s="224" t="s">
        <v>299</v>
      </c>
    </row>
    <row r="14" spans="2:15" x14ac:dyDescent="0.35">
      <c r="B14" s="205">
        <v>45017</v>
      </c>
      <c r="C14" s="193" t="s">
        <v>162</v>
      </c>
      <c r="D14" s="193" t="s">
        <v>196</v>
      </c>
      <c r="E14" s="193" t="s">
        <v>198</v>
      </c>
      <c r="F14" s="206" t="s">
        <v>519</v>
      </c>
      <c r="I14" s="207" t="s">
        <v>262</v>
      </c>
      <c r="J14" s="191">
        <v>2200000</v>
      </c>
      <c r="K14" s="216">
        <v>2420000</v>
      </c>
      <c r="N14" s="225" t="s">
        <v>321</v>
      </c>
      <c r="O14" s="224" t="s">
        <v>302</v>
      </c>
    </row>
    <row r="15" spans="2:15" x14ac:dyDescent="0.35">
      <c r="B15" s="205">
        <v>45017</v>
      </c>
      <c r="C15" s="193" t="s">
        <v>162</v>
      </c>
      <c r="D15" s="193" t="s">
        <v>196</v>
      </c>
      <c r="E15" s="193" t="s">
        <v>199</v>
      </c>
      <c r="F15" s="206" t="s">
        <v>520</v>
      </c>
      <c r="I15" s="207" t="s">
        <v>238</v>
      </c>
      <c r="J15" s="191">
        <v>9850000</v>
      </c>
      <c r="K15" s="216">
        <v>10835000</v>
      </c>
      <c r="N15" s="225" t="s">
        <v>335</v>
      </c>
      <c r="O15" s="224" t="s">
        <v>313</v>
      </c>
    </row>
    <row r="16" spans="2:15" x14ac:dyDescent="0.35">
      <c r="B16" s="205">
        <v>45017</v>
      </c>
      <c r="C16" s="193" t="s">
        <v>163</v>
      </c>
      <c r="D16" s="193" t="s">
        <v>196</v>
      </c>
      <c r="E16" s="193" t="s">
        <v>199</v>
      </c>
      <c r="F16" s="206" t="s">
        <v>520</v>
      </c>
      <c r="I16" s="207" t="s">
        <v>215</v>
      </c>
      <c r="J16" s="191">
        <v>10455000</v>
      </c>
      <c r="K16" s="216">
        <v>11500500</v>
      </c>
      <c r="N16" s="225" t="s">
        <v>332</v>
      </c>
      <c r="O16" s="224" t="s">
        <v>310</v>
      </c>
    </row>
    <row r="17" spans="2:15" x14ac:dyDescent="0.35">
      <c r="B17" s="205">
        <v>45017</v>
      </c>
      <c r="C17" s="193" t="s">
        <v>162</v>
      </c>
      <c r="D17" s="193" t="s">
        <v>196</v>
      </c>
      <c r="E17" s="193" t="s">
        <v>199</v>
      </c>
      <c r="F17" s="206" t="s">
        <v>520</v>
      </c>
      <c r="I17" s="207" t="s">
        <v>234</v>
      </c>
      <c r="J17" s="191">
        <v>10350000</v>
      </c>
      <c r="K17" s="216">
        <v>11385000</v>
      </c>
      <c r="N17" s="225" t="s">
        <v>330</v>
      </c>
      <c r="O17" s="224" t="s">
        <v>308</v>
      </c>
    </row>
    <row r="18" spans="2:15" x14ac:dyDescent="0.35">
      <c r="B18" s="205">
        <v>45017</v>
      </c>
      <c r="C18" s="193" t="s">
        <v>162</v>
      </c>
      <c r="D18" s="193" t="s">
        <v>196</v>
      </c>
      <c r="E18" s="193" t="s">
        <v>199</v>
      </c>
      <c r="F18" s="206" t="s">
        <v>520</v>
      </c>
      <c r="I18" s="207" t="s">
        <v>228</v>
      </c>
      <c r="J18" s="191">
        <v>10550000</v>
      </c>
      <c r="K18" s="216">
        <v>11605000</v>
      </c>
      <c r="N18" s="225" t="s">
        <v>329</v>
      </c>
      <c r="O18" s="224" t="s">
        <v>307</v>
      </c>
    </row>
    <row r="19" spans="2:15" x14ac:dyDescent="0.35">
      <c r="B19" s="205">
        <v>45017</v>
      </c>
      <c r="C19" s="193" t="s">
        <v>162</v>
      </c>
      <c r="D19" s="193" t="s">
        <v>196</v>
      </c>
      <c r="E19" s="193" t="s">
        <v>199</v>
      </c>
      <c r="F19" s="206" t="s">
        <v>520</v>
      </c>
      <c r="I19" s="207" t="s">
        <v>214</v>
      </c>
      <c r="J19" s="191">
        <v>12555000</v>
      </c>
      <c r="K19" s="216">
        <v>13810500</v>
      </c>
      <c r="N19" s="225" t="s">
        <v>336</v>
      </c>
      <c r="O19" s="224" t="s">
        <v>314</v>
      </c>
    </row>
    <row r="20" spans="2:15" x14ac:dyDescent="0.35">
      <c r="B20" s="205">
        <v>45047</v>
      </c>
      <c r="C20" s="193" t="s">
        <v>163</v>
      </c>
      <c r="D20" s="193" t="s">
        <v>196</v>
      </c>
      <c r="E20" s="193" t="s">
        <v>198</v>
      </c>
      <c r="F20" s="206" t="s">
        <v>519</v>
      </c>
      <c r="I20" s="207" t="s">
        <v>252</v>
      </c>
      <c r="J20" s="191">
        <v>1950000</v>
      </c>
      <c r="K20" s="216">
        <v>2145000</v>
      </c>
      <c r="N20" s="225" t="s">
        <v>322</v>
      </c>
      <c r="O20" s="224" t="s">
        <v>295</v>
      </c>
    </row>
    <row r="21" spans="2:15" x14ac:dyDescent="0.35">
      <c r="B21" s="205">
        <v>45047</v>
      </c>
      <c r="C21" s="193" t="s">
        <v>162</v>
      </c>
      <c r="D21" s="193" t="s">
        <v>196</v>
      </c>
      <c r="E21" s="193" t="s">
        <v>199</v>
      </c>
      <c r="F21" s="206" t="s">
        <v>520</v>
      </c>
      <c r="I21" s="207" t="s">
        <v>211</v>
      </c>
      <c r="J21" s="191">
        <v>8355000</v>
      </c>
      <c r="K21" s="216">
        <v>9190500</v>
      </c>
      <c r="N21" s="225" t="s">
        <v>328</v>
      </c>
      <c r="O21" s="224" t="s">
        <v>306</v>
      </c>
    </row>
    <row r="22" spans="2:15" x14ac:dyDescent="0.35">
      <c r="B22" s="205">
        <v>45047</v>
      </c>
      <c r="C22" s="193" t="s">
        <v>163</v>
      </c>
      <c r="D22" s="193" t="s">
        <v>197</v>
      </c>
      <c r="E22" s="193" t="s">
        <v>199</v>
      </c>
      <c r="F22" s="206" t="s">
        <v>520</v>
      </c>
      <c r="I22" s="207" t="s">
        <v>212</v>
      </c>
      <c r="J22" s="191">
        <v>8250000</v>
      </c>
      <c r="K22" s="216">
        <v>9075000</v>
      </c>
      <c r="N22" s="225" t="s">
        <v>331</v>
      </c>
      <c r="O22" s="224" t="s">
        <v>309</v>
      </c>
    </row>
    <row r="23" spans="2:15" x14ac:dyDescent="0.35">
      <c r="B23" s="205">
        <v>45078</v>
      </c>
      <c r="C23" s="193" t="s">
        <v>162</v>
      </c>
      <c r="D23" s="193" t="s">
        <v>197</v>
      </c>
      <c r="E23" s="193" t="s">
        <v>199</v>
      </c>
      <c r="F23" s="206" t="s">
        <v>520</v>
      </c>
      <c r="I23" s="207" t="s">
        <v>211</v>
      </c>
      <c r="J23" s="191">
        <v>8355000</v>
      </c>
      <c r="K23" s="216">
        <v>9190500</v>
      </c>
      <c r="N23" s="225" t="s">
        <v>333</v>
      </c>
      <c r="O23" s="224" t="s">
        <v>311</v>
      </c>
    </row>
    <row r="24" spans="2:15" x14ac:dyDescent="0.35">
      <c r="B24" s="205">
        <v>45078</v>
      </c>
      <c r="C24" s="193" t="s">
        <v>163</v>
      </c>
      <c r="D24" s="193" t="s">
        <v>196</v>
      </c>
      <c r="E24" s="193" t="s">
        <v>198</v>
      </c>
      <c r="F24" s="206" t="s">
        <v>519</v>
      </c>
      <c r="I24" s="207" t="s">
        <v>259</v>
      </c>
      <c r="J24" s="191">
        <v>2350000</v>
      </c>
      <c r="K24" s="216">
        <v>2585000</v>
      </c>
      <c r="N24" s="225" t="s">
        <v>325</v>
      </c>
      <c r="O24" s="224" t="s">
        <v>298</v>
      </c>
    </row>
    <row r="25" spans="2:15" x14ac:dyDescent="0.35">
      <c r="B25" s="205">
        <v>45078</v>
      </c>
      <c r="C25" s="193" t="s">
        <v>162</v>
      </c>
      <c r="D25" s="193" t="s">
        <v>196</v>
      </c>
      <c r="E25" s="193" t="s">
        <v>198</v>
      </c>
      <c r="F25" s="206" t="s">
        <v>519</v>
      </c>
      <c r="I25" s="207" t="s">
        <v>286</v>
      </c>
      <c r="J25" s="191">
        <v>2355000</v>
      </c>
      <c r="K25" s="216">
        <v>2590500</v>
      </c>
      <c r="N25" s="225" t="s">
        <v>326</v>
      </c>
      <c r="O25" s="224" t="s">
        <v>301</v>
      </c>
    </row>
    <row r="26" spans="2:15" x14ac:dyDescent="0.35">
      <c r="B26" s="205">
        <v>45078</v>
      </c>
      <c r="C26" s="193" t="s">
        <v>162</v>
      </c>
      <c r="D26" s="193" t="s">
        <v>197</v>
      </c>
      <c r="E26" s="193" t="s">
        <v>198</v>
      </c>
      <c r="F26" s="206" t="s">
        <v>519</v>
      </c>
      <c r="I26" s="207" t="s">
        <v>273</v>
      </c>
      <c r="J26" s="191">
        <v>2200000</v>
      </c>
      <c r="K26" s="216">
        <v>2420000</v>
      </c>
      <c r="N26" s="225" t="s">
        <v>321</v>
      </c>
      <c r="O26" s="224" t="s">
        <v>302</v>
      </c>
    </row>
    <row r="27" spans="2:15" x14ac:dyDescent="0.35">
      <c r="B27" s="205">
        <v>45078</v>
      </c>
      <c r="C27" s="193" t="s">
        <v>163</v>
      </c>
      <c r="D27" s="193" t="s">
        <v>197</v>
      </c>
      <c r="E27" s="193" t="s">
        <v>198</v>
      </c>
      <c r="F27" s="206" t="s">
        <v>519</v>
      </c>
      <c r="I27" s="207" t="s">
        <v>273</v>
      </c>
      <c r="J27" s="191">
        <v>2200000</v>
      </c>
      <c r="K27" s="216">
        <v>2420000</v>
      </c>
      <c r="N27" s="225" t="s">
        <v>324</v>
      </c>
      <c r="O27" s="224" t="s">
        <v>296</v>
      </c>
    </row>
    <row r="28" spans="2:15" x14ac:dyDescent="0.35">
      <c r="B28" s="205">
        <v>45078</v>
      </c>
      <c r="C28" s="193" t="s">
        <v>162</v>
      </c>
      <c r="D28" s="193" t="s">
        <v>197</v>
      </c>
      <c r="E28" s="193" t="s">
        <v>198</v>
      </c>
      <c r="F28" s="206" t="s">
        <v>519</v>
      </c>
      <c r="I28" s="207" t="s">
        <v>252</v>
      </c>
      <c r="J28" s="191">
        <v>1950000</v>
      </c>
      <c r="K28" s="216">
        <v>2145000</v>
      </c>
      <c r="N28" s="225" t="s">
        <v>322</v>
      </c>
      <c r="O28" s="224" t="s">
        <v>295</v>
      </c>
    </row>
    <row r="29" spans="2:15" x14ac:dyDescent="0.35">
      <c r="B29" s="205">
        <v>45078</v>
      </c>
      <c r="C29" s="193" t="s">
        <v>162</v>
      </c>
      <c r="D29" s="193" t="s">
        <v>196</v>
      </c>
      <c r="E29" s="193" t="s">
        <v>198</v>
      </c>
      <c r="F29" s="206" t="s">
        <v>519</v>
      </c>
      <c r="I29" s="207" t="s">
        <v>252</v>
      </c>
      <c r="J29" s="191">
        <v>1950000</v>
      </c>
      <c r="K29" s="216">
        <v>2145000</v>
      </c>
      <c r="N29" s="225" t="s">
        <v>322</v>
      </c>
      <c r="O29" s="224" t="s">
        <v>295</v>
      </c>
    </row>
    <row r="30" spans="2:15" x14ac:dyDescent="0.35">
      <c r="B30" s="205">
        <v>45078</v>
      </c>
      <c r="C30" s="193" t="s">
        <v>162</v>
      </c>
      <c r="D30" s="193" t="s">
        <v>196</v>
      </c>
      <c r="E30" s="193" t="s">
        <v>198</v>
      </c>
      <c r="F30" s="206" t="s">
        <v>519</v>
      </c>
      <c r="I30" s="207" t="s">
        <v>288</v>
      </c>
      <c r="J30" s="191">
        <v>3750000</v>
      </c>
      <c r="K30" s="216">
        <v>4125000</v>
      </c>
      <c r="N30" s="225" t="s">
        <v>326</v>
      </c>
      <c r="O30" s="224" t="s">
        <v>301</v>
      </c>
    </row>
    <row r="31" spans="2:15" x14ac:dyDescent="0.35">
      <c r="B31" s="205">
        <v>45078</v>
      </c>
      <c r="C31" s="193" t="s">
        <v>162</v>
      </c>
      <c r="D31" s="193" t="s">
        <v>196</v>
      </c>
      <c r="E31" s="193" t="s">
        <v>198</v>
      </c>
      <c r="F31" s="206" t="s">
        <v>519</v>
      </c>
      <c r="I31" s="207" t="s">
        <v>284</v>
      </c>
      <c r="J31" s="191">
        <v>2600000</v>
      </c>
      <c r="K31" s="216">
        <v>2860000</v>
      </c>
      <c r="N31" s="225" t="s">
        <v>318</v>
      </c>
      <c r="O31" s="224" t="s">
        <v>300</v>
      </c>
    </row>
    <row r="32" spans="2:15" x14ac:dyDescent="0.35">
      <c r="B32" s="205">
        <v>45078</v>
      </c>
      <c r="C32" s="193" t="s">
        <v>163</v>
      </c>
      <c r="D32" s="193" t="s">
        <v>196</v>
      </c>
      <c r="E32" s="193" t="s">
        <v>198</v>
      </c>
      <c r="F32" s="206" t="s">
        <v>519</v>
      </c>
      <c r="I32" s="207" t="s">
        <v>290</v>
      </c>
      <c r="J32" s="191">
        <v>2200000</v>
      </c>
      <c r="K32" s="216">
        <v>2420000</v>
      </c>
      <c r="N32" s="225" t="s">
        <v>320</v>
      </c>
      <c r="O32" s="224" t="s">
        <v>297</v>
      </c>
    </row>
    <row r="33" spans="2:15" x14ac:dyDescent="0.35">
      <c r="B33" s="205">
        <v>45108</v>
      </c>
      <c r="C33" s="193" t="s">
        <v>162</v>
      </c>
      <c r="D33" s="193" t="s">
        <v>196</v>
      </c>
      <c r="E33" s="193" t="s">
        <v>198</v>
      </c>
      <c r="F33" s="206" t="s">
        <v>519</v>
      </c>
      <c r="I33" s="207" t="s">
        <v>269</v>
      </c>
      <c r="J33" s="191">
        <v>2350000</v>
      </c>
      <c r="K33" s="216">
        <v>2585000</v>
      </c>
      <c r="N33" s="225" t="s">
        <v>325</v>
      </c>
      <c r="O33" s="224" t="s">
        <v>298</v>
      </c>
    </row>
    <row r="34" spans="2:15" x14ac:dyDescent="0.35">
      <c r="B34" s="205">
        <v>45108</v>
      </c>
      <c r="C34" s="193" t="s">
        <v>162</v>
      </c>
      <c r="D34" s="193" t="s">
        <v>196</v>
      </c>
      <c r="E34" s="193" t="s">
        <v>199</v>
      </c>
      <c r="F34" s="206" t="s">
        <v>520</v>
      </c>
      <c r="I34" s="207" t="s">
        <v>226</v>
      </c>
      <c r="J34" s="191">
        <v>11350000</v>
      </c>
      <c r="K34" s="216">
        <v>12485000</v>
      </c>
      <c r="N34" s="225" t="s">
        <v>337</v>
      </c>
      <c r="O34" s="224" t="s">
        <v>315</v>
      </c>
    </row>
    <row r="35" spans="2:15" x14ac:dyDescent="0.35">
      <c r="B35" s="205">
        <v>45108</v>
      </c>
      <c r="C35" s="193" t="s">
        <v>162</v>
      </c>
      <c r="D35" s="193" t="s">
        <v>196</v>
      </c>
      <c r="E35" s="193" t="s">
        <v>198</v>
      </c>
      <c r="F35" s="206" t="s">
        <v>519</v>
      </c>
      <c r="I35" s="207" t="s">
        <v>267</v>
      </c>
      <c r="J35" s="191">
        <v>2150000</v>
      </c>
      <c r="K35" s="216">
        <v>2365000</v>
      </c>
      <c r="N35" s="225" t="s">
        <v>319</v>
      </c>
      <c r="O35" s="224" t="s">
        <v>303</v>
      </c>
    </row>
    <row r="36" spans="2:15" x14ac:dyDescent="0.35">
      <c r="B36" s="205">
        <v>45108</v>
      </c>
      <c r="C36" s="193" t="s">
        <v>162</v>
      </c>
      <c r="D36" s="193" t="s">
        <v>196</v>
      </c>
      <c r="E36" s="193" t="s">
        <v>199</v>
      </c>
      <c r="F36" s="206" t="s">
        <v>520</v>
      </c>
      <c r="I36" s="207" t="s">
        <v>220</v>
      </c>
      <c r="J36" s="191">
        <v>10500000</v>
      </c>
      <c r="K36" s="216">
        <v>11550000</v>
      </c>
      <c r="N36" s="225" t="s">
        <v>338</v>
      </c>
      <c r="O36" s="224" t="s">
        <v>316</v>
      </c>
    </row>
    <row r="37" spans="2:15" x14ac:dyDescent="0.35">
      <c r="B37" s="205">
        <v>45139</v>
      </c>
      <c r="C37" s="193" t="s">
        <v>162</v>
      </c>
      <c r="D37" s="193" t="s">
        <v>196</v>
      </c>
      <c r="E37" s="193" t="s">
        <v>199</v>
      </c>
      <c r="F37" s="206" t="s">
        <v>520</v>
      </c>
      <c r="I37" s="207" t="s">
        <v>240</v>
      </c>
      <c r="J37" s="191">
        <v>10355000</v>
      </c>
      <c r="K37" s="216">
        <v>11390500</v>
      </c>
      <c r="N37" s="225" t="s">
        <v>331</v>
      </c>
      <c r="O37" s="224" t="s">
        <v>309</v>
      </c>
    </row>
    <row r="38" spans="2:15" x14ac:dyDescent="0.35">
      <c r="B38" s="205">
        <v>45139</v>
      </c>
      <c r="C38" s="193" t="s">
        <v>162</v>
      </c>
      <c r="D38" s="193" t="s">
        <v>197</v>
      </c>
      <c r="E38" s="193" t="s">
        <v>199</v>
      </c>
      <c r="F38" s="206" t="s">
        <v>520</v>
      </c>
      <c r="I38" s="207" t="s">
        <v>240</v>
      </c>
      <c r="J38" s="191">
        <v>10355000</v>
      </c>
      <c r="K38" s="216">
        <v>11390500</v>
      </c>
      <c r="N38" s="225" t="s">
        <v>337</v>
      </c>
      <c r="O38" s="224" t="s">
        <v>315</v>
      </c>
    </row>
    <row r="39" spans="2:15" x14ac:dyDescent="0.35">
      <c r="B39" s="205">
        <v>45170</v>
      </c>
      <c r="C39" s="193" t="s">
        <v>163</v>
      </c>
      <c r="D39" s="193" t="s">
        <v>197</v>
      </c>
      <c r="E39" s="193" t="s">
        <v>199</v>
      </c>
      <c r="F39" s="206" t="s">
        <v>520</v>
      </c>
      <c r="I39" s="207" t="s">
        <v>230</v>
      </c>
      <c r="J39" s="191">
        <v>8700000</v>
      </c>
      <c r="K39" s="216">
        <v>9570000</v>
      </c>
      <c r="N39" s="225" t="s">
        <v>330</v>
      </c>
      <c r="O39" s="224" t="s">
        <v>308</v>
      </c>
    </row>
    <row r="40" spans="2:15" x14ac:dyDescent="0.35">
      <c r="B40" s="205">
        <v>45170</v>
      </c>
      <c r="C40" s="193" t="s">
        <v>163</v>
      </c>
      <c r="D40" s="193" t="s">
        <v>197</v>
      </c>
      <c r="E40" s="193" t="s">
        <v>198</v>
      </c>
      <c r="F40" s="206" t="s">
        <v>519</v>
      </c>
      <c r="I40" s="207" t="s">
        <v>286</v>
      </c>
      <c r="J40" s="191">
        <v>2355000</v>
      </c>
      <c r="K40" s="216">
        <v>2590500</v>
      </c>
      <c r="N40" s="225" t="s">
        <v>319</v>
      </c>
      <c r="O40" s="224" t="s">
        <v>303</v>
      </c>
    </row>
    <row r="41" spans="2:15" x14ac:dyDescent="0.35">
      <c r="B41" s="205">
        <v>45170</v>
      </c>
      <c r="C41" s="193" t="s">
        <v>162</v>
      </c>
      <c r="D41" s="193" t="s">
        <v>197</v>
      </c>
      <c r="E41" s="193" t="s">
        <v>198</v>
      </c>
      <c r="F41" s="206" t="s">
        <v>519</v>
      </c>
      <c r="I41" s="207" t="s">
        <v>252</v>
      </c>
      <c r="J41" s="191">
        <v>1950000</v>
      </c>
      <c r="K41" s="216">
        <v>2145000</v>
      </c>
      <c r="N41" s="225" t="s">
        <v>317</v>
      </c>
      <c r="O41" s="224" t="s">
        <v>299</v>
      </c>
    </row>
    <row r="42" spans="2:15" x14ac:dyDescent="0.35">
      <c r="B42" s="205">
        <v>45170</v>
      </c>
      <c r="C42" s="193" t="s">
        <v>162</v>
      </c>
      <c r="D42" s="193" t="s">
        <v>196</v>
      </c>
      <c r="E42" s="193" t="s">
        <v>198</v>
      </c>
      <c r="F42" s="206" t="s">
        <v>519</v>
      </c>
      <c r="I42" s="207" t="s">
        <v>255</v>
      </c>
      <c r="J42" s="191">
        <v>1950000</v>
      </c>
      <c r="K42" s="216">
        <v>2145000</v>
      </c>
      <c r="N42" s="225" t="s">
        <v>317</v>
      </c>
      <c r="O42" s="224" t="s">
        <v>299</v>
      </c>
    </row>
    <row r="43" spans="2:15" x14ac:dyDescent="0.35">
      <c r="B43" s="205">
        <v>45170</v>
      </c>
      <c r="C43" s="193" t="s">
        <v>162</v>
      </c>
      <c r="D43" s="193" t="s">
        <v>196</v>
      </c>
      <c r="E43" s="193" t="s">
        <v>198</v>
      </c>
      <c r="F43" s="206" t="s">
        <v>519</v>
      </c>
      <c r="I43" s="207" t="s">
        <v>262</v>
      </c>
      <c r="J43" s="191">
        <v>2200000</v>
      </c>
      <c r="K43" s="216">
        <v>2420000</v>
      </c>
      <c r="N43" s="225" t="s">
        <v>321</v>
      </c>
      <c r="O43" s="224" t="s">
        <v>302</v>
      </c>
    </row>
    <row r="44" spans="2:15" x14ac:dyDescent="0.35">
      <c r="B44" s="205">
        <v>45200</v>
      </c>
      <c r="C44" s="193" t="s">
        <v>163</v>
      </c>
      <c r="D44" s="193" t="s">
        <v>196</v>
      </c>
      <c r="E44" s="193" t="s">
        <v>198</v>
      </c>
      <c r="F44" s="206" t="s">
        <v>519</v>
      </c>
      <c r="I44" s="207" t="s">
        <v>255</v>
      </c>
      <c r="J44" s="191">
        <v>1950000</v>
      </c>
      <c r="K44" s="216">
        <v>2145000</v>
      </c>
      <c r="N44" s="225" t="s">
        <v>326</v>
      </c>
      <c r="O44" s="224" t="s">
        <v>301</v>
      </c>
    </row>
    <row r="45" spans="2:15" x14ac:dyDescent="0.35">
      <c r="B45" s="205">
        <v>45200</v>
      </c>
      <c r="C45" s="193" t="s">
        <v>163</v>
      </c>
      <c r="D45" s="193" t="s">
        <v>196</v>
      </c>
      <c r="E45" s="193" t="s">
        <v>199</v>
      </c>
      <c r="F45" s="206" t="s">
        <v>520</v>
      </c>
      <c r="I45" s="207" t="s">
        <v>228</v>
      </c>
      <c r="J45" s="191">
        <v>10550000</v>
      </c>
      <c r="K45" s="216">
        <v>11605000</v>
      </c>
      <c r="N45" s="225" t="s">
        <v>329</v>
      </c>
      <c r="O45" s="224" t="s">
        <v>307</v>
      </c>
    </row>
    <row r="46" spans="2:15" x14ac:dyDescent="0.35">
      <c r="B46" s="205">
        <v>45231</v>
      </c>
      <c r="C46" s="193" t="s">
        <v>163</v>
      </c>
      <c r="D46" s="193" t="s">
        <v>196</v>
      </c>
      <c r="E46" s="193" t="s">
        <v>199</v>
      </c>
      <c r="F46" s="206" t="s">
        <v>520</v>
      </c>
      <c r="I46" s="207" t="s">
        <v>210</v>
      </c>
      <c r="J46" s="191">
        <v>11750000</v>
      </c>
      <c r="K46" s="216">
        <v>12925000</v>
      </c>
      <c r="N46" s="225" t="s">
        <v>329</v>
      </c>
      <c r="O46" s="224" t="s">
        <v>307</v>
      </c>
    </row>
    <row r="47" spans="2:15" x14ac:dyDescent="0.35">
      <c r="B47" s="205">
        <v>45231</v>
      </c>
      <c r="C47" s="193" t="s">
        <v>162</v>
      </c>
      <c r="D47" s="193" t="s">
        <v>196</v>
      </c>
      <c r="E47" s="193" t="s">
        <v>199</v>
      </c>
      <c r="F47" s="206" t="s">
        <v>520</v>
      </c>
      <c r="I47" s="207" t="s">
        <v>217</v>
      </c>
      <c r="J47" s="191">
        <v>11550000</v>
      </c>
      <c r="K47" s="216">
        <v>12705000</v>
      </c>
      <c r="N47" s="225" t="s">
        <v>332</v>
      </c>
      <c r="O47" s="224" t="s">
        <v>310</v>
      </c>
    </row>
    <row r="48" spans="2:15" x14ac:dyDescent="0.35">
      <c r="B48" s="205">
        <v>45231</v>
      </c>
      <c r="C48" s="193" t="s">
        <v>162</v>
      </c>
      <c r="D48" s="193" t="s">
        <v>196</v>
      </c>
      <c r="E48" s="193" t="s">
        <v>199</v>
      </c>
      <c r="F48" s="206" t="s">
        <v>520</v>
      </c>
      <c r="I48" s="207" t="s">
        <v>224</v>
      </c>
      <c r="J48" s="191">
        <v>2550000</v>
      </c>
      <c r="K48" s="216">
        <v>2805000</v>
      </c>
      <c r="N48" s="225" t="s">
        <v>337</v>
      </c>
      <c r="O48" s="224" t="s">
        <v>315</v>
      </c>
    </row>
    <row r="49" spans="2:15" x14ac:dyDescent="0.35">
      <c r="B49" s="205">
        <v>45231</v>
      </c>
      <c r="C49" s="193" t="s">
        <v>163</v>
      </c>
      <c r="D49" s="193" t="s">
        <v>196</v>
      </c>
      <c r="E49" s="193" t="s">
        <v>199</v>
      </c>
      <c r="F49" s="206" t="s">
        <v>520</v>
      </c>
      <c r="I49" s="207" t="s">
        <v>224</v>
      </c>
      <c r="J49" s="191">
        <v>2550000</v>
      </c>
      <c r="K49" s="216">
        <v>2805000</v>
      </c>
      <c r="N49" s="225" t="s">
        <v>328</v>
      </c>
      <c r="O49" s="224" t="s">
        <v>306</v>
      </c>
    </row>
    <row r="50" spans="2:15" x14ac:dyDescent="0.35">
      <c r="B50" s="205">
        <v>45231</v>
      </c>
      <c r="C50" s="193" t="s">
        <v>163</v>
      </c>
      <c r="D50" s="193" t="s">
        <v>196</v>
      </c>
      <c r="E50" s="193" t="s">
        <v>199</v>
      </c>
      <c r="F50" s="206" t="s">
        <v>520</v>
      </c>
      <c r="I50" s="207" t="s">
        <v>242</v>
      </c>
      <c r="J50" s="191">
        <v>9550000</v>
      </c>
      <c r="K50" s="216">
        <v>10505000</v>
      </c>
      <c r="N50" s="225" t="s">
        <v>331</v>
      </c>
      <c r="O50" s="224" t="s">
        <v>309</v>
      </c>
    </row>
    <row r="51" spans="2:15" x14ac:dyDescent="0.35">
      <c r="B51" s="205">
        <v>45231</v>
      </c>
      <c r="C51" s="193" t="s">
        <v>163</v>
      </c>
      <c r="D51" s="193" t="s">
        <v>196</v>
      </c>
      <c r="E51" s="193" t="s">
        <v>199</v>
      </c>
      <c r="F51" s="206" t="s">
        <v>520</v>
      </c>
      <c r="I51" s="207" t="s">
        <v>222</v>
      </c>
      <c r="J51" s="191">
        <v>2800000</v>
      </c>
      <c r="K51" s="216">
        <v>3080000</v>
      </c>
      <c r="N51" s="225" t="s">
        <v>328</v>
      </c>
      <c r="O51" s="224" t="s">
        <v>306</v>
      </c>
    </row>
    <row r="52" spans="2:15" x14ac:dyDescent="0.35">
      <c r="B52" s="205">
        <v>45231</v>
      </c>
      <c r="C52" s="193" t="s">
        <v>162</v>
      </c>
      <c r="D52" s="193" t="s">
        <v>196</v>
      </c>
      <c r="E52" s="193" t="s">
        <v>199</v>
      </c>
      <c r="F52" s="206" t="s">
        <v>520</v>
      </c>
      <c r="I52" s="207" t="s">
        <v>212</v>
      </c>
      <c r="J52" s="191">
        <v>8250000</v>
      </c>
      <c r="K52" s="216">
        <v>9075000</v>
      </c>
      <c r="N52" s="225" t="s">
        <v>334</v>
      </c>
      <c r="O52" s="224" t="s">
        <v>312</v>
      </c>
    </row>
    <row r="53" spans="2:15" x14ac:dyDescent="0.35">
      <c r="B53" s="205">
        <v>45261</v>
      </c>
      <c r="C53" s="193" t="s">
        <v>163</v>
      </c>
      <c r="D53" s="193" t="s">
        <v>196</v>
      </c>
      <c r="E53" s="193" t="s">
        <v>199</v>
      </c>
      <c r="F53" s="206" t="s">
        <v>520</v>
      </c>
      <c r="I53" s="207" t="s">
        <v>216</v>
      </c>
      <c r="J53" s="191">
        <v>13750000</v>
      </c>
      <c r="K53" s="216">
        <v>15125000</v>
      </c>
      <c r="N53" s="225" t="s">
        <v>334</v>
      </c>
      <c r="O53" s="224" t="s">
        <v>312</v>
      </c>
    </row>
    <row r="54" spans="2:15" x14ac:dyDescent="0.35">
      <c r="B54" s="205">
        <v>45261</v>
      </c>
      <c r="C54" s="193" t="s">
        <v>163</v>
      </c>
      <c r="D54" s="193" t="s">
        <v>196</v>
      </c>
      <c r="E54" s="193" t="s">
        <v>199</v>
      </c>
      <c r="F54" s="206" t="s">
        <v>520</v>
      </c>
      <c r="I54" s="207" t="s">
        <v>238</v>
      </c>
      <c r="J54" s="191">
        <v>9850000</v>
      </c>
      <c r="K54" s="216">
        <v>10835000</v>
      </c>
      <c r="N54" s="225" t="s">
        <v>335</v>
      </c>
      <c r="O54" s="224" t="s">
        <v>313</v>
      </c>
    </row>
    <row r="55" spans="2:15" x14ac:dyDescent="0.35">
      <c r="B55" s="205">
        <v>45261</v>
      </c>
      <c r="C55" s="193" t="s">
        <v>163</v>
      </c>
      <c r="D55" s="193" t="s">
        <v>196</v>
      </c>
      <c r="E55" s="193" t="s">
        <v>199</v>
      </c>
      <c r="F55" s="206" t="s">
        <v>520</v>
      </c>
      <c r="I55" s="207" t="s">
        <v>215</v>
      </c>
      <c r="J55" s="191">
        <v>10455000</v>
      </c>
      <c r="K55" s="216">
        <v>11500500</v>
      </c>
      <c r="N55" s="225" t="s">
        <v>332</v>
      </c>
      <c r="O55" s="224" t="s">
        <v>310</v>
      </c>
    </row>
    <row r="56" spans="2:15" x14ac:dyDescent="0.35">
      <c r="B56" s="207" t="s">
        <v>19</v>
      </c>
      <c r="C56" s="193" t="s">
        <v>163</v>
      </c>
      <c r="D56" s="193" t="s">
        <v>196</v>
      </c>
      <c r="E56" s="193" t="s">
        <v>199</v>
      </c>
      <c r="F56" s="206" t="s">
        <v>520</v>
      </c>
      <c r="I56" s="207" t="s">
        <v>234</v>
      </c>
      <c r="J56" s="191">
        <v>10350000</v>
      </c>
      <c r="K56" s="216">
        <v>11385000</v>
      </c>
      <c r="N56" s="225" t="s">
        <v>330</v>
      </c>
      <c r="O56" s="224" t="s">
        <v>308</v>
      </c>
    </row>
    <row r="57" spans="2:15" x14ac:dyDescent="0.35">
      <c r="B57" s="207" t="s">
        <v>18</v>
      </c>
      <c r="C57" s="193" t="s">
        <v>163</v>
      </c>
      <c r="D57" s="193" t="s">
        <v>197</v>
      </c>
      <c r="E57" s="193" t="s">
        <v>199</v>
      </c>
      <c r="F57" s="206" t="s">
        <v>520</v>
      </c>
      <c r="I57" s="207" t="s">
        <v>228</v>
      </c>
      <c r="J57" s="191">
        <v>10550000</v>
      </c>
      <c r="K57" s="216">
        <v>11605000</v>
      </c>
      <c r="N57" s="225" t="s">
        <v>329</v>
      </c>
      <c r="O57" s="224" t="s">
        <v>307</v>
      </c>
    </row>
    <row r="58" spans="2:15" x14ac:dyDescent="0.35">
      <c r="B58" s="207" t="s">
        <v>18</v>
      </c>
      <c r="C58" s="193" t="s">
        <v>162</v>
      </c>
      <c r="D58" s="193" t="s">
        <v>197</v>
      </c>
      <c r="E58" s="193" t="s">
        <v>199</v>
      </c>
      <c r="F58" s="206" t="s">
        <v>520</v>
      </c>
      <c r="I58" s="207" t="s">
        <v>214</v>
      </c>
      <c r="J58" s="191">
        <v>12555000</v>
      </c>
      <c r="K58" s="216">
        <v>13810500</v>
      </c>
      <c r="N58" s="225" t="s">
        <v>336</v>
      </c>
      <c r="O58" s="224" t="s">
        <v>314</v>
      </c>
    </row>
    <row r="59" spans="2:15" x14ac:dyDescent="0.35">
      <c r="B59" s="207" t="s">
        <v>18</v>
      </c>
      <c r="C59" s="193" t="s">
        <v>162</v>
      </c>
      <c r="D59" s="193" t="s">
        <v>197</v>
      </c>
      <c r="E59" s="193" t="s">
        <v>198</v>
      </c>
      <c r="F59" s="206" t="s">
        <v>519</v>
      </c>
      <c r="I59" s="207" t="s">
        <v>288</v>
      </c>
      <c r="J59" s="191">
        <v>3750000</v>
      </c>
      <c r="K59" s="216">
        <v>4125000</v>
      </c>
      <c r="N59" s="225" t="s">
        <v>326</v>
      </c>
      <c r="O59" s="224" t="s">
        <v>301</v>
      </c>
    </row>
    <row r="60" spans="2:15" x14ac:dyDescent="0.35">
      <c r="B60" s="207" t="s">
        <v>20</v>
      </c>
      <c r="C60" s="193" t="s">
        <v>163</v>
      </c>
      <c r="D60" s="193" t="s">
        <v>197</v>
      </c>
      <c r="E60" s="193" t="s">
        <v>199</v>
      </c>
      <c r="F60" s="206" t="s">
        <v>520</v>
      </c>
      <c r="I60" s="207" t="s">
        <v>228</v>
      </c>
      <c r="J60" s="191">
        <v>10550000</v>
      </c>
      <c r="K60" s="216">
        <v>11605000</v>
      </c>
      <c r="N60" s="225" t="s">
        <v>329</v>
      </c>
      <c r="O60" s="224" t="s">
        <v>307</v>
      </c>
    </row>
    <row r="61" spans="2:15" x14ac:dyDescent="0.35">
      <c r="B61" s="207" t="s">
        <v>20</v>
      </c>
      <c r="C61" s="193" t="s">
        <v>162</v>
      </c>
      <c r="D61" s="193" t="s">
        <v>197</v>
      </c>
      <c r="E61" s="193" t="s">
        <v>199</v>
      </c>
      <c r="F61" s="206" t="s">
        <v>520</v>
      </c>
      <c r="I61" s="207" t="s">
        <v>210</v>
      </c>
      <c r="J61" s="191">
        <v>11750000</v>
      </c>
      <c r="K61" s="216">
        <v>12925000</v>
      </c>
      <c r="N61" s="225" t="s">
        <v>329</v>
      </c>
      <c r="O61" s="224" t="s">
        <v>307</v>
      </c>
    </row>
    <row r="62" spans="2:15" x14ac:dyDescent="0.35">
      <c r="B62" s="207" t="s">
        <v>21</v>
      </c>
      <c r="C62" s="193" t="s">
        <v>163</v>
      </c>
      <c r="D62" s="193" t="s">
        <v>197</v>
      </c>
      <c r="E62" s="193" t="s">
        <v>199</v>
      </c>
      <c r="F62" s="206" t="s">
        <v>520</v>
      </c>
      <c r="I62" s="207" t="s">
        <v>217</v>
      </c>
      <c r="J62" s="191">
        <v>11550000</v>
      </c>
      <c r="K62" s="216">
        <v>12705000</v>
      </c>
      <c r="N62" s="225" t="s">
        <v>332</v>
      </c>
      <c r="O62" s="224" t="s">
        <v>310</v>
      </c>
    </row>
    <row r="63" spans="2:15" x14ac:dyDescent="0.35">
      <c r="B63" s="207" t="s">
        <v>21</v>
      </c>
      <c r="C63" s="193" t="s">
        <v>163</v>
      </c>
      <c r="D63" s="193" t="s">
        <v>196</v>
      </c>
      <c r="E63" s="193" t="s">
        <v>198</v>
      </c>
      <c r="F63" s="206" t="s">
        <v>519</v>
      </c>
      <c r="I63" s="207" t="s">
        <v>267</v>
      </c>
      <c r="J63" s="191">
        <v>2150000</v>
      </c>
      <c r="K63" s="216">
        <v>2365000</v>
      </c>
      <c r="N63" s="225" t="s">
        <v>327</v>
      </c>
      <c r="O63" s="224" t="s">
        <v>304</v>
      </c>
    </row>
    <row r="64" spans="2:15" x14ac:dyDescent="0.35">
      <c r="B64" s="207" t="s">
        <v>21</v>
      </c>
      <c r="C64" s="193" t="s">
        <v>162</v>
      </c>
      <c r="D64" s="193" t="s">
        <v>196</v>
      </c>
      <c r="E64" s="193" t="s">
        <v>198</v>
      </c>
      <c r="F64" s="206" t="s">
        <v>519</v>
      </c>
      <c r="I64" s="207" t="s">
        <v>267</v>
      </c>
      <c r="J64" s="191">
        <v>2150000</v>
      </c>
      <c r="K64" s="216">
        <v>2365000</v>
      </c>
      <c r="N64" s="225" t="s">
        <v>319</v>
      </c>
      <c r="O64" s="224" t="s">
        <v>303</v>
      </c>
    </row>
    <row r="65" spans="2:15" x14ac:dyDescent="0.35">
      <c r="B65" s="207" t="s">
        <v>22</v>
      </c>
      <c r="C65" s="193" t="s">
        <v>163</v>
      </c>
      <c r="D65" s="193" t="s">
        <v>196</v>
      </c>
      <c r="E65" s="193" t="s">
        <v>198</v>
      </c>
      <c r="F65" s="206" t="s">
        <v>519</v>
      </c>
      <c r="I65" s="207" t="s">
        <v>273</v>
      </c>
      <c r="J65" s="191">
        <v>2200000</v>
      </c>
      <c r="K65" s="216">
        <v>2420000</v>
      </c>
      <c r="N65" s="225" t="s">
        <v>324</v>
      </c>
      <c r="O65" s="224" t="s">
        <v>296</v>
      </c>
    </row>
    <row r="66" spans="2:15" x14ac:dyDescent="0.35">
      <c r="B66" s="207" t="s">
        <v>22</v>
      </c>
      <c r="C66" s="193" t="s">
        <v>162</v>
      </c>
      <c r="D66" s="193" t="s">
        <v>196</v>
      </c>
      <c r="E66" s="193" t="s">
        <v>199</v>
      </c>
      <c r="F66" s="206" t="s">
        <v>520</v>
      </c>
      <c r="I66" s="207" t="s">
        <v>250</v>
      </c>
      <c r="J66" s="191">
        <v>14650000</v>
      </c>
      <c r="K66" s="216">
        <v>16115000</v>
      </c>
      <c r="N66" s="225" t="s">
        <v>336</v>
      </c>
      <c r="O66" s="224" t="s">
        <v>314</v>
      </c>
    </row>
    <row r="67" spans="2:15" x14ac:dyDescent="0.35">
      <c r="B67" s="207" t="s">
        <v>23</v>
      </c>
      <c r="C67" s="193" t="s">
        <v>162</v>
      </c>
      <c r="D67" s="193" t="s">
        <v>196</v>
      </c>
      <c r="E67" s="193" t="s">
        <v>199</v>
      </c>
      <c r="F67" s="206" t="s">
        <v>520</v>
      </c>
      <c r="I67" s="207" t="s">
        <v>210</v>
      </c>
      <c r="J67" s="191">
        <v>11750000</v>
      </c>
      <c r="K67" s="216">
        <v>12925000</v>
      </c>
      <c r="N67" s="225" t="s">
        <v>329</v>
      </c>
      <c r="O67" s="224" t="s">
        <v>307</v>
      </c>
    </row>
    <row r="68" spans="2:15" x14ac:dyDescent="0.35">
      <c r="B68" s="207" t="s">
        <v>23</v>
      </c>
      <c r="C68" s="193" t="s">
        <v>163</v>
      </c>
      <c r="D68" s="193" t="s">
        <v>196</v>
      </c>
      <c r="E68" s="193" t="s">
        <v>198</v>
      </c>
      <c r="F68" s="206" t="s">
        <v>519</v>
      </c>
      <c r="I68" s="207" t="s">
        <v>288</v>
      </c>
      <c r="J68" s="191">
        <v>3750000</v>
      </c>
      <c r="K68" s="216">
        <v>4125000</v>
      </c>
      <c r="N68" s="225" t="s">
        <v>326</v>
      </c>
      <c r="O68" s="224" t="s">
        <v>301</v>
      </c>
    </row>
    <row r="69" spans="2:15" x14ac:dyDescent="0.35">
      <c r="B69" s="207" t="s">
        <v>23</v>
      </c>
      <c r="C69" s="193" t="s">
        <v>163</v>
      </c>
      <c r="D69" s="193" t="s">
        <v>196</v>
      </c>
      <c r="E69" s="193" t="s">
        <v>198</v>
      </c>
      <c r="F69" s="206" t="s">
        <v>519</v>
      </c>
      <c r="I69" s="207" t="s">
        <v>284</v>
      </c>
      <c r="J69" s="191">
        <v>2600000</v>
      </c>
      <c r="K69" s="216">
        <v>2860000</v>
      </c>
      <c r="N69" s="225" t="s">
        <v>318</v>
      </c>
      <c r="O69" s="224" t="s">
        <v>300</v>
      </c>
    </row>
    <row r="70" spans="2:15" x14ac:dyDescent="0.35">
      <c r="B70" s="207" t="s">
        <v>23</v>
      </c>
      <c r="C70" s="193" t="s">
        <v>163</v>
      </c>
      <c r="D70" s="193" t="s">
        <v>196</v>
      </c>
      <c r="E70" s="193" t="s">
        <v>198</v>
      </c>
      <c r="F70" s="206" t="s">
        <v>519</v>
      </c>
      <c r="I70" s="207" t="s">
        <v>290</v>
      </c>
      <c r="J70" s="191">
        <v>2200000</v>
      </c>
      <c r="K70" s="216">
        <v>2420000</v>
      </c>
      <c r="N70" s="225" t="s">
        <v>320</v>
      </c>
      <c r="O70" s="224" t="s">
        <v>297</v>
      </c>
    </row>
    <row r="71" spans="2:15" x14ac:dyDescent="0.35">
      <c r="B71" s="207" t="s">
        <v>24</v>
      </c>
      <c r="C71" s="193" t="s">
        <v>163</v>
      </c>
      <c r="D71" s="193" t="s">
        <v>196</v>
      </c>
      <c r="E71" s="193" t="s">
        <v>198</v>
      </c>
      <c r="F71" s="206" t="s">
        <v>519</v>
      </c>
      <c r="I71" s="207" t="s">
        <v>269</v>
      </c>
      <c r="J71" s="191">
        <v>2350000</v>
      </c>
      <c r="K71" s="216">
        <v>2585000</v>
      </c>
      <c r="N71" s="225" t="s">
        <v>325</v>
      </c>
      <c r="O71" s="224" t="s">
        <v>298</v>
      </c>
    </row>
    <row r="72" spans="2:15" x14ac:dyDescent="0.35">
      <c r="B72" s="207" t="s">
        <v>24</v>
      </c>
      <c r="C72" s="193" t="s">
        <v>163</v>
      </c>
      <c r="D72" s="193" t="s">
        <v>196</v>
      </c>
      <c r="E72" s="193" t="s">
        <v>199</v>
      </c>
      <c r="F72" s="206" t="s">
        <v>520</v>
      </c>
      <c r="I72" s="207" t="s">
        <v>220</v>
      </c>
      <c r="J72" s="191">
        <v>10500000</v>
      </c>
      <c r="K72" s="216">
        <v>11550000</v>
      </c>
      <c r="N72" s="225" t="s">
        <v>336</v>
      </c>
      <c r="O72" s="224" t="s">
        <v>314</v>
      </c>
    </row>
    <row r="73" spans="2:15" x14ac:dyDescent="0.35">
      <c r="B73" s="207" t="s">
        <v>25</v>
      </c>
      <c r="C73" s="193" t="s">
        <v>163</v>
      </c>
      <c r="D73" s="193" t="s">
        <v>196</v>
      </c>
      <c r="E73" s="193" t="s">
        <v>199</v>
      </c>
      <c r="F73" s="206" t="s">
        <v>520</v>
      </c>
      <c r="I73" s="207" t="s">
        <v>230</v>
      </c>
      <c r="J73" s="191">
        <v>8700000</v>
      </c>
      <c r="K73" s="216">
        <v>9570000</v>
      </c>
      <c r="N73" s="225" t="s">
        <v>328</v>
      </c>
      <c r="O73" s="224" t="s">
        <v>306</v>
      </c>
    </row>
    <row r="74" spans="2:15" x14ac:dyDescent="0.35">
      <c r="B74" s="207" t="s">
        <v>25</v>
      </c>
      <c r="C74" s="193" t="s">
        <v>162</v>
      </c>
      <c r="D74" s="193" t="s">
        <v>196</v>
      </c>
      <c r="E74" s="193" t="s">
        <v>199</v>
      </c>
      <c r="F74" s="206" t="s">
        <v>520</v>
      </c>
      <c r="I74" s="207" t="s">
        <v>226</v>
      </c>
      <c r="J74" s="191">
        <v>11350000</v>
      </c>
      <c r="K74" s="216">
        <v>12485000</v>
      </c>
      <c r="N74" s="225" t="s">
        <v>337</v>
      </c>
      <c r="O74" s="224" t="s">
        <v>315</v>
      </c>
    </row>
    <row r="75" spans="2:15" x14ac:dyDescent="0.35">
      <c r="B75" s="207" t="s">
        <v>25</v>
      </c>
      <c r="C75" s="193" t="s">
        <v>163</v>
      </c>
      <c r="D75" s="193" t="s">
        <v>196</v>
      </c>
      <c r="E75" s="193" t="s">
        <v>199</v>
      </c>
      <c r="F75" s="206" t="s">
        <v>520</v>
      </c>
      <c r="I75" s="207" t="s">
        <v>238</v>
      </c>
      <c r="J75" s="191">
        <v>9850000</v>
      </c>
      <c r="K75" s="216">
        <v>10835000</v>
      </c>
      <c r="N75" s="225" t="s">
        <v>334</v>
      </c>
      <c r="O75" s="224" t="s">
        <v>312</v>
      </c>
    </row>
    <row r="76" spans="2:15" x14ac:dyDescent="0.35">
      <c r="B76" s="207" t="s">
        <v>26</v>
      </c>
      <c r="C76" s="193" t="s">
        <v>163</v>
      </c>
      <c r="D76" s="193" t="s">
        <v>196</v>
      </c>
      <c r="E76" s="193" t="s">
        <v>199</v>
      </c>
      <c r="F76" s="206" t="s">
        <v>520</v>
      </c>
      <c r="I76" s="207" t="s">
        <v>215</v>
      </c>
      <c r="J76" s="191">
        <v>10455000</v>
      </c>
      <c r="K76" s="216">
        <v>11500500</v>
      </c>
      <c r="N76" s="225" t="s">
        <v>332</v>
      </c>
      <c r="O76" s="224" t="s">
        <v>310</v>
      </c>
    </row>
    <row r="77" spans="2:15" x14ac:dyDescent="0.35">
      <c r="B77" s="207" t="s">
        <v>27</v>
      </c>
      <c r="C77" s="193" t="s">
        <v>162</v>
      </c>
      <c r="D77" s="193" t="s">
        <v>197</v>
      </c>
      <c r="E77" s="193" t="s">
        <v>198</v>
      </c>
      <c r="F77" s="206" t="s">
        <v>519</v>
      </c>
      <c r="I77" s="207" t="s">
        <v>282</v>
      </c>
      <c r="J77" s="191">
        <v>2750000</v>
      </c>
      <c r="K77" s="216">
        <v>3025000</v>
      </c>
      <c r="N77" s="225" t="s">
        <v>322</v>
      </c>
      <c r="O77" s="224" t="s">
        <v>295</v>
      </c>
    </row>
    <row r="78" spans="2:15" x14ac:dyDescent="0.35">
      <c r="B78" s="207" t="s">
        <v>27</v>
      </c>
      <c r="C78" s="193" t="s">
        <v>162</v>
      </c>
      <c r="D78" s="193" t="s">
        <v>196</v>
      </c>
      <c r="E78" s="193" t="s">
        <v>198</v>
      </c>
      <c r="F78" s="206" t="s">
        <v>519</v>
      </c>
      <c r="I78" s="207" t="s">
        <v>262</v>
      </c>
      <c r="J78" s="191">
        <v>2200000</v>
      </c>
      <c r="K78" s="216">
        <v>2420000</v>
      </c>
      <c r="N78" s="225" t="s">
        <v>326</v>
      </c>
      <c r="O78" s="224" t="s">
        <v>301</v>
      </c>
    </row>
    <row r="79" spans="2:15" x14ac:dyDescent="0.35">
      <c r="B79" s="207" t="s">
        <v>28</v>
      </c>
      <c r="C79" s="193" t="s">
        <v>162</v>
      </c>
      <c r="D79" s="193" t="s">
        <v>196</v>
      </c>
      <c r="E79" s="193" t="s">
        <v>198</v>
      </c>
      <c r="F79" s="206" t="s">
        <v>519</v>
      </c>
      <c r="I79" s="207" t="s">
        <v>257</v>
      </c>
      <c r="J79" s="191">
        <v>2000000</v>
      </c>
      <c r="K79" s="216">
        <v>2200000</v>
      </c>
      <c r="N79" s="225" t="s">
        <v>321</v>
      </c>
      <c r="O79" s="224" t="s">
        <v>302</v>
      </c>
    </row>
    <row r="80" spans="2:15" x14ac:dyDescent="0.35">
      <c r="B80" s="207" t="s">
        <v>28</v>
      </c>
      <c r="C80" s="193" t="s">
        <v>162</v>
      </c>
      <c r="D80" s="193" t="s">
        <v>196</v>
      </c>
      <c r="E80" s="193" t="s">
        <v>198</v>
      </c>
      <c r="F80" s="206" t="s">
        <v>519</v>
      </c>
      <c r="I80" s="207" t="s">
        <v>257</v>
      </c>
      <c r="J80" s="191">
        <v>2000000</v>
      </c>
      <c r="K80" s="216">
        <v>2200000</v>
      </c>
      <c r="N80" s="225" t="s">
        <v>318</v>
      </c>
      <c r="O80" s="224" t="s">
        <v>300</v>
      </c>
    </row>
    <row r="81" spans="2:15" x14ac:dyDescent="0.35">
      <c r="B81" s="207" t="s">
        <v>28</v>
      </c>
      <c r="C81" s="193" t="s">
        <v>162</v>
      </c>
      <c r="D81" s="193" t="s">
        <v>197</v>
      </c>
      <c r="E81" s="193" t="s">
        <v>198</v>
      </c>
      <c r="F81" s="206" t="s">
        <v>519</v>
      </c>
      <c r="I81" s="207" t="s">
        <v>269</v>
      </c>
      <c r="J81" s="191">
        <v>2350000</v>
      </c>
      <c r="K81" s="216">
        <v>2585000</v>
      </c>
      <c r="N81" s="225" t="s">
        <v>318</v>
      </c>
      <c r="O81" s="224" t="s">
        <v>300</v>
      </c>
    </row>
    <row r="82" spans="2:15" x14ac:dyDescent="0.35">
      <c r="B82" s="207" t="s">
        <v>28</v>
      </c>
      <c r="C82" s="193" t="s">
        <v>162</v>
      </c>
      <c r="D82" s="193" t="s">
        <v>196</v>
      </c>
      <c r="E82" s="193" t="s">
        <v>198</v>
      </c>
      <c r="F82" s="206" t="s">
        <v>519</v>
      </c>
      <c r="I82" s="207" t="s">
        <v>280</v>
      </c>
      <c r="J82" s="191">
        <v>2350000</v>
      </c>
      <c r="K82" s="216">
        <v>2585000</v>
      </c>
      <c r="N82" s="225" t="s">
        <v>318</v>
      </c>
      <c r="O82" s="224" t="s">
        <v>300</v>
      </c>
    </row>
    <row r="83" spans="2:15" x14ac:dyDescent="0.35">
      <c r="B83" s="207" t="s">
        <v>28</v>
      </c>
      <c r="C83" s="193" t="s">
        <v>162</v>
      </c>
      <c r="D83" s="193" t="s">
        <v>196</v>
      </c>
      <c r="E83" s="193" t="s">
        <v>199</v>
      </c>
      <c r="F83" s="206" t="s">
        <v>520</v>
      </c>
      <c r="I83" s="207" t="s">
        <v>224</v>
      </c>
      <c r="J83" s="191">
        <v>2550000</v>
      </c>
      <c r="K83" s="216">
        <v>2805000</v>
      </c>
      <c r="N83" s="225" t="s">
        <v>337</v>
      </c>
      <c r="O83" s="224" t="s">
        <v>315</v>
      </c>
    </row>
    <row r="84" spans="2:15" x14ac:dyDescent="0.35">
      <c r="B84" s="207" t="s">
        <v>29</v>
      </c>
      <c r="C84" s="193" t="s">
        <v>162</v>
      </c>
      <c r="D84" s="193" t="s">
        <v>196</v>
      </c>
      <c r="E84" s="193" t="s">
        <v>198</v>
      </c>
      <c r="F84" s="206" t="s">
        <v>519</v>
      </c>
      <c r="I84" s="207" t="s">
        <v>290</v>
      </c>
      <c r="J84" s="191">
        <v>2200000</v>
      </c>
      <c r="K84" s="216">
        <v>2420000</v>
      </c>
      <c r="N84" s="225" t="s">
        <v>320</v>
      </c>
      <c r="O84" s="224" t="s">
        <v>297</v>
      </c>
    </row>
    <row r="85" spans="2:15" x14ac:dyDescent="0.35">
      <c r="B85" s="207" t="s">
        <v>29</v>
      </c>
      <c r="C85" s="193" t="s">
        <v>163</v>
      </c>
      <c r="D85" s="193" t="s">
        <v>196</v>
      </c>
      <c r="E85" s="193" t="s">
        <v>199</v>
      </c>
      <c r="F85" s="206" t="s">
        <v>520</v>
      </c>
      <c r="I85" s="207" t="s">
        <v>228</v>
      </c>
      <c r="J85" s="191">
        <v>10550000</v>
      </c>
      <c r="K85" s="216">
        <v>11605000</v>
      </c>
      <c r="N85" s="225" t="s">
        <v>329</v>
      </c>
      <c r="O85" s="224" t="s">
        <v>307</v>
      </c>
    </row>
    <row r="86" spans="2:15" x14ac:dyDescent="0.35">
      <c r="B86" s="207" t="s">
        <v>29</v>
      </c>
      <c r="C86" s="193" t="s">
        <v>163</v>
      </c>
      <c r="D86" s="193" t="s">
        <v>196</v>
      </c>
      <c r="E86" s="193" t="s">
        <v>198</v>
      </c>
      <c r="F86" s="206" t="s">
        <v>519</v>
      </c>
      <c r="I86" s="207" t="s">
        <v>252</v>
      </c>
      <c r="J86" s="191">
        <v>1950000</v>
      </c>
      <c r="K86" s="216">
        <v>2145000</v>
      </c>
      <c r="N86" s="225" t="s">
        <v>322</v>
      </c>
      <c r="O86" s="224" t="s">
        <v>295</v>
      </c>
    </row>
    <row r="87" spans="2:15" x14ac:dyDescent="0.35">
      <c r="B87" s="207" t="s">
        <v>29</v>
      </c>
      <c r="C87" s="193" t="s">
        <v>163</v>
      </c>
      <c r="D87" s="193" t="s">
        <v>196</v>
      </c>
      <c r="E87" s="193" t="s">
        <v>199</v>
      </c>
      <c r="F87" s="206" t="s">
        <v>520</v>
      </c>
      <c r="I87" s="207" t="s">
        <v>242</v>
      </c>
      <c r="J87" s="191">
        <v>9550000</v>
      </c>
      <c r="K87" s="216">
        <v>10505000</v>
      </c>
      <c r="N87" s="225" t="s">
        <v>331</v>
      </c>
      <c r="O87" s="224" t="s">
        <v>309</v>
      </c>
    </row>
    <row r="88" spans="2:15" x14ac:dyDescent="0.35">
      <c r="B88" s="207" t="s">
        <v>29</v>
      </c>
      <c r="C88" s="193" t="s">
        <v>163</v>
      </c>
      <c r="D88" s="193" t="s">
        <v>196</v>
      </c>
      <c r="E88" s="193" t="s">
        <v>199</v>
      </c>
      <c r="F88" s="206" t="s">
        <v>520</v>
      </c>
      <c r="I88" s="207" t="s">
        <v>210</v>
      </c>
      <c r="J88" s="191">
        <v>11750000</v>
      </c>
      <c r="K88" s="216">
        <v>12925000</v>
      </c>
      <c r="N88" s="225" t="s">
        <v>329</v>
      </c>
      <c r="O88" s="224" t="s">
        <v>307</v>
      </c>
    </row>
    <row r="89" spans="2:15" x14ac:dyDescent="0.35">
      <c r="B89" s="207" t="s">
        <v>29</v>
      </c>
      <c r="C89" s="193" t="s">
        <v>162</v>
      </c>
      <c r="D89" s="193" t="s">
        <v>197</v>
      </c>
      <c r="E89" s="193" t="s">
        <v>198</v>
      </c>
      <c r="F89" s="206" t="s">
        <v>519</v>
      </c>
      <c r="I89" s="207" t="s">
        <v>292</v>
      </c>
      <c r="J89" s="191">
        <v>2450000</v>
      </c>
      <c r="K89" s="216">
        <v>2695000</v>
      </c>
      <c r="N89" s="225" t="s">
        <v>321</v>
      </c>
      <c r="O89" s="224" t="s">
        <v>302</v>
      </c>
    </row>
    <row r="90" spans="2:15" x14ac:dyDescent="0.35">
      <c r="B90" s="208" t="s">
        <v>29</v>
      </c>
      <c r="C90" s="193" t="s">
        <v>162</v>
      </c>
      <c r="D90" s="193" t="s">
        <v>196</v>
      </c>
      <c r="E90" s="193" t="s">
        <v>199</v>
      </c>
      <c r="F90" s="206" t="s">
        <v>520</v>
      </c>
      <c r="I90" s="207" t="s">
        <v>236</v>
      </c>
      <c r="J90" s="191">
        <v>11250000</v>
      </c>
      <c r="K90" s="216">
        <v>12375000</v>
      </c>
      <c r="N90" s="225" t="s">
        <v>338</v>
      </c>
      <c r="O90" s="224" t="s">
        <v>316</v>
      </c>
    </row>
    <row r="91" spans="2:15" x14ac:dyDescent="0.35">
      <c r="B91" s="207" t="s">
        <v>30</v>
      </c>
      <c r="C91" s="193" t="s">
        <v>162</v>
      </c>
      <c r="D91" s="193" t="s">
        <v>196</v>
      </c>
      <c r="E91" s="193" t="s">
        <v>198</v>
      </c>
      <c r="F91" s="206" t="s">
        <v>519</v>
      </c>
      <c r="I91" s="207" t="s">
        <v>257</v>
      </c>
      <c r="J91" s="191">
        <v>2000000</v>
      </c>
      <c r="K91" s="216">
        <v>2200000</v>
      </c>
      <c r="N91" s="225" t="s">
        <v>318</v>
      </c>
      <c r="O91" s="224" t="s">
        <v>300</v>
      </c>
    </row>
    <row r="92" spans="2:15" x14ac:dyDescent="0.35">
      <c r="B92" s="207" t="s">
        <v>30</v>
      </c>
      <c r="C92" s="193" t="s">
        <v>162</v>
      </c>
      <c r="D92" s="193" t="s">
        <v>196</v>
      </c>
      <c r="E92" s="193" t="s">
        <v>199</v>
      </c>
      <c r="F92" s="206" t="s">
        <v>520</v>
      </c>
      <c r="I92" s="207" t="s">
        <v>246</v>
      </c>
      <c r="J92" s="191">
        <v>13650000</v>
      </c>
      <c r="K92" s="216">
        <v>15015000</v>
      </c>
      <c r="N92" s="225" t="s">
        <v>336</v>
      </c>
      <c r="O92" s="224" t="s">
        <v>314</v>
      </c>
    </row>
    <row r="93" spans="2:15" x14ac:dyDescent="0.35">
      <c r="B93" s="208" t="s">
        <v>31</v>
      </c>
      <c r="C93" s="193" t="s">
        <v>163</v>
      </c>
      <c r="D93" s="193" t="s">
        <v>196</v>
      </c>
      <c r="E93" s="193" t="s">
        <v>199</v>
      </c>
      <c r="F93" s="206" t="s">
        <v>520</v>
      </c>
      <c r="I93" s="207" t="s">
        <v>250</v>
      </c>
      <c r="J93" s="191">
        <v>14650000</v>
      </c>
      <c r="K93" s="216">
        <v>16115000</v>
      </c>
      <c r="N93" s="225" t="s">
        <v>336</v>
      </c>
      <c r="O93" s="224" t="s">
        <v>314</v>
      </c>
    </row>
    <row r="94" spans="2:15" x14ac:dyDescent="0.35">
      <c r="B94" s="207" t="s">
        <v>33</v>
      </c>
      <c r="C94" s="193" t="s">
        <v>163</v>
      </c>
      <c r="D94" s="193" t="s">
        <v>196</v>
      </c>
      <c r="E94" s="193" t="s">
        <v>199</v>
      </c>
      <c r="F94" s="206" t="s">
        <v>520</v>
      </c>
      <c r="I94" s="207" t="s">
        <v>222</v>
      </c>
      <c r="J94" s="191">
        <v>2800000</v>
      </c>
      <c r="K94" s="216">
        <v>3080000</v>
      </c>
      <c r="N94" s="225" t="s">
        <v>328</v>
      </c>
      <c r="O94" s="224" t="s">
        <v>306</v>
      </c>
    </row>
    <row r="95" spans="2:15" x14ac:dyDescent="0.35">
      <c r="B95" s="207" t="s">
        <v>33</v>
      </c>
      <c r="C95" s="193" t="s">
        <v>162</v>
      </c>
      <c r="D95" s="193" t="s">
        <v>197</v>
      </c>
      <c r="E95" s="193" t="s">
        <v>199</v>
      </c>
      <c r="F95" s="206" t="s">
        <v>520</v>
      </c>
      <c r="I95" s="207" t="s">
        <v>212</v>
      </c>
      <c r="J95" s="191">
        <v>8250000</v>
      </c>
      <c r="K95" s="216">
        <v>9075000</v>
      </c>
      <c r="N95" s="225" t="s">
        <v>334</v>
      </c>
      <c r="O95" s="224" t="s">
        <v>312</v>
      </c>
    </row>
    <row r="96" spans="2:15" x14ac:dyDescent="0.35">
      <c r="B96" s="208" t="s">
        <v>34</v>
      </c>
      <c r="C96" s="193" t="s">
        <v>162</v>
      </c>
      <c r="D96" s="193" t="s">
        <v>197</v>
      </c>
      <c r="E96" s="193" t="s">
        <v>199</v>
      </c>
      <c r="F96" s="206" t="s">
        <v>520</v>
      </c>
      <c r="I96" s="207" t="s">
        <v>216</v>
      </c>
      <c r="J96" s="191">
        <v>13750000</v>
      </c>
      <c r="K96" s="216">
        <v>15125000</v>
      </c>
      <c r="N96" s="225" t="s">
        <v>334</v>
      </c>
      <c r="O96" s="224" t="s">
        <v>312</v>
      </c>
    </row>
    <row r="97" spans="2:15" x14ac:dyDescent="0.35">
      <c r="B97" s="207" t="s">
        <v>34</v>
      </c>
      <c r="C97" s="193" t="s">
        <v>163</v>
      </c>
      <c r="D97" s="193" t="s">
        <v>196</v>
      </c>
      <c r="E97" s="193" t="s">
        <v>198</v>
      </c>
      <c r="F97" s="206" t="s">
        <v>519</v>
      </c>
      <c r="I97" s="207" t="s">
        <v>280</v>
      </c>
      <c r="J97" s="191">
        <v>2350000</v>
      </c>
      <c r="K97" s="216">
        <v>2585000</v>
      </c>
      <c r="N97" s="225" t="s">
        <v>318</v>
      </c>
      <c r="O97" s="224" t="s">
        <v>300</v>
      </c>
    </row>
    <row r="98" spans="2:15" x14ac:dyDescent="0.35">
      <c r="B98" s="207" t="s">
        <v>35</v>
      </c>
      <c r="C98" s="193" t="s">
        <v>163</v>
      </c>
      <c r="D98" s="193" t="s">
        <v>196</v>
      </c>
      <c r="E98" s="193" t="s">
        <v>199</v>
      </c>
      <c r="F98" s="206" t="s">
        <v>520</v>
      </c>
      <c r="I98" s="207" t="s">
        <v>215</v>
      </c>
      <c r="J98" s="191">
        <v>10455000</v>
      </c>
      <c r="K98" s="216">
        <v>11500500</v>
      </c>
      <c r="N98" s="225" t="s">
        <v>332</v>
      </c>
      <c r="O98" s="224" t="s">
        <v>310</v>
      </c>
    </row>
    <row r="99" spans="2:15" x14ac:dyDescent="0.35">
      <c r="B99" s="207" t="s">
        <v>35</v>
      </c>
      <c r="C99" s="193" t="s">
        <v>163</v>
      </c>
      <c r="D99" s="193" t="s">
        <v>196</v>
      </c>
      <c r="E99" s="193" t="s">
        <v>198</v>
      </c>
      <c r="F99" s="206" t="s">
        <v>519</v>
      </c>
      <c r="I99" s="207" t="s">
        <v>255</v>
      </c>
      <c r="J99" s="191">
        <v>1950000</v>
      </c>
      <c r="K99" s="216">
        <v>2145000</v>
      </c>
      <c r="N99" s="225" t="s">
        <v>326</v>
      </c>
      <c r="O99" s="224" t="s">
        <v>301</v>
      </c>
    </row>
    <row r="100" spans="2:15" x14ac:dyDescent="0.35">
      <c r="B100" s="207" t="s">
        <v>35</v>
      </c>
      <c r="C100" s="193" t="s">
        <v>162</v>
      </c>
      <c r="D100" s="193" t="s">
        <v>196</v>
      </c>
      <c r="E100" s="193" t="s">
        <v>198</v>
      </c>
      <c r="F100" s="206" t="s">
        <v>519</v>
      </c>
      <c r="I100" s="207" t="s">
        <v>271</v>
      </c>
      <c r="J100" s="191">
        <v>2000000</v>
      </c>
      <c r="K100" s="216">
        <v>2200000</v>
      </c>
      <c r="N100" s="225" t="s">
        <v>318</v>
      </c>
      <c r="O100" s="224" t="s">
        <v>300</v>
      </c>
    </row>
    <row r="101" spans="2:15" x14ac:dyDescent="0.35">
      <c r="B101" s="207" t="s">
        <v>35</v>
      </c>
      <c r="C101" s="193" t="s">
        <v>162</v>
      </c>
      <c r="D101" s="193" t="s">
        <v>196</v>
      </c>
      <c r="E101" s="193" t="s">
        <v>198</v>
      </c>
      <c r="F101" s="206" t="s">
        <v>519</v>
      </c>
      <c r="I101" s="207" t="s">
        <v>292</v>
      </c>
      <c r="J101" s="191">
        <v>2450000</v>
      </c>
      <c r="K101" s="216">
        <v>2695000</v>
      </c>
      <c r="N101" s="225" t="s">
        <v>318</v>
      </c>
      <c r="O101" s="224" t="s">
        <v>300</v>
      </c>
    </row>
    <row r="102" spans="2:15" x14ac:dyDescent="0.35">
      <c r="B102" s="208" t="s">
        <v>36</v>
      </c>
      <c r="C102" s="193" t="s">
        <v>162</v>
      </c>
      <c r="D102" s="193" t="s">
        <v>197</v>
      </c>
      <c r="E102" s="193" t="s">
        <v>198</v>
      </c>
      <c r="F102" s="206" t="s">
        <v>519</v>
      </c>
      <c r="I102" s="207" t="s">
        <v>267</v>
      </c>
      <c r="J102" s="191">
        <v>2150000</v>
      </c>
      <c r="K102" s="216">
        <v>2365000</v>
      </c>
      <c r="N102" s="225" t="s">
        <v>321</v>
      </c>
      <c r="O102" s="224" t="s">
        <v>302</v>
      </c>
    </row>
    <row r="103" spans="2:15" x14ac:dyDescent="0.35">
      <c r="B103" s="207" t="s">
        <v>36</v>
      </c>
      <c r="C103" s="193" t="s">
        <v>162</v>
      </c>
      <c r="D103" s="193" t="s">
        <v>196</v>
      </c>
      <c r="E103" s="193" t="s">
        <v>198</v>
      </c>
      <c r="F103" s="206" t="s">
        <v>519</v>
      </c>
      <c r="I103" s="207" t="s">
        <v>252</v>
      </c>
      <c r="J103" s="191">
        <v>1950000</v>
      </c>
      <c r="K103" s="216">
        <v>2145000</v>
      </c>
      <c r="N103" s="225" t="s">
        <v>321</v>
      </c>
      <c r="O103" s="224" t="s">
        <v>302</v>
      </c>
    </row>
    <row r="104" spans="2:15" x14ac:dyDescent="0.35">
      <c r="B104" s="207" t="s">
        <v>36</v>
      </c>
      <c r="C104" s="193" t="s">
        <v>163</v>
      </c>
      <c r="D104" s="193" t="s">
        <v>196</v>
      </c>
      <c r="E104" s="193" t="s">
        <v>198</v>
      </c>
      <c r="F104" s="206" t="s">
        <v>519</v>
      </c>
      <c r="I104" s="207" t="s">
        <v>271</v>
      </c>
      <c r="J104" s="191">
        <v>2000000</v>
      </c>
      <c r="K104" s="216">
        <v>2200000</v>
      </c>
      <c r="N104" s="225" t="s">
        <v>318</v>
      </c>
      <c r="O104" s="224" t="s">
        <v>300</v>
      </c>
    </row>
    <row r="105" spans="2:15" x14ac:dyDescent="0.35">
      <c r="B105" s="207" t="s">
        <v>36</v>
      </c>
      <c r="C105" s="193" t="s">
        <v>163</v>
      </c>
      <c r="D105" s="193" t="s">
        <v>196</v>
      </c>
      <c r="E105" s="193" t="s">
        <v>198</v>
      </c>
      <c r="F105" s="206" t="s">
        <v>519</v>
      </c>
      <c r="I105" s="207" t="s">
        <v>292</v>
      </c>
      <c r="J105" s="191">
        <v>2450000</v>
      </c>
      <c r="K105" s="216">
        <v>2695000</v>
      </c>
      <c r="N105" s="225" t="s">
        <v>318</v>
      </c>
      <c r="O105" s="224" t="s">
        <v>300</v>
      </c>
    </row>
    <row r="106" spans="2:15" x14ac:dyDescent="0.35">
      <c r="B106" s="207" t="s">
        <v>36</v>
      </c>
      <c r="C106" s="193" t="s">
        <v>162</v>
      </c>
      <c r="D106" s="193" t="s">
        <v>197</v>
      </c>
      <c r="E106" s="193" t="s">
        <v>198</v>
      </c>
      <c r="F106" s="206" t="s">
        <v>519</v>
      </c>
      <c r="I106" s="207" t="s">
        <v>267</v>
      </c>
      <c r="J106" s="191">
        <v>2150000</v>
      </c>
      <c r="K106" s="216">
        <v>2365000</v>
      </c>
      <c r="N106" s="225" t="s">
        <v>321</v>
      </c>
      <c r="O106" s="224" t="s">
        <v>302</v>
      </c>
    </row>
    <row r="107" spans="2:15" x14ac:dyDescent="0.35">
      <c r="B107" s="207" t="s">
        <v>36</v>
      </c>
      <c r="C107" s="193" t="s">
        <v>162</v>
      </c>
      <c r="D107" s="193" t="s">
        <v>196</v>
      </c>
      <c r="E107" s="193" t="s">
        <v>198</v>
      </c>
      <c r="F107" s="206" t="s">
        <v>519</v>
      </c>
      <c r="I107" s="207" t="s">
        <v>252</v>
      </c>
      <c r="J107" s="191">
        <v>1950000</v>
      </c>
      <c r="K107" s="216">
        <v>2145000</v>
      </c>
      <c r="N107" s="225" t="s">
        <v>321</v>
      </c>
      <c r="O107" s="224" t="s">
        <v>302</v>
      </c>
    </row>
    <row r="108" spans="2:15" x14ac:dyDescent="0.35">
      <c r="B108" s="207" t="s">
        <v>32</v>
      </c>
      <c r="C108" s="193" t="s">
        <v>162</v>
      </c>
      <c r="D108" s="193" t="s">
        <v>196</v>
      </c>
      <c r="E108" s="193" t="s">
        <v>198</v>
      </c>
      <c r="F108" s="206" t="s">
        <v>519</v>
      </c>
      <c r="I108" s="207" t="s">
        <v>252</v>
      </c>
      <c r="J108" s="191">
        <v>1950000</v>
      </c>
      <c r="K108" s="216">
        <v>2145000</v>
      </c>
      <c r="N108" s="225" t="s">
        <v>322</v>
      </c>
      <c r="O108" s="224" t="s">
        <v>295</v>
      </c>
    </row>
    <row r="109" spans="2:15" x14ac:dyDescent="0.35">
      <c r="B109" s="207" t="s">
        <v>32</v>
      </c>
      <c r="C109" s="193" t="s">
        <v>163</v>
      </c>
      <c r="D109" s="193" t="s">
        <v>197</v>
      </c>
      <c r="E109" s="193" t="s">
        <v>198</v>
      </c>
      <c r="F109" s="206" t="s">
        <v>519</v>
      </c>
      <c r="I109" s="207" t="s">
        <v>248</v>
      </c>
      <c r="J109" s="191">
        <v>2200000</v>
      </c>
      <c r="K109" s="216">
        <v>2420000</v>
      </c>
      <c r="N109" s="225" t="s">
        <v>321</v>
      </c>
      <c r="O109" s="224" t="s">
        <v>302</v>
      </c>
    </row>
    <row r="110" spans="2:15" x14ac:dyDescent="0.35">
      <c r="B110" s="207" t="s">
        <v>32</v>
      </c>
      <c r="C110" s="193" t="s">
        <v>163</v>
      </c>
      <c r="D110" s="193" t="s">
        <v>196</v>
      </c>
      <c r="E110" s="193" t="s">
        <v>198</v>
      </c>
      <c r="F110" s="206" t="s">
        <v>519</v>
      </c>
      <c r="I110" s="207" t="s">
        <v>265</v>
      </c>
      <c r="J110" s="191">
        <v>1900000</v>
      </c>
      <c r="K110" s="216">
        <v>2090000</v>
      </c>
      <c r="N110" s="225" t="s">
        <v>327</v>
      </c>
      <c r="O110" s="224" t="s">
        <v>304</v>
      </c>
    </row>
    <row r="111" spans="2:15" x14ac:dyDescent="0.35">
      <c r="B111" s="207" t="s">
        <v>37</v>
      </c>
      <c r="C111" s="193" t="s">
        <v>162</v>
      </c>
      <c r="D111" s="193" t="s">
        <v>196</v>
      </c>
      <c r="E111" s="193" t="s">
        <v>198</v>
      </c>
      <c r="F111" s="206" t="s">
        <v>519</v>
      </c>
      <c r="I111" s="207" t="s">
        <v>261</v>
      </c>
      <c r="J111" s="191">
        <v>3300000</v>
      </c>
      <c r="K111" s="216">
        <v>3630000</v>
      </c>
      <c r="N111" s="225" t="s">
        <v>323</v>
      </c>
      <c r="O111" s="224" t="s">
        <v>305</v>
      </c>
    </row>
    <row r="112" spans="2:15" x14ac:dyDescent="0.35">
      <c r="B112" s="207" t="s">
        <v>37</v>
      </c>
      <c r="C112" s="193" t="s">
        <v>162</v>
      </c>
      <c r="D112" s="193" t="s">
        <v>196</v>
      </c>
      <c r="E112" s="193" t="s">
        <v>199</v>
      </c>
      <c r="F112" s="206" t="s">
        <v>520</v>
      </c>
      <c r="I112" s="207" t="s">
        <v>222</v>
      </c>
      <c r="J112" s="191">
        <v>2800000</v>
      </c>
      <c r="K112" s="216">
        <v>3080000</v>
      </c>
      <c r="N112" s="225" t="s">
        <v>328</v>
      </c>
      <c r="O112" s="224" t="s">
        <v>306</v>
      </c>
    </row>
    <row r="113" spans="2:15" x14ac:dyDescent="0.35">
      <c r="B113" s="207" t="s">
        <v>37</v>
      </c>
      <c r="C113" s="193" t="s">
        <v>162</v>
      </c>
      <c r="D113" s="193" t="s">
        <v>196</v>
      </c>
      <c r="E113" s="193" t="s">
        <v>198</v>
      </c>
      <c r="F113" s="206" t="s">
        <v>519</v>
      </c>
      <c r="I113" s="207" t="s">
        <v>286</v>
      </c>
      <c r="J113" s="191">
        <v>2355000</v>
      </c>
      <c r="K113" s="216">
        <v>2590500</v>
      </c>
      <c r="N113" s="225" t="s">
        <v>326</v>
      </c>
      <c r="O113" s="224" t="s">
        <v>301</v>
      </c>
    </row>
    <row r="114" spans="2:15" x14ac:dyDescent="0.35">
      <c r="B114" s="207" t="s">
        <v>37</v>
      </c>
      <c r="C114" s="193" t="s">
        <v>163</v>
      </c>
      <c r="D114" s="193" t="s">
        <v>196</v>
      </c>
      <c r="E114" s="193" t="s">
        <v>198</v>
      </c>
      <c r="F114" s="206" t="s">
        <v>519</v>
      </c>
      <c r="I114" s="207" t="s">
        <v>273</v>
      </c>
      <c r="J114" s="191">
        <v>2200000</v>
      </c>
      <c r="K114" s="216">
        <v>2420000</v>
      </c>
      <c r="N114" s="225" t="s">
        <v>321</v>
      </c>
      <c r="O114" s="224" t="s">
        <v>302</v>
      </c>
    </row>
    <row r="115" spans="2:15" x14ac:dyDescent="0.35">
      <c r="B115" s="207" t="s">
        <v>38</v>
      </c>
      <c r="C115" s="193" t="s">
        <v>162</v>
      </c>
      <c r="D115" s="193" t="s">
        <v>197</v>
      </c>
      <c r="E115" s="193" t="s">
        <v>199</v>
      </c>
      <c r="F115" s="206" t="s">
        <v>520</v>
      </c>
      <c r="I115" s="207" t="s">
        <v>238</v>
      </c>
      <c r="J115" s="191">
        <v>9850000</v>
      </c>
      <c r="K115" s="216">
        <v>10835000</v>
      </c>
      <c r="N115" s="225" t="s">
        <v>335</v>
      </c>
      <c r="O115" s="224" t="s">
        <v>313</v>
      </c>
    </row>
    <row r="116" spans="2:15" x14ac:dyDescent="0.35">
      <c r="B116" s="207" t="s">
        <v>38</v>
      </c>
      <c r="C116" s="193" t="s">
        <v>162</v>
      </c>
      <c r="D116" s="193" t="s">
        <v>196</v>
      </c>
      <c r="E116" s="193" t="s">
        <v>198</v>
      </c>
      <c r="F116" s="206" t="s">
        <v>519</v>
      </c>
      <c r="I116" s="207" t="s">
        <v>252</v>
      </c>
      <c r="J116" s="191">
        <v>1950000</v>
      </c>
      <c r="K116" s="216">
        <v>2145000</v>
      </c>
      <c r="N116" s="225" t="s">
        <v>322</v>
      </c>
      <c r="O116" s="224" t="s">
        <v>295</v>
      </c>
    </row>
    <row r="117" spans="2:15" x14ac:dyDescent="0.35">
      <c r="B117" s="207" t="s">
        <v>38</v>
      </c>
      <c r="C117" s="193" t="s">
        <v>163</v>
      </c>
      <c r="D117" s="193" t="s">
        <v>196</v>
      </c>
      <c r="E117" s="193" t="s">
        <v>199</v>
      </c>
      <c r="F117" s="206" t="s">
        <v>520</v>
      </c>
      <c r="I117" s="207" t="s">
        <v>215</v>
      </c>
      <c r="J117" s="191">
        <v>10455000</v>
      </c>
      <c r="K117" s="216">
        <v>11500500</v>
      </c>
      <c r="N117" s="225" t="s">
        <v>332</v>
      </c>
      <c r="O117" s="224" t="s">
        <v>310</v>
      </c>
    </row>
    <row r="118" spans="2:15" x14ac:dyDescent="0.35">
      <c r="B118" s="207" t="s">
        <v>38</v>
      </c>
      <c r="C118" s="193" t="s">
        <v>162</v>
      </c>
      <c r="D118" s="193" t="s">
        <v>196</v>
      </c>
      <c r="E118" s="193" t="s">
        <v>198</v>
      </c>
      <c r="F118" s="206" t="s">
        <v>519</v>
      </c>
      <c r="I118" s="207" t="s">
        <v>248</v>
      </c>
      <c r="J118" s="191">
        <v>2200000</v>
      </c>
      <c r="K118" s="216">
        <v>2420000</v>
      </c>
      <c r="N118" s="225" t="s">
        <v>321</v>
      </c>
      <c r="O118" s="224" t="s">
        <v>302</v>
      </c>
    </row>
    <row r="119" spans="2:15" x14ac:dyDescent="0.35">
      <c r="B119" s="207" t="s">
        <v>38</v>
      </c>
      <c r="C119" s="193" t="s">
        <v>162</v>
      </c>
      <c r="D119" s="193" t="s">
        <v>196</v>
      </c>
      <c r="E119" s="193" t="s">
        <v>199</v>
      </c>
      <c r="F119" s="206" t="s">
        <v>520</v>
      </c>
      <c r="I119" s="207" t="s">
        <v>217</v>
      </c>
      <c r="J119" s="191">
        <v>11550000</v>
      </c>
      <c r="K119" s="216">
        <v>12705000</v>
      </c>
      <c r="N119" s="225" t="s">
        <v>330</v>
      </c>
      <c r="O119" s="224" t="s">
        <v>308</v>
      </c>
    </row>
    <row r="120" spans="2:15" x14ac:dyDescent="0.35">
      <c r="B120" s="207" t="s">
        <v>39</v>
      </c>
      <c r="C120" s="193" t="s">
        <v>163</v>
      </c>
      <c r="D120" s="193" t="s">
        <v>196</v>
      </c>
      <c r="E120" s="193" t="s">
        <v>199</v>
      </c>
      <c r="F120" s="206" t="s">
        <v>520</v>
      </c>
      <c r="I120" s="207" t="s">
        <v>222</v>
      </c>
      <c r="J120" s="191">
        <v>2800000</v>
      </c>
      <c r="K120" s="216">
        <v>3080000</v>
      </c>
      <c r="N120" s="225" t="s">
        <v>338</v>
      </c>
      <c r="O120" s="224" t="s">
        <v>316</v>
      </c>
    </row>
    <row r="121" spans="2:15" x14ac:dyDescent="0.35">
      <c r="B121" s="207" t="s">
        <v>39</v>
      </c>
      <c r="C121" s="193" t="s">
        <v>162</v>
      </c>
      <c r="D121" s="193" t="s">
        <v>196</v>
      </c>
      <c r="E121" s="193" t="s">
        <v>199</v>
      </c>
      <c r="F121" s="206" t="s">
        <v>520</v>
      </c>
      <c r="I121" s="207" t="s">
        <v>236</v>
      </c>
      <c r="J121" s="191">
        <v>11250000</v>
      </c>
      <c r="K121" s="216">
        <v>12375000</v>
      </c>
      <c r="N121" s="225" t="s">
        <v>338</v>
      </c>
      <c r="O121" s="224" t="s">
        <v>316</v>
      </c>
    </row>
    <row r="122" spans="2:15" x14ac:dyDescent="0.35">
      <c r="B122" s="207" t="s">
        <v>40</v>
      </c>
      <c r="C122" s="193" t="s">
        <v>163</v>
      </c>
      <c r="D122" s="193" t="s">
        <v>196</v>
      </c>
      <c r="E122" s="193" t="s">
        <v>199</v>
      </c>
      <c r="F122" s="206" t="s">
        <v>520</v>
      </c>
      <c r="I122" s="207" t="s">
        <v>244</v>
      </c>
      <c r="J122" s="191">
        <v>8550000</v>
      </c>
      <c r="K122" s="216">
        <v>9405000</v>
      </c>
      <c r="N122" s="225" t="s">
        <v>335</v>
      </c>
      <c r="O122" s="224" t="s">
        <v>313</v>
      </c>
    </row>
    <row r="123" spans="2:15" ht="16" thickBot="1" x14ac:dyDescent="0.4">
      <c r="B123" s="209" t="s">
        <v>41</v>
      </c>
      <c r="C123" s="210" t="s">
        <v>163</v>
      </c>
      <c r="D123" s="210" t="s">
        <v>196</v>
      </c>
      <c r="E123" s="222" t="s">
        <v>199</v>
      </c>
      <c r="F123" s="223" t="s">
        <v>520</v>
      </c>
      <c r="I123" s="220" t="s">
        <v>220</v>
      </c>
      <c r="J123" s="217">
        <v>10500000</v>
      </c>
      <c r="K123" s="218">
        <v>11550000</v>
      </c>
      <c r="N123" s="226" t="s">
        <v>336</v>
      </c>
      <c r="O123" s="223" t="s">
        <v>314</v>
      </c>
    </row>
    <row r="125" spans="2:15" x14ac:dyDescent="0.35">
      <c r="D125" s="204"/>
      <c r="F125" s="19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9555-4C42-A14E-B7A9-6205DD8DC0C2}">
  <sheetPr codeName="Sheet25">
    <tabColor theme="8" tint="0.39997558519241921"/>
  </sheetPr>
  <dimension ref="B1:H125"/>
  <sheetViews>
    <sheetView zoomScale="134" workbookViewId="0">
      <selection activeCell="B3" sqref="B3"/>
    </sheetView>
  </sheetViews>
  <sheetFormatPr defaultColWidth="10.83203125" defaultRowHeight="15.5" x14ac:dyDescent="0.35"/>
  <cols>
    <col min="2" max="2" width="12.6640625" customWidth="1"/>
    <col min="5" max="5" width="14.83203125" customWidth="1"/>
    <col min="6" max="6" width="22.33203125" customWidth="1"/>
  </cols>
  <sheetData>
    <row r="1" spans="2:8" ht="16" thickBot="1" x14ac:dyDescent="0.4"/>
    <row r="2" spans="2:8" x14ac:dyDescent="0.35">
      <c r="B2" s="227" t="s">
        <v>419</v>
      </c>
    </row>
    <row r="3" spans="2:8" ht="16" thickBot="1" x14ac:dyDescent="0.4">
      <c r="B3" s="228" t="s">
        <v>196</v>
      </c>
    </row>
    <row r="4" spans="2:8" x14ac:dyDescent="0.35">
      <c r="H4" t="s">
        <v>197</v>
      </c>
    </row>
    <row r="5" spans="2:8" x14ac:dyDescent="0.35">
      <c r="B5" s="229" t="s">
        <v>0</v>
      </c>
      <c r="C5" s="64" t="s">
        <v>5</v>
      </c>
      <c r="D5" s="64" t="s">
        <v>419</v>
      </c>
      <c r="E5" s="64" t="s">
        <v>17</v>
      </c>
      <c r="F5" s="64" t="s">
        <v>7</v>
      </c>
      <c r="H5" t="s">
        <v>196</v>
      </c>
    </row>
    <row r="6" spans="2:8" x14ac:dyDescent="0.35">
      <c r="B6" s="205">
        <v>44958</v>
      </c>
      <c r="C6" s="193" t="s">
        <v>162</v>
      </c>
      <c r="D6" s="193" t="s">
        <v>196</v>
      </c>
      <c r="E6" s="193" t="s">
        <v>198</v>
      </c>
      <c r="F6" s="206" t="s">
        <v>519</v>
      </c>
    </row>
    <row r="7" spans="2:8" x14ac:dyDescent="0.35">
      <c r="B7" s="205">
        <v>44958</v>
      </c>
      <c r="C7" s="193" t="s">
        <v>163</v>
      </c>
      <c r="D7" s="193" t="s">
        <v>196</v>
      </c>
      <c r="E7" s="193" t="s">
        <v>199</v>
      </c>
      <c r="F7" s="206" t="s">
        <v>520</v>
      </c>
    </row>
    <row r="8" spans="2:8" x14ac:dyDescent="0.35">
      <c r="B8" s="205">
        <v>44958</v>
      </c>
      <c r="C8" s="193" t="s">
        <v>163</v>
      </c>
      <c r="D8" s="193" t="s">
        <v>196</v>
      </c>
      <c r="E8" s="193" t="s">
        <v>199</v>
      </c>
      <c r="F8" s="206" t="s">
        <v>520</v>
      </c>
    </row>
    <row r="9" spans="2:8" x14ac:dyDescent="0.35">
      <c r="B9" s="205">
        <v>44986</v>
      </c>
      <c r="C9" s="193" t="s">
        <v>163</v>
      </c>
      <c r="D9" s="193" t="s">
        <v>196</v>
      </c>
      <c r="E9" s="193" t="s">
        <v>198</v>
      </c>
      <c r="F9" s="206" t="s">
        <v>519</v>
      </c>
    </row>
    <row r="10" spans="2:8" x14ac:dyDescent="0.35">
      <c r="B10" s="205">
        <v>44986</v>
      </c>
      <c r="C10" s="193" t="s">
        <v>162</v>
      </c>
      <c r="D10" s="193" t="s">
        <v>196</v>
      </c>
      <c r="E10" s="193" t="s">
        <v>198</v>
      </c>
      <c r="F10" s="206" t="s">
        <v>519</v>
      </c>
    </row>
    <row r="11" spans="2:8" x14ac:dyDescent="0.35">
      <c r="B11" s="205">
        <v>45017</v>
      </c>
      <c r="C11" s="193" t="s">
        <v>162</v>
      </c>
      <c r="D11" s="193" t="s">
        <v>196</v>
      </c>
      <c r="E11" s="193" t="s">
        <v>198</v>
      </c>
      <c r="F11" s="206" t="s">
        <v>519</v>
      </c>
    </row>
    <row r="12" spans="2:8" x14ac:dyDescent="0.35">
      <c r="B12" s="205">
        <v>45017</v>
      </c>
      <c r="C12" s="193" t="s">
        <v>162</v>
      </c>
      <c r="D12" s="193" t="s">
        <v>196</v>
      </c>
      <c r="E12" s="193" t="s">
        <v>199</v>
      </c>
      <c r="F12" s="206" t="s">
        <v>520</v>
      </c>
    </row>
    <row r="13" spans="2:8" x14ac:dyDescent="0.35">
      <c r="B13" s="205">
        <v>45017</v>
      </c>
      <c r="C13" s="193" t="s">
        <v>163</v>
      </c>
      <c r="D13" s="193" t="s">
        <v>196</v>
      </c>
      <c r="E13" s="193" t="s">
        <v>199</v>
      </c>
      <c r="F13" s="206" t="s">
        <v>520</v>
      </c>
    </row>
    <row r="14" spans="2:8" x14ac:dyDescent="0.35">
      <c r="B14" s="205">
        <v>45017</v>
      </c>
      <c r="C14" s="193" t="s">
        <v>162</v>
      </c>
      <c r="D14" s="193" t="s">
        <v>196</v>
      </c>
      <c r="E14" s="193" t="s">
        <v>199</v>
      </c>
      <c r="F14" s="206" t="s">
        <v>520</v>
      </c>
    </row>
    <row r="15" spans="2:8" x14ac:dyDescent="0.35">
      <c r="B15" s="205">
        <v>45017</v>
      </c>
      <c r="C15" s="193" t="s">
        <v>162</v>
      </c>
      <c r="D15" s="193" t="s">
        <v>196</v>
      </c>
      <c r="E15" s="193" t="s">
        <v>199</v>
      </c>
      <c r="F15" s="206" t="s">
        <v>520</v>
      </c>
    </row>
    <row r="16" spans="2:8" x14ac:dyDescent="0.35">
      <c r="B16" s="205">
        <v>45017</v>
      </c>
      <c r="C16" s="193" t="s">
        <v>162</v>
      </c>
      <c r="D16" s="193" t="s">
        <v>196</v>
      </c>
      <c r="E16" s="193" t="s">
        <v>199</v>
      </c>
      <c r="F16" s="206" t="s">
        <v>520</v>
      </c>
    </row>
    <row r="17" spans="2:6" x14ac:dyDescent="0.35">
      <c r="B17" s="205">
        <v>45047</v>
      </c>
      <c r="C17" s="193" t="s">
        <v>163</v>
      </c>
      <c r="D17" s="193" t="s">
        <v>196</v>
      </c>
      <c r="E17" s="193" t="s">
        <v>198</v>
      </c>
      <c r="F17" s="206" t="s">
        <v>519</v>
      </c>
    </row>
    <row r="18" spans="2:6" x14ac:dyDescent="0.35">
      <c r="B18" s="205">
        <v>45047</v>
      </c>
      <c r="C18" s="193" t="s">
        <v>162</v>
      </c>
      <c r="D18" s="193" t="s">
        <v>196</v>
      </c>
      <c r="E18" s="193" t="s">
        <v>199</v>
      </c>
      <c r="F18" s="206" t="s">
        <v>520</v>
      </c>
    </row>
    <row r="19" spans="2:6" x14ac:dyDescent="0.35">
      <c r="B19" s="205">
        <v>45078</v>
      </c>
      <c r="C19" s="193" t="s">
        <v>163</v>
      </c>
      <c r="D19" s="193" t="s">
        <v>196</v>
      </c>
      <c r="E19" s="193" t="s">
        <v>198</v>
      </c>
      <c r="F19" s="206" t="s">
        <v>519</v>
      </c>
    </row>
    <row r="20" spans="2:6" x14ac:dyDescent="0.35">
      <c r="B20" s="205">
        <v>45078</v>
      </c>
      <c r="C20" s="193" t="s">
        <v>162</v>
      </c>
      <c r="D20" s="193" t="s">
        <v>196</v>
      </c>
      <c r="E20" s="193" t="s">
        <v>198</v>
      </c>
      <c r="F20" s="206" t="s">
        <v>519</v>
      </c>
    </row>
    <row r="21" spans="2:6" x14ac:dyDescent="0.35">
      <c r="B21" s="205">
        <v>45078</v>
      </c>
      <c r="C21" s="193" t="s">
        <v>162</v>
      </c>
      <c r="D21" s="193" t="s">
        <v>196</v>
      </c>
      <c r="E21" s="193" t="s">
        <v>198</v>
      </c>
      <c r="F21" s="206" t="s">
        <v>519</v>
      </c>
    </row>
    <row r="22" spans="2:6" x14ac:dyDescent="0.35">
      <c r="B22" s="205">
        <v>45078</v>
      </c>
      <c r="C22" s="193" t="s">
        <v>162</v>
      </c>
      <c r="D22" s="193" t="s">
        <v>196</v>
      </c>
      <c r="E22" s="193" t="s">
        <v>198</v>
      </c>
      <c r="F22" s="206" t="s">
        <v>519</v>
      </c>
    </row>
    <row r="23" spans="2:6" x14ac:dyDescent="0.35">
      <c r="B23" s="205">
        <v>45078</v>
      </c>
      <c r="C23" s="193" t="s">
        <v>162</v>
      </c>
      <c r="D23" s="193" t="s">
        <v>196</v>
      </c>
      <c r="E23" s="193" t="s">
        <v>198</v>
      </c>
      <c r="F23" s="206" t="s">
        <v>519</v>
      </c>
    </row>
    <row r="24" spans="2:6" x14ac:dyDescent="0.35">
      <c r="B24" s="205">
        <v>45078</v>
      </c>
      <c r="C24" s="193" t="s">
        <v>163</v>
      </c>
      <c r="D24" s="193" t="s">
        <v>196</v>
      </c>
      <c r="E24" s="193" t="s">
        <v>198</v>
      </c>
      <c r="F24" s="206" t="s">
        <v>519</v>
      </c>
    </row>
    <row r="25" spans="2:6" x14ac:dyDescent="0.35">
      <c r="B25" s="205">
        <v>45108</v>
      </c>
      <c r="C25" s="193" t="s">
        <v>162</v>
      </c>
      <c r="D25" s="193" t="s">
        <v>196</v>
      </c>
      <c r="E25" s="193" t="s">
        <v>198</v>
      </c>
      <c r="F25" s="206" t="s">
        <v>519</v>
      </c>
    </row>
    <row r="26" spans="2:6" x14ac:dyDescent="0.35">
      <c r="B26" s="205">
        <v>45108</v>
      </c>
      <c r="C26" s="193" t="s">
        <v>162</v>
      </c>
      <c r="D26" s="193" t="s">
        <v>196</v>
      </c>
      <c r="E26" s="193" t="s">
        <v>199</v>
      </c>
      <c r="F26" s="206" t="s">
        <v>520</v>
      </c>
    </row>
    <row r="27" spans="2:6" x14ac:dyDescent="0.35">
      <c r="B27" s="205">
        <v>45108</v>
      </c>
      <c r="C27" s="193" t="s">
        <v>162</v>
      </c>
      <c r="D27" s="193" t="s">
        <v>196</v>
      </c>
      <c r="E27" s="193" t="s">
        <v>198</v>
      </c>
      <c r="F27" s="206" t="s">
        <v>519</v>
      </c>
    </row>
    <row r="28" spans="2:6" x14ac:dyDescent="0.35">
      <c r="B28" s="205">
        <v>45108</v>
      </c>
      <c r="C28" s="193" t="s">
        <v>162</v>
      </c>
      <c r="D28" s="193" t="s">
        <v>196</v>
      </c>
      <c r="E28" s="193" t="s">
        <v>199</v>
      </c>
      <c r="F28" s="206" t="s">
        <v>520</v>
      </c>
    </row>
    <row r="29" spans="2:6" x14ac:dyDescent="0.35">
      <c r="B29" s="205">
        <v>45139</v>
      </c>
      <c r="C29" s="193" t="s">
        <v>162</v>
      </c>
      <c r="D29" s="193" t="s">
        <v>196</v>
      </c>
      <c r="E29" s="193" t="s">
        <v>199</v>
      </c>
      <c r="F29" s="206" t="s">
        <v>520</v>
      </c>
    </row>
    <row r="30" spans="2:6" x14ac:dyDescent="0.35">
      <c r="B30" s="205">
        <v>45170</v>
      </c>
      <c r="C30" s="193" t="s">
        <v>162</v>
      </c>
      <c r="D30" s="193" t="s">
        <v>196</v>
      </c>
      <c r="E30" s="193" t="s">
        <v>198</v>
      </c>
      <c r="F30" s="206" t="s">
        <v>519</v>
      </c>
    </row>
    <row r="31" spans="2:6" x14ac:dyDescent="0.35">
      <c r="B31" s="205">
        <v>45170</v>
      </c>
      <c r="C31" s="193" t="s">
        <v>162</v>
      </c>
      <c r="D31" s="193" t="s">
        <v>196</v>
      </c>
      <c r="E31" s="193" t="s">
        <v>198</v>
      </c>
      <c r="F31" s="206" t="s">
        <v>519</v>
      </c>
    </row>
    <row r="32" spans="2:6" x14ac:dyDescent="0.35">
      <c r="B32" s="205">
        <v>45200</v>
      </c>
      <c r="C32" s="193" t="s">
        <v>163</v>
      </c>
      <c r="D32" s="193" t="s">
        <v>196</v>
      </c>
      <c r="E32" s="193" t="s">
        <v>198</v>
      </c>
      <c r="F32" s="206" t="s">
        <v>519</v>
      </c>
    </row>
    <row r="33" spans="2:6" x14ac:dyDescent="0.35">
      <c r="B33" s="205">
        <v>45200</v>
      </c>
      <c r="C33" s="193" t="s">
        <v>163</v>
      </c>
      <c r="D33" s="193" t="s">
        <v>196</v>
      </c>
      <c r="E33" s="193" t="s">
        <v>199</v>
      </c>
      <c r="F33" s="206" t="s">
        <v>520</v>
      </c>
    </row>
    <row r="34" spans="2:6" x14ac:dyDescent="0.35">
      <c r="B34" s="205">
        <v>45231</v>
      </c>
      <c r="C34" s="193" t="s">
        <v>163</v>
      </c>
      <c r="D34" s="193" t="s">
        <v>196</v>
      </c>
      <c r="E34" s="193" t="s">
        <v>199</v>
      </c>
      <c r="F34" s="206" t="s">
        <v>520</v>
      </c>
    </row>
    <row r="35" spans="2:6" x14ac:dyDescent="0.35">
      <c r="B35" s="205">
        <v>45231</v>
      </c>
      <c r="C35" s="193" t="s">
        <v>162</v>
      </c>
      <c r="D35" s="193" t="s">
        <v>196</v>
      </c>
      <c r="E35" s="193" t="s">
        <v>199</v>
      </c>
      <c r="F35" s="206" t="s">
        <v>520</v>
      </c>
    </row>
    <row r="36" spans="2:6" x14ac:dyDescent="0.35">
      <c r="B36" s="205">
        <v>45231</v>
      </c>
      <c r="C36" s="193" t="s">
        <v>162</v>
      </c>
      <c r="D36" s="193" t="s">
        <v>196</v>
      </c>
      <c r="E36" s="193" t="s">
        <v>199</v>
      </c>
      <c r="F36" s="206" t="s">
        <v>520</v>
      </c>
    </row>
    <row r="37" spans="2:6" x14ac:dyDescent="0.35">
      <c r="B37" s="205">
        <v>45231</v>
      </c>
      <c r="C37" s="193" t="s">
        <v>163</v>
      </c>
      <c r="D37" s="193" t="s">
        <v>196</v>
      </c>
      <c r="E37" s="193" t="s">
        <v>199</v>
      </c>
      <c r="F37" s="206" t="s">
        <v>520</v>
      </c>
    </row>
    <row r="38" spans="2:6" x14ac:dyDescent="0.35">
      <c r="B38" s="205">
        <v>45231</v>
      </c>
      <c r="C38" s="193" t="s">
        <v>163</v>
      </c>
      <c r="D38" s="193" t="s">
        <v>196</v>
      </c>
      <c r="E38" s="193" t="s">
        <v>199</v>
      </c>
      <c r="F38" s="206" t="s">
        <v>520</v>
      </c>
    </row>
    <row r="39" spans="2:6" x14ac:dyDescent="0.35">
      <c r="B39" s="205">
        <v>45231</v>
      </c>
      <c r="C39" s="193" t="s">
        <v>163</v>
      </c>
      <c r="D39" s="193" t="s">
        <v>196</v>
      </c>
      <c r="E39" s="193" t="s">
        <v>199</v>
      </c>
      <c r="F39" s="206" t="s">
        <v>520</v>
      </c>
    </row>
    <row r="40" spans="2:6" x14ac:dyDescent="0.35">
      <c r="B40" s="205">
        <v>45231</v>
      </c>
      <c r="C40" s="193" t="s">
        <v>162</v>
      </c>
      <c r="D40" s="193" t="s">
        <v>196</v>
      </c>
      <c r="E40" s="193" t="s">
        <v>199</v>
      </c>
      <c r="F40" s="206" t="s">
        <v>520</v>
      </c>
    </row>
    <row r="41" spans="2:6" x14ac:dyDescent="0.35">
      <c r="B41" s="205">
        <v>45261</v>
      </c>
      <c r="C41" s="193" t="s">
        <v>163</v>
      </c>
      <c r="D41" s="193" t="s">
        <v>196</v>
      </c>
      <c r="E41" s="193" t="s">
        <v>199</v>
      </c>
      <c r="F41" s="206" t="s">
        <v>520</v>
      </c>
    </row>
    <row r="42" spans="2:6" x14ac:dyDescent="0.35">
      <c r="B42" s="205">
        <v>45261</v>
      </c>
      <c r="C42" s="193" t="s">
        <v>163</v>
      </c>
      <c r="D42" s="193" t="s">
        <v>196</v>
      </c>
      <c r="E42" s="193" t="s">
        <v>199</v>
      </c>
      <c r="F42" s="206" t="s">
        <v>520</v>
      </c>
    </row>
    <row r="43" spans="2:6" x14ac:dyDescent="0.35">
      <c r="B43" s="205">
        <v>45261</v>
      </c>
      <c r="C43" s="193" t="s">
        <v>163</v>
      </c>
      <c r="D43" s="193" t="s">
        <v>196</v>
      </c>
      <c r="E43" s="193" t="s">
        <v>199</v>
      </c>
      <c r="F43" s="206" t="s">
        <v>520</v>
      </c>
    </row>
    <row r="44" spans="2:6" x14ac:dyDescent="0.35">
      <c r="B44" s="207" t="s">
        <v>19</v>
      </c>
      <c r="C44" s="193" t="s">
        <v>163</v>
      </c>
      <c r="D44" s="193" t="s">
        <v>196</v>
      </c>
      <c r="E44" s="193" t="s">
        <v>199</v>
      </c>
      <c r="F44" s="206" t="s">
        <v>520</v>
      </c>
    </row>
    <row r="45" spans="2:6" x14ac:dyDescent="0.35">
      <c r="B45" s="207" t="s">
        <v>21</v>
      </c>
      <c r="C45" s="193" t="s">
        <v>163</v>
      </c>
      <c r="D45" s="193" t="s">
        <v>196</v>
      </c>
      <c r="E45" s="193" t="s">
        <v>198</v>
      </c>
      <c r="F45" s="206" t="s">
        <v>519</v>
      </c>
    </row>
    <row r="46" spans="2:6" x14ac:dyDescent="0.35">
      <c r="B46" s="207" t="s">
        <v>21</v>
      </c>
      <c r="C46" s="193" t="s">
        <v>162</v>
      </c>
      <c r="D46" s="193" t="s">
        <v>196</v>
      </c>
      <c r="E46" s="193" t="s">
        <v>198</v>
      </c>
      <c r="F46" s="206" t="s">
        <v>519</v>
      </c>
    </row>
    <row r="47" spans="2:6" x14ac:dyDescent="0.35">
      <c r="B47" s="207" t="s">
        <v>22</v>
      </c>
      <c r="C47" s="193" t="s">
        <v>163</v>
      </c>
      <c r="D47" s="193" t="s">
        <v>196</v>
      </c>
      <c r="E47" s="193" t="s">
        <v>198</v>
      </c>
      <c r="F47" s="206" t="s">
        <v>519</v>
      </c>
    </row>
    <row r="48" spans="2:6" x14ac:dyDescent="0.35">
      <c r="B48" s="207" t="s">
        <v>22</v>
      </c>
      <c r="C48" s="193" t="s">
        <v>162</v>
      </c>
      <c r="D48" s="193" t="s">
        <v>196</v>
      </c>
      <c r="E48" s="193" t="s">
        <v>199</v>
      </c>
      <c r="F48" s="206" t="s">
        <v>520</v>
      </c>
    </row>
    <row r="49" spans="2:6" x14ac:dyDescent="0.35">
      <c r="B49" s="207" t="s">
        <v>23</v>
      </c>
      <c r="C49" s="193" t="s">
        <v>162</v>
      </c>
      <c r="D49" s="193" t="s">
        <v>196</v>
      </c>
      <c r="E49" s="193" t="s">
        <v>199</v>
      </c>
      <c r="F49" s="206" t="s">
        <v>520</v>
      </c>
    </row>
    <row r="50" spans="2:6" x14ac:dyDescent="0.35">
      <c r="B50" s="207" t="s">
        <v>23</v>
      </c>
      <c r="C50" s="193" t="s">
        <v>163</v>
      </c>
      <c r="D50" s="193" t="s">
        <v>196</v>
      </c>
      <c r="E50" s="193" t="s">
        <v>198</v>
      </c>
      <c r="F50" s="206" t="s">
        <v>519</v>
      </c>
    </row>
    <row r="51" spans="2:6" x14ac:dyDescent="0.35">
      <c r="B51" s="207" t="s">
        <v>23</v>
      </c>
      <c r="C51" s="193" t="s">
        <v>163</v>
      </c>
      <c r="D51" s="193" t="s">
        <v>196</v>
      </c>
      <c r="E51" s="193" t="s">
        <v>198</v>
      </c>
      <c r="F51" s="206" t="s">
        <v>519</v>
      </c>
    </row>
    <row r="52" spans="2:6" x14ac:dyDescent="0.35">
      <c r="B52" s="207" t="s">
        <v>23</v>
      </c>
      <c r="C52" s="193" t="s">
        <v>163</v>
      </c>
      <c r="D52" s="193" t="s">
        <v>196</v>
      </c>
      <c r="E52" s="193" t="s">
        <v>198</v>
      </c>
      <c r="F52" s="206" t="s">
        <v>519</v>
      </c>
    </row>
    <row r="53" spans="2:6" x14ac:dyDescent="0.35">
      <c r="B53" s="207" t="s">
        <v>24</v>
      </c>
      <c r="C53" s="193" t="s">
        <v>163</v>
      </c>
      <c r="D53" s="193" t="s">
        <v>196</v>
      </c>
      <c r="E53" s="193" t="s">
        <v>198</v>
      </c>
      <c r="F53" s="206" t="s">
        <v>519</v>
      </c>
    </row>
    <row r="54" spans="2:6" x14ac:dyDescent="0.35">
      <c r="B54" s="207" t="s">
        <v>24</v>
      </c>
      <c r="C54" s="193" t="s">
        <v>163</v>
      </c>
      <c r="D54" s="193" t="s">
        <v>196</v>
      </c>
      <c r="E54" s="193" t="s">
        <v>199</v>
      </c>
      <c r="F54" s="206" t="s">
        <v>520</v>
      </c>
    </row>
    <row r="55" spans="2:6" x14ac:dyDescent="0.35">
      <c r="B55" s="207" t="s">
        <v>25</v>
      </c>
      <c r="C55" s="193" t="s">
        <v>163</v>
      </c>
      <c r="D55" s="193" t="s">
        <v>196</v>
      </c>
      <c r="E55" s="193" t="s">
        <v>199</v>
      </c>
      <c r="F55" s="206" t="s">
        <v>520</v>
      </c>
    </row>
    <row r="56" spans="2:6" x14ac:dyDescent="0.35">
      <c r="B56" s="207" t="s">
        <v>25</v>
      </c>
      <c r="C56" s="193" t="s">
        <v>162</v>
      </c>
      <c r="D56" s="193" t="s">
        <v>196</v>
      </c>
      <c r="E56" s="193" t="s">
        <v>199</v>
      </c>
      <c r="F56" s="206" t="s">
        <v>520</v>
      </c>
    </row>
    <row r="57" spans="2:6" x14ac:dyDescent="0.35">
      <c r="B57" s="207" t="s">
        <v>25</v>
      </c>
      <c r="C57" s="193" t="s">
        <v>163</v>
      </c>
      <c r="D57" s="193" t="s">
        <v>196</v>
      </c>
      <c r="E57" s="193" t="s">
        <v>199</v>
      </c>
      <c r="F57" s="206" t="s">
        <v>520</v>
      </c>
    </row>
    <row r="58" spans="2:6" x14ac:dyDescent="0.35">
      <c r="B58" s="207" t="s">
        <v>26</v>
      </c>
      <c r="C58" s="193" t="s">
        <v>163</v>
      </c>
      <c r="D58" s="193" t="s">
        <v>196</v>
      </c>
      <c r="E58" s="193" t="s">
        <v>199</v>
      </c>
      <c r="F58" s="206" t="s">
        <v>520</v>
      </c>
    </row>
    <row r="59" spans="2:6" x14ac:dyDescent="0.35">
      <c r="B59" s="207" t="s">
        <v>27</v>
      </c>
      <c r="C59" s="193" t="s">
        <v>162</v>
      </c>
      <c r="D59" s="193" t="s">
        <v>196</v>
      </c>
      <c r="E59" s="193" t="s">
        <v>198</v>
      </c>
      <c r="F59" s="206" t="s">
        <v>519</v>
      </c>
    </row>
    <row r="60" spans="2:6" x14ac:dyDescent="0.35">
      <c r="B60" s="207" t="s">
        <v>28</v>
      </c>
      <c r="C60" s="193" t="s">
        <v>162</v>
      </c>
      <c r="D60" s="193" t="s">
        <v>196</v>
      </c>
      <c r="E60" s="193" t="s">
        <v>198</v>
      </c>
      <c r="F60" s="206" t="s">
        <v>519</v>
      </c>
    </row>
    <row r="61" spans="2:6" x14ac:dyDescent="0.35">
      <c r="B61" s="207" t="s">
        <v>28</v>
      </c>
      <c r="C61" s="193" t="s">
        <v>162</v>
      </c>
      <c r="D61" s="193" t="s">
        <v>196</v>
      </c>
      <c r="E61" s="193" t="s">
        <v>198</v>
      </c>
      <c r="F61" s="206" t="s">
        <v>519</v>
      </c>
    </row>
    <row r="62" spans="2:6" x14ac:dyDescent="0.35">
      <c r="B62" s="207" t="s">
        <v>28</v>
      </c>
      <c r="C62" s="193" t="s">
        <v>162</v>
      </c>
      <c r="D62" s="193" t="s">
        <v>196</v>
      </c>
      <c r="E62" s="193" t="s">
        <v>198</v>
      </c>
      <c r="F62" s="206" t="s">
        <v>519</v>
      </c>
    </row>
    <row r="63" spans="2:6" x14ac:dyDescent="0.35">
      <c r="B63" s="207" t="s">
        <v>28</v>
      </c>
      <c r="C63" s="193" t="s">
        <v>162</v>
      </c>
      <c r="D63" s="193" t="s">
        <v>196</v>
      </c>
      <c r="E63" s="193" t="s">
        <v>199</v>
      </c>
      <c r="F63" s="206" t="s">
        <v>520</v>
      </c>
    </row>
    <row r="64" spans="2:6" x14ac:dyDescent="0.35">
      <c r="B64" s="207" t="s">
        <v>29</v>
      </c>
      <c r="C64" s="193" t="s">
        <v>162</v>
      </c>
      <c r="D64" s="193" t="s">
        <v>196</v>
      </c>
      <c r="E64" s="193" t="s">
        <v>198</v>
      </c>
      <c r="F64" s="206" t="s">
        <v>519</v>
      </c>
    </row>
    <row r="65" spans="2:6" x14ac:dyDescent="0.35">
      <c r="B65" s="207" t="s">
        <v>29</v>
      </c>
      <c r="C65" s="193" t="s">
        <v>163</v>
      </c>
      <c r="D65" s="193" t="s">
        <v>196</v>
      </c>
      <c r="E65" s="193" t="s">
        <v>199</v>
      </c>
      <c r="F65" s="206" t="s">
        <v>520</v>
      </c>
    </row>
    <row r="66" spans="2:6" x14ac:dyDescent="0.35">
      <c r="B66" s="207" t="s">
        <v>29</v>
      </c>
      <c r="C66" s="193" t="s">
        <v>163</v>
      </c>
      <c r="D66" s="193" t="s">
        <v>196</v>
      </c>
      <c r="E66" s="193" t="s">
        <v>198</v>
      </c>
      <c r="F66" s="206" t="s">
        <v>519</v>
      </c>
    </row>
    <row r="67" spans="2:6" x14ac:dyDescent="0.35">
      <c r="B67" s="207" t="s">
        <v>29</v>
      </c>
      <c r="C67" s="193" t="s">
        <v>163</v>
      </c>
      <c r="D67" s="193" t="s">
        <v>196</v>
      </c>
      <c r="E67" s="193" t="s">
        <v>199</v>
      </c>
      <c r="F67" s="206" t="s">
        <v>520</v>
      </c>
    </row>
    <row r="68" spans="2:6" x14ac:dyDescent="0.35">
      <c r="B68" s="207" t="s">
        <v>29</v>
      </c>
      <c r="C68" s="193" t="s">
        <v>163</v>
      </c>
      <c r="D68" s="193" t="s">
        <v>196</v>
      </c>
      <c r="E68" s="193" t="s">
        <v>199</v>
      </c>
      <c r="F68" s="206" t="s">
        <v>520</v>
      </c>
    </row>
    <row r="69" spans="2:6" x14ac:dyDescent="0.35">
      <c r="B69" s="208" t="s">
        <v>29</v>
      </c>
      <c r="C69" s="193" t="s">
        <v>162</v>
      </c>
      <c r="D69" s="193" t="s">
        <v>196</v>
      </c>
      <c r="E69" s="193" t="s">
        <v>199</v>
      </c>
      <c r="F69" s="206" t="s">
        <v>520</v>
      </c>
    </row>
    <row r="70" spans="2:6" x14ac:dyDescent="0.35">
      <c r="B70" s="207" t="s">
        <v>30</v>
      </c>
      <c r="C70" s="193" t="s">
        <v>162</v>
      </c>
      <c r="D70" s="193" t="s">
        <v>196</v>
      </c>
      <c r="E70" s="193" t="s">
        <v>198</v>
      </c>
      <c r="F70" s="206" t="s">
        <v>519</v>
      </c>
    </row>
    <row r="71" spans="2:6" x14ac:dyDescent="0.35">
      <c r="B71" s="207" t="s">
        <v>30</v>
      </c>
      <c r="C71" s="193" t="s">
        <v>162</v>
      </c>
      <c r="D71" s="193" t="s">
        <v>196</v>
      </c>
      <c r="E71" s="193" t="s">
        <v>199</v>
      </c>
      <c r="F71" s="206" t="s">
        <v>520</v>
      </c>
    </row>
    <row r="72" spans="2:6" x14ac:dyDescent="0.35">
      <c r="B72" s="208" t="s">
        <v>31</v>
      </c>
      <c r="C72" s="193" t="s">
        <v>163</v>
      </c>
      <c r="D72" s="193" t="s">
        <v>196</v>
      </c>
      <c r="E72" s="193" t="s">
        <v>199</v>
      </c>
      <c r="F72" s="206" t="s">
        <v>520</v>
      </c>
    </row>
    <row r="73" spans="2:6" x14ac:dyDescent="0.35">
      <c r="B73" s="207" t="s">
        <v>33</v>
      </c>
      <c r="C73" s="193" t="s">
        <v>163</v>
      </c>
      <c r="D73" s="193" t="s">
        <v>196</v>
      </c>
      <c r="E73" s="193" t="s">
        <v>199</v>
      </c>
      <c r="F73" s="206" t="s">
        <v>520</v>
      </c>
    </row>
    <row r="74" spans="2:6" x14ac:dyDescent="0.35">
      <c r="B74" s="207" t="s">
        <v>34</v>
      </c>
      <c r="C74" s="193" t="s">
        <v>163</v>
      </c>
      <c r="D74" s="193" t="s">
        <v>196</v>
      </c>
      <c r="E74" s="193" t="s">
        <v>198</v>
      </c>
      <c r="F74" s="206" t="s">
        <v>519</v>
      </c>
    </row>
    <row r="75" spans="2:6" x14ac:dyDescent="0.35">
      <c r="B75" s="207" t="s">
        <v>35</v>
      </c>
      <c r="C75" s="193" t="s">
        <v>163</v>
      </c>
      <c r="D75" s="193" t="s">
        <v>196</v>
      </c>
      <c r="E75" s="193" t="s">
        <v>199</v>
      </c>
      <c r="F75" s="206" t="s">
        <v>520</v>
      </c>
    </row>
    <row r="76" spans="2:6" x14ac:dyDescent="0.35">
      <c r="B76" s="207" t="s">
        <v>35</v>
      </c>
      <c r="C76" s="193" t="s">
        <v>163</v>
      </c>
      <c r="D76" s="193" t="s">
        <v>196</v>
      </c>
      <c r="E76" s="193" t="s">
        <v>198</v>
      </c>
      <c r="F76" s="206" t="s">
        <v>519</v>
      </c>
    </row>
    <row r="77" spans="2:6" x14ac:dyDescent="0.35">
      <c r="B77" s="207" t="s">
        <v>35</v>
      </c>
      <c r="C77" s="193" t="s">
        <v>162</v>
      </c>
      <c r="D77" s="193" t="s">
        <v>196</v>
      </c>
      <c r="E77" s="193" t="s">
        <v>198</v>
      </c>
      <c r="F77" s="206" t="s">
        <v>519</v>
      </c>
    </row>
    <row r="78" spans="2:6" x14ac:dyDescent="0.35">
      <c r="B78" s="207" t="s">
        <v>35</v>
      </c>
      <c r="C78" s="193" t="s">
        <v>162</v>
      </c>
      <c r="D78" s="193" t="s">
        <v>196</v>
      </c>
      <c r="E78" s="193" t="s">
        <v>198</v>
      </c>
      <c r="F78" s="206" t="s">
        <v>519</v>
      </c>
    </row>
    <row r="79" spans="2:6" x14ac:dyDescent="0.35">
      <c r="B79" s="207" t="s">
        <v>36</v>
      </c>
      <c r="C79" s="193" t="s">
        <v>162</v>
      </c>
      <c r="D79" s="193" t="s">
        <v>196</v>
      </c>
      <c r="E79" s="193" t="s">
        <v>198</v>
      </c>
      <c r="F79" s="206" t="s">
        <v>519</v>
      </c>
    </row>
    <row r="80" spans="2:6" x14ac:dyDescent="0.35">
      <c r="B80" s="207" t="s">
        <v>36</v>
      </c>
      <c r="C80" s="193" t="s">
        <v>163</v>
      </c>
      <c r="D80" s="193" t="s">
        <v>196</v>
      </c>
      <c r="E80" s="193" t="s">
        <v>198</v>
      </c>
      <c r="F80" s="206" t="s">
        <v>519</v>
      </c>
    </row>
    <row r="81" spans="2:6" x14ac:dyDescent="0.35">
      <c r="B81" s="207" t="s">
        <v>36</v>
      </c>
      <c r="C81" s="193" t="s">
        <v>163</v>
      </c>
      <c r="D81" s="193" t="s">
        <v>196</v>
      </c>
      <c r="E81" s="193" t="s">
        <v>198</v>
      </c>
      <c r="F81" s="206" t="s">
        <v>519</v>
      </c>
    </row>
    <row r="82" spans="2:6" x14ac:dyDescent="0.35">
      <c r="B82" s="207" t="s">
        <v>36</v>
      </c>
      <c r="C82" s="193" t="s">
        <v>162</v>
      </c>
      <c r="D82" s="193" t="s">
        <v>196</v>
      </c>
      <c r="E82" s="193" t="s">
        <v>198</v>
      </c>
      <c r="F82" s="206" t="s">
        <v>519</v>
      </c>
    </row>
    <row r="83" spans="2:6" x14ac:dyDescent="0.35">
      <c r="B83" s="207" t="s">
        <v>32</v>
      </c>
      <c r="C83" s="193" t="s">
        <v>162</v>
      </c>
      <c r="D83" s="193" t="s">
        <v>196</v>
      </c>
      <c r="E83" s="193" t="s">
        <v>198</v>
      </c>
      <c r="F83" s="206" t="s">
        <v>519</v>
      </c>
    </row>
    <row r="84" spans="2:6" x14ac:dyDescent="0.35">
      <c r="B84" s="207" t="s">
        <v>32</v>
      </c>
      <c r="C84" s="193" t="s">
        <v>163</v>
      </c>
      <c r="D84" s="193" t="s">
        <v>196</v>
      </c>
      <c r="E84" s="193" t="s">
        <v>198</v>
      </c>
      <c r="F84" s="206" t="s">
        <v>519</v>
      </c>
    </row>
    <row r="85" spans="2:6" x14ac:dyDescent="0.35">
      <c r="B85" s="207" t="s">
        <v>37</v>
      </c>
      <c r="C85" s="193" t="s">
        <v>162</v>
      </c>
      <c r="D85" s="193" t="s">
        <v>196</v>
      </c>
      <c r="E85" s="193" t="s">
        <v>198</v>
      </c>
      <c r="F85" s="206" t="s">
        <v>519</v>
      </c>
    </row>
    <row r="86" spans="2:6" x14ac:dyDescent="0.35">
      <c r="B86" s="207" t="s">
        <v>37</v>
      </c>
      <c r="C86" s="193" t="s">
        <v>162</v>
      </c>
      <c r="D86" s="193" t="s">
        <v>196</v>
      </c>
      <c r="E86" s="193" t="s">
        <v>199</v>
      </c>
      <c r="F86" s="206" t="s">
        <v>520</v>
      </c>
    </row>
    <row r="87" spans="2:6" x14ac:dyDescent="0.35">
      <c r="B87" s="207" t="s">
        <v>37</v>
      </c>
      <c r="C87" s="193" t="s">
        <v>162</v>
      </c>
      <c r="D87" s="193" t="s">
        <v>196</v>
      </c>
      <c r="E87" s="193" t="s">
        <v>198</v>
      </c>
      <c r="F87" s="206" t="s">
        <v>519</v>
      </c>
    </row>
    <row r="88" spans="2:6" x14ac:dyDescent="0.35">
      <c r="B88" s="207" t="s">
        <v>37</v>
      </c>
      <c r="C88" s="193" t="s">
        <v>163</v>
      </c>
      <c r="D88" s="193" t="s">
        <v>196</v>
      </c>
      <c r="E88" s="193" t="s">
        <v>198</v>
      </c>
      <c r="F88" s="206" t="s">
        <v>519</v>
      </c>
    </row>
    <row r="89" spans="2:6" x14ac:dyDescent="0.35">
      <c r="B89" s="207" t="s">
        <v>38</v>
      </c>
      <c r="C89" s="193" t="s">
        <v>162</v>
      </c>
      <c r="D89" s="193" t="s">
        <v>196</v>
      </c>
      <c r="E89" s="193" t="s">
        <v>198</v>
      </c>
      <c r="F89" s="206" t="s">
        <v>519</v>
      </c>
    </row>
    <row r="90" spans="2:6" x14ac:dyDescent="0.35">
      <c r="B90" s="207" t="s">
        <v>38</v>
      </c>
      <c r="C90" s="193" t="s">
        <v>163</v>
      </c>
      <c r="D90" s="193" t="s">
        <v>196</v>
      </c>
      <c r="E90" s="193" t="s">
        <v>199</v>
      </c>
      <c r="F90" s="206" t="s">
        <v>520</v>
      </c>
    </row>
    <row r="91" spans="2:6" x14ac:dyDescent="0.35">
      <c r="B91" s="207" t="s">
        <v>38</v>
      </c>
      <c r="C91" s="193" t="s">
        <v>162</v>
      </c>
      <c r="D91" s="193" t="s">
        <v>196</v>
      </c>
      <c r="E91" s="193" t="s">
        <v>198</v>
      </c>
      <c r="F91" s="206" t="s">
        <v>519</v>
      </c>
    </row>
    <row r="92" spans="2:6" x14ac:dyDescent="0.35">
      <c r="B92" s="207" t="s">
        <v>38</v>
      </c>
      <c r="C92" s="193" t="s">
        <v>162</v>
      </c>
      <c r="D92" s="193" t="s">
        <v>196</v>
      </c>
      <c r="E92" s="193" t="s">
        <v>199</v>
      </c>
      <c r="F92" s="206" t="s">
        <v>520</v>
      </c>
    </row>
    <row r="93" spans="2:6" x14ac:dyDescent="0.35">
      <c r="B93" s="207" t="s">
        <v>39</v>
      </c>
      <c r="C93" s="193" t="s">
        <v>163</v>
      </c>
      <c r="D93" s="193" t="s">
        <v>196</v>
      </c>
      <c r="E93" s="193" t="s">
        <v>199</v>
      </c>
      <c r="F93" s="206" t="s">
        <v>520</v>
      </c>
    </row>
    <row r="94" spans="2:6" x14ac:dyDescent="0.35">
      <c r="B94" s="207" t="s">
        <v>39</v>
      </c>
      <c r="C94" s="193" t="s">
        <v>162</v>
      </c>
      <c r="D94" s="193" t="s">
        <v>196</v>
      </c>
      <c r="E94" s="193" t="s">
        <v>199</v>
      </c>
      <c r="F94" s="206" t="s">
        <v>520</v>
      </c>
    </row>
    <row r="95" spans="2:6" x14ac:dyDescent="0.35">
      <c r="B95" s="207" t="s">
        <v>40</v>
      </c>
      <c r="C95" s="193" t="s">
        <v>163</v>
      </c>
      <c r="D95" s="193" t="s">
        <v>196</v>
      </c>
      <c r="E95" s="193" t="s">
        <v>199</v>
      </c>
      <c r="F95" s="206" t="s">
        <v>520</v>
      </c>
    </row>
    <row r="96" spans="2:6" ht="16" thickBot="1" x14ac:dyDescent="0.4">
      <c r="B96" s="209" t="s">
        <v>41</v>
      </c>
      <c r="C96" s="210" t="s">
        <v>163</v>
      </c>
      <c r="D96" s="210" t="s">
        <v>196</v>
      </c>
      <c r="E96" s="222" t="s">
        <v>199</v>
      </c>
      <c r="F96" s="223" t="s">
        <v>520</v>
      </c>
    </row>
    <row r="97" spans="2:6" x14ac:dyDescent="0.35">
      <c r="B97" s="231"/>
      <c r="C97" s="231"/>
      <c r="D97" s="231"/>
      <c r="E97" s="231"/>
      <c r="F97" s="232"/>
    </row>
    <row r="98" spans="2:6" x14ac:dyDescent="0.35">
      <c r="B98" s="233"/>
      <c r="C98" s="231"/>
      <c r="D98" s="231"/>
      <c r="E98" s="231"/>
      <c r="F98" s="232"/>
    </row>
    <row r="99" spans="2:6" x14ac:dyDescent="0.35">
      <c r="B99" s="231"/>
      <c r="C99" s="231"/>
      <c r="D99" s="231"/>
      <c r="E99" s="231"/>
      <c r="F99" s="232"/>
    </row>
    <row r="100" spans="2:6" x14ac:dyDescent="0.35">
      <c r="B100" s="231"/>
      <c r="C100" s="231"/>
      <c r="D100" s="231"/>
      <c r="E100" s="231"/>
      <c r="F100" s="232"/>
    </row>
    <row r="101" spans="2:6" x14ac:dyDescent="0.35">
      <c r="B101" s="231"/>
      <c r="C101" s="231"/>
      <c r="D101" s="231"/>
      <c r="E101" s="231"/>
      <c r="F101" s="232"/>
    </row>
    <row r="102" spans="2:6" x14ac:dyDescent="0.35">
      <c r="B102" s="231"/>
      <c r="C102" s="231"/>
      <c r="D102" s="231"/>
      <c r="E102" s="231"/>
      <c r="F102" s="232"/>
    </row>
    <row r="103" spans="2:6" x14ac:dyDescent="0.35">
      <c r="B103" s="231"/>
      <c r="C103" s="231"/>
      <c r="D103" s="231"/>
      <c r="E103" s="231"/>
      <c r="F103" s="232"/>
    </row>
    <row r="104" spans="2:6" x14ac:dyDescent="0.35">
      <c r="B104" s="233"/>
      <c r="C104" s="231"/>
      <c r="D104" s="231"/>
      <c r="E104" s="231"/>
      <c r="F104" s="232"/>
    </row>
    <row r="105" spans="2:6" x14ac:dyDescent="0.35">
      <c r="B105" s="231"/>
      <c r="C105" s="231"/>
      <c r="D105" s="231"/>
      <c r="E105" s="231"/>
      <c r="F105" s="232"/>
    </row>
    <row r="106" spans="2:6" x14ac:dyDescent="0.35">
      <c r="B106" s="231"/>
      <c r="C106" s="231"/>
      <c r="D106" s="231"/>
      <c r="E106" s="231"/>
      <c r="F106" s="232"/>
    </row>
    <row r="107" spans="2:6" x14ac:dyDescent="0.35">
      <c r="B107" s="231"/>
      <c r="C107" s="231"/>
      <c r="D107" s="231"/>
      <c r="E107" s="231"/>
      <c r="F107" s="232"/>
    </row>
    <row r="108" spans="2:6" x14ac:dyDescent="0.35">
      <c r="B108" s="231"/>
      <c r="C108" s="231"/>
      <c r="D108" s="231"/>
      <c r="E108" s="231"/>
      <c r="F108" s="232"/>
    </row>
    <row r="109" spans="2:6" x14ac:dyDescent="0.35">
      <c r="B109" s="231"/>
      <c r="C109" s="231"/>
      <c r="D109" s="231"/>
      <c r="E109" s="231"/>
      <c r="F109" s="232"/>
    </row>
    <row r="110" spans="2:6" x14ac:dyDescent="0.35">
      <c r="B110" s="231"/>
      <c r="C110" s="231"/>
      <c r="D110" s="231"/>
      <c r="E110" s="231"/>
      <c r="F110" s="232"/>
    </row>
    <row r="111" spans="2:6" x14ac:dyDescent="0.35">
      <c r="B111" s="231"/>
      <c r="C111" s="231"/>
      <c r="D111" s="231"/>
      <c r="E111" s="231"/>
      <c r="F111" s="232"/>
    </row>
    <row r="112" spans="2:6" x14ac:dyDescent="0.35">
      <c r="B112" s="231"/>
      <c r="C112" s="231"/>
      <c r="D112" s="231"/>
      <c r="E112" s="231"/>
      <c r="F112" s="232"/>
    </row>
    <row r="113" spans="2:6" x14ac:dyDescent="0.35">
      <c r="B113" s="231"/>
      <c r="C113" s="231"/>
      <c r="D113" s="231"/>
      <c r="E113" s="231"/>
      <c r="F113" s="232"/>
    </row>
    <row r="114" spans="2:6" x14ac:dyDescent="0.35">
      <c r="B114" s="231"/>
      <c r="C114" s="231"/>
      <c r="D114" s="231"/>
      <c r="E114" s="231"/>
      <c r="F114" s="232"/>
    </row>
    <row r="115" spans="2:6" x14ac:dyDescent="0.35">
      <c r="B115" s="231"/>
      <c r="C115" s="231"/>
      <c r="D115" s="231"/>
      <c r="E115" s="231"/>
      <c r="F115" s="232"/>
    </row>
    <row r="116" spans="2:6" x14ac:dyDescent="0.35">
      <c r="B116" s="231"/>
      <c r="C116" s="231"/>
      <c r="D116" s="231"/>
      <c r="E116" s="231"/>
      <c r="F116" s="232"/>
    </row>
    <row r="117" spans="2:6" x14ac:dyDescent="0.35">
      <c r="B117" s="231"/>
      <c r="C117" s="231"/>
      <c r="D117" s="231"/>
      <c r="E117" s="231"/>
      <c r="F117" s="232"/>
    </row>
    <row r="118" spans="2:6" x14ac:dyDescent="0.35">
      <c r="B118" s="231"/>
      <c r="C118" s="231"/>
      <c r="D118" s="231"/>
      <c r="E118" s="231"/>
      <c r="F118" s="232"/>
    </row>
    <row r="119" spans="2:6" x14ac:dyDescent="0.35">
      <c r="B119" s="231"/>
      <c r="C119" s="231"/>
      <c r="D119" s="231"/>
      <c r="E119" s="231"/>
      <c r="F119" s="232"/>
    </row>
    <row r="120" spans="2:6" x14ac:dyDescent="0.35">
      <c r="B120" s="231"/>
      <c r="C120" s="231"/>
      <c r="D120" s="231"/>
      <c r="E120" s="231"/>
      <c r="F120" s="232"/>
    </row>
    <row r="121" spans="2:6" x14ac:dyDescent="0.35">
      <c r="B121" s="231"/>
      <c r="C121" s="231"/>
      <c r="D121" s="231"/>
      <c r="E121" s="231"/>
      <c r="F121" s="232"/>
    </row>
    <row r="122" spans="2:6" x14ac:dyDescent="0.35">
      <c r="B122" s="231"/>
      <c r="C122" s="231"/>
      <c r="D122" s="231"/>
      <c r="E122" s="231"/>
      <c r="F122" s="232"/>
    </row>
    <row r="123" spans="2:6" x14ac:dyDescent="0.35">
      <c r="B123" s="231"/>
      <c r="C123" s="231"/>
      <c r="D123" s="231"/>
      <c r="E123" s="231"/>
      <c r="F123" s="232"/>
    </row>
    <row r="124" spans="2:6" x14ac:dyDescent="0.35">
      <c r="B124" s="231"/>
      <c r="C124" s="231"/>
      <c r="D124" s="231"/>
      <c r="E124" s="231"/>
      <c r="F124" s="232"/>
    </row>
    <row r="125" spans="2:6" x14ac:dyDescent="0.35">
      <c r="B125" s="231"/>
      <c r="C125" s="231"/>
      <c r="D125" s="231"/>
      <c r="E125" s="8"/>
      <c r="F125" s="8"/>
    </row>
  </sheetData>
  <dataValidations count="1">
    <dataValidation type="list" allowBlank="1" showInputMessage="1" showErrorMessage="1" sqref="B3" xr:uid="{C7172A72-6F25-3345-89DB-142E0F0EE007}">
      <formula1>$H$4:$H$5</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3250" r:id="rId3" name="Button 2">
              <controlPr defaultSize="0" print="0" autoFill="0" autoPict="0" macro="[0]!Macro4">
                <anchor moveWithCells="1" sizeWithCells="1">
                  <from>
                    <xdr:col>4</xdr:col>
                    <xdr:colOff>736600</xdr:colOff>
                    <xdr:row>1</xdr:row>
                    <xdr:rowOff>25400</xdr:rowOff>
                  </from>
                  <to>
                    <xdr:col>6</xdr:col>
                    <xdr:colOff>12700</xdr:colOff>
                    <xdr:row>2</xdr:row>
                    <xdr:rowOff>203200</xdr:rowOff>
                  </to>
                </anchor>
              </controlPr>
            </control>
          </mc:Choice>
        </mc:AlternateContent>
      </controls>
    </mc:Choice>
  </mc:AlternateContent>
  <tableParts count="1">
    <tablePart r:id="rId4"/>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32A9-CF7F-6745-BF91-6C4AAA04D2F5}">
  <sheetPr codeName="Sheet26">
    <tabColor theme="8" tint="0.39997558519241921"/>
  </sheetPr>
  <dimension ref="B4:F127"/>
  <sheetViews>
    <sheetView zoomScale="176" zoomScaleNormal="214" workbookViewId="0">
      <selection activeCell="H10" sqref="H10"/>
    </sheetView>
  </sheetViews>
  <sheetFormatPr defaultColWidth="10.83203125" defaultRowHeight="15.5" x14ac:dyDescent="0.35"/>
  <cols>
    <col min="1" max="1" width="10.83203125" style="187"/>
    <col min="2" max="2" width="13.83203125" style="187" customWidth="1"/>
    <col min="3" max="3" width="10.83203125" style="187"/>
    <col min="4" max="4" width="12" style="187" customWidth="1"/>
    <col min="5" max="5" width="14.33203125" style="187" customWidth="1"/>
    <col min="6" max="6" width="16" style="187" customWidth="1"/>
    <col min="7" max="16384" width="10.83203125" style="187"/>
  </cols>
  <sheetData>
    <row r="4" spans="2:6" x14ac:dyDescent="0.35">
      <c r="B4" s="234" t="s">
        <v>17</v>
      </c>
      <c r="D4" s="187" t="s">
        <v>198</v>
      </c>
    </row>
    <row r="5" spans="2:6" x14ac:dyDescent="0.35">
      <c r="B5" s="230" t="s">
        <v>198</v>
      </c>
      <c r="D5" s="187" t="s">
        <v>199</v>
      </c>
    </row>
    <row r="7" spans="2:6" x14ac:dyDescent="0.35">
      <c r="B7" s="234" t="s">
        <v>0</v>
      </c>
      <c r="C7" s="234" t="s">
        <v>5</v>
      </c>
      <c r="D7" s="234" t="s">
        <v>419</v>
      </c>
      <c r="E7" s="234" t="s">
        <v>17</v>
      </c>
      <c r="F7" s="234" t="s">
        <v>7</v>
      </c>
    </row>
    <row r="8" spans="2:6" ht="31" x14ac:dyDescent="0.35">
      <c r="B8" s="205">
        <v>44958</v>
      </c>
      <c r="C8" s="193" t="s">
        <v>162</v>
      </c>
      <c r="D8" s="193" t="s">
        <v>196</v>
      </c>
      <c r="E8" s="193" t="s">
        <v>198</v>
      </c>
      <c r="F8" s="206" t="s">
        <v>519</v>
      </c>
    </row>
    <row r="9" spans="2:6" ht="31" x14ac:dyDescent="0.35">
      <c r="B9" s="205">
        <v>44986</v>
      </c>
      <c r="C9" s="193" t="s">
        <v>163</v>
      </c>
      <c r="D9" s="193" t="s">
        <v>196</v>
      </c>
      <c r="E9" s="193" t="s">
        <v>198</v>
      </c>
      <c r="F9" s="206" t="s">
        <v>519</v>
      </c>
    </row>
    <row r="10" spans="2:6" ht="31" x14ac:dyDescent="0.35">
      <c r="B10" s="205">
        <v>44986</v>
      </c>
      <c r="C10" s="193" t="s">
        <v>162</v>
      </c>
      <c r="D10" s="193" t="s">
        <v>196</v>
      </c>
      <c r="E10" s="193" t="s">
        <v>198</v>
      </c>
      <c r="F10" s="206" t="s">
        <v>519</v>
      </c>
    </row>
    <row r="11" spans="2:6" ht="31" x14ac:dyDescent="0.35">
      <c r="B11" s="205">
        <v>45017</v>
      </c>
      <c r="C11" s="193" t="s">
        <v>163</v>
      </c>
      <c r="D11" s="193" t="s">
        <v>197</v>
      </c>
      <c r="E11" s="193" t="s">
        <v>198</v>
      </c>
      <c r="F11" s="206" t="s">
        <v>519</v>
      </c>
    </row>
    <row r="12" spans="2:6" ht="31" x14ac:dyDescent="0.35">
      <c r="B12" s="205">
        <v>45017</v>
      </c>
      <c r="C12" s="193" t="s">
        <v>163</v>
      </c>
      <c r="D12" s="193" t="s">
        <v>197</v>
      </c>
      <c r="E12" s="193" t="s">
        <v>198</v>
      </c>
      <c r="F12" s="206" t="s">
        <v>519</v>
      </c>
    </row>
    <row r="13" spans="2:6" ht="31" x14ac:dyDescent="0.35">
      <c r="B13" s="205">
        <v>45017</v>
      </c>
      <c r="C13" s="193" t="s">
        <v>162</v>
      </c>
      <c r="D13" s="193" t="s">
        <v>196</v>
      </c>
      <c r="E13" s="193" t="s">
        <v>198</v>
      </c>
      <c r="F13" s="206" t="s">
        <v>519</v>
      </c>
    </row>
    <row r="14" spans="2:6" ht="31" x14ac:dyDescent="0.35">
      <c r="B14" s="205">
        <v>45047</v>
      </c>
      <c r="C14" s="193" t="s">
        <v>163</v>
      </c>
      <c r="D14" s="193" t="s">
        <v>196</v>
      </c>
      <c r="E14" s="193" t="s">
        <v>198</v>
      </c>
      <c r="F14" s="206" t="s">
        <v>519</v>
      </c>
    </row>
    <row r="15" spans="2:6" ht="31" x14ac:dyDescent="0.35">
      <c r="B15" s="205">
        <v>45078</v>
      </c>
      <c r="C15" s="193" t="s">
        <v>163</v>
      </c>
      <c r="D15" s="193" t="s">
        <v>196</v>
      </c>
      <c r="E15" s="193" t="s">
        <v>198</v>
      </c>
      <c r="F15" s="206" t="s">
        <v>519</v>
      </c>
    </row>
    <row r="16" spans="2:6" ht="31" x14ac:dyDescent="0.35">
      <c r="B16" s="205">
        <v>45078</v>
      </c>
      <c r="C16" s="193" t="s">
        <v>162</v>
      </c>
      <c r="D16" s="193" t="s">
        <v>196</v>
      </c>
      <c r="E16" s="193" t="s">
        <v>198</v>
      </c>
      <c r="F16" s="206" t="s">
        <v>519</v>
      </c>
    </row>
    <row r="17" spans="2:6" ht="31" x14ac:dyDescent="0.35">
      <c r="B17" s="205">
        <v>45078</v>
      </c>
      <c r="C17" s="193" t="s">
        <v>162</v>
      </c>
      <c r="D17" s="193" t="s">
        <v>197</v>
      </c>
      <c r="E17" s="193" t="s">
        <v>198</v>
      </c>
      <c r="F17" s="206" t="s">
        <v>519</v>
      </c>
    </row>
    <row r="18" spans="2:6" ht="31" x14ac:dyDescent="0.35">
      <c r="B18" s="205">
        <v>45078</v>
      </c>
      <c r="C18" s="193" t="s">
        <v>163</v>
      </c>
      <c r="D18" s="193" t="s">
        <v>197</v>
      </c>
      <c r="E18" s="193" t="s">
        <v>198</v>
      </c>
      <c r="F18" s="206" t="s">
        <v>519</v>
      </c>
    </row>
    <row r="19" spans="2:6" ht="31" x14ac:dyDescent="0.35">
      <c r="B19" s="205">
        <v>45078</v>
      </c>
      <c r="C19" s="193" t="s">
        <v>162</v>
      </c>
      <c r="D19" s="193" t="s">
        <v>197</v>
      </c>
      <c r="E19" s="193" t="s">
        <v>198</v>
      </c>
      <c r="F19" s="206" t="s">
        <v>519</v>
      </c>
    </row>
    <row r="20" spans="2:6" ht="31" x14ac:dyDescent="0.35">
      <c r="B20" s="205">
        <v>45078</v>
      </c>
      <c r="C20" s="193" t="s">
        <v>162</v>
      </c>
      <c r="D20" s="193" t="s">
        <v>196</v>
      </c>
      <c r="E20" s="193" t="s">
        <v>198</v>
      </c>
      <c r="F20" s="206" t="s">
        <v>519</v>
      </c>
    </row>
    <row r="21" spans="2:6" ht="31" x14ac:dyDescent="0.35">
      <c r="B21" s="205">
        <v>45078</v>
      </c>
      <c r="C21" s="193" t="s">
        <v>162</v>
      </c>
      <c r="D21" s="193" t="s">
        <v>196</v>
      </c>
      <c r="E21" s="193" t="s">
        <v>198</v>
      </c>
      <c r="F21" s="206" t="s">
        <v>519</v>
      </c>
    </row>
    <row r="22" spans="2:6" ht="31" x14ac:dyDescent="0.35">
      <c r="B22" s="205">
        <v>45078</v>
      </c>
      <c r="C22" s="193" t="s">
        <v>162</v>
      </c>
      <c r="D22" s="193" t="s">
        <v>196</v>
      </c>
      <c r="E22" s="193" t="s">
        <v>198</v>
      </c>
      <c r="F22" s="206" t="s">
        <v>519</v>
      </c>
    </row>
    <row r="23" spans="2:6" ht="31" x14ac:dyDescent="0.35">
      <c r="B23" s="205">
        <v>45078</v>
      </c>
      <c r="C23" s="193" t="s">
        <v>163</v>
      </c>
      <c r="D23" s="193" t="s">
        <v>196</v>
      </c>
      <c r="E23" s="193" t="s">
        <v>198</v>
      </c>
      <c r="F23" s="206" t="s">
        <v>519</v>
      </c>
    </row>
    <row r="24" spans="2:6" ht="31" x14ac:dyDescent="0.35">
      <c r="B24" s="205">
        <v>45108</v>
      </c>
      <c r="C24" s="193" t="s">
        <v>162</v>
      </c>
      <c r="D24" s="193" t="s">
        <v>196</v>
      </c>
      <c r="E24" s="193" t="s">
        <v>198</v>
      </c>
      <c r="F24" s="206" t="s">
        <v>519</v>
      </c>
    </row>
    <row r="25" spans="2:6" ht="31" x14ac:dyDescent="0.35">
      <c r="B25" s="205">
        <v>45108</v>
      </c>
      <c r="C25" s="193" t="s">
        <v>162</v>
      </c>
      <c r="D25" s="193" t="s">
        <v>196</v>
      </c>
      <c r="E25" s="193" t="s">
        <v>198</v>
      </c>
      <c r="F25" s="206" t="s">
        <v>519</v>
      </c>
    </row>
    <row r="26" spans="2:6" ht="31" x14ac:dyDescent="0.35">
      <c r="B26" s="205">
        <v>45170</v>
      </c>
      <c r="C26" s="193" t="s">
        <v>163</v>
      </c>
      <c r="D26" s="193" t="s">
        <v>197</v>
      </c>
      <c r="E26" s="193" t="s">
        <v>198</v>
      </c>
      <c r="F26" s="206" t="s">
        <v>519</v>
      </c>
    </row>
    <row r="27" spans="2:6" ht="31" x14ac:dyDescent="0.35">
      <c r="B27" s="205">
        <v>45170</v>
      </c>
      <c r="C27" s="193" t="s">
        <v>162</v>
      </c>
      <c r="D27" s="193" t="s">
        <v>197</v>
      </c>
      <c r="E27" s="193" t="s">
        <v>198</v>
      </c>
      <c r="F27" s="206" t="s">
        <v>519</v>
      </c>
    </row>
    <row r="28" spans="2:6" ht="31" x14ac:dyDescent="0.35">
      <c r="B28" s="205">
        <v>45170</v>
      </c>
      <c r="C28" s="193" t="s">
        <v>162</v>
      </c>
      <c r="D28" s="193" t="s">
        <v>196</v>
      </c>
      <c r="E28" s="193" t="s">
        <v>198</v>
      </c>
      <c r="F28" s="206" t="s">
        <v>519</v>
      </c>
    </row>
    <row r="29" spans="2:6" ht="31" x14ac:dyDescent="0.35">
      <c r="B29" s="205">
        <v>45170</v>
      </c>
      <c r="C29" s="193" t="s">
        <v>162</v>
      </c>
      <c r="D29" s="193" t="s">
        <v>196</v>
      </c>
      <c r="E29" s="193" t="s">
        <v>198</v>
      </c>
      <c r="F29" s="206" t="s">
        <v>519</v>
      </c>
    </row>
    <row r="30" spans="2:6" ht="31" x14ac:dyDescent="0.35">
      <c r="B30" s="205">
        <v>45200</v>
      </c>
      <c r="C30" s="193" t="s">
        <v>163</v>
      </c>
      <c r="D30" s="193" t="s">
        <v>196</v>
      </c>
      <c r="E30" s="193" t="s">
        <v>198</v>
      </c>
      <c r="F30" s="206" t="s">
        <v>519</v>
      </c>
    </row>
    <row r="31" spans="2:6" ht="31" x14ac:dyDescent="0.35">
      <c r="B31" s="207" t="s">
        <v>18</v>
      </c>
      <c r="C31" s="193" t="s">
        <v>162</v>
      </c>
      <c r="D31" s="193" t="s">
        <v>197</v>
      </c>
      <c r="E31" s="193" t="s">
        <v>198</v>
      </c>
      <c r="F31" s="206" t="s">
        <v>519</v>
      </c>
    </row>
    <row r="32" spans="2:6" ht="31" x14ac:dyDescent="0.35">
      <c r="B32" s="207" t="s">
        <v>21</v>
      </c>
      <c r="C32" s="193" t="s">
        <v>163</v>
      </c>
      <c r="D32" s="193" t="s">
        <v>196</v>
      </c>
      <c r="E32" s="193" t="s">
        <v>198</v>
      </c>
      <c r="F32" s="206" t="s">
        <v>519</v>
      </c>
    </row>
    <row r="33" spans="2:6" ht="31" x14ac:dyDescent="0.35">
      <c r="B33" s="207" t="s">
        <v>21</v>
      </c>
      <c r="C33" s="193" t="s">
        <v>162</v>
      </c>
      <c r="D33" s="193" t="s">
        <v>196</v>
      </c>
      <c r="E33" s="193" t="s">
        <v>198</v>
      </c>
      <c r="F33" s="206" t="s">
        <v>519</v>
      </c>
    </row>
    <row r="34" spans="2:6" ht="31" x14ac:dyDescent="0.35">
      <c r="B34" s="207" t="s">
        <v>22</v>
      </c>
      <c r="C34" s="193" t="s">
        <v>163</v>
      </c>
      <c r="D34" s="193" t="s">
        <v>196</v>
      </c>
      <c r="E34" s="193" t="s">
        <v>198</v>
      </c>
      <c r="F34" s="206" t="s">
        <v>519</v>
      </c>
    </row>
    <row r="35" spans="2:6" ht="31" x14ac:dyDescent="0.35">
      <c r="B35" s="207" t="s">
        <v>23</v>
      </c>
      <c r="C35" s="193" t="s">
        <v>163</v>
      </c>
      <c r="D35" s="193" t="s">
        <v>196</v>
      </c>
      <c r="E35" s="193" t="s">
        <v>198</v>
      </c>
      <c r="F35" s="206" t="s">
        <v>519</v>
      </c>
    </row>
    <row r="36" spans="2:6" ht="31" x14ac:dyDescent="0.35">
      <c r="B36" s="207" t="s">
        <v>23</v>
      </c>
      <c r="C36" s="193" t="s">
        <v>163</v>
      </c>
      <c r="D36" s="193" t="s">
        <v>196</v>
      </c>
      <c r="E36" s="193" t="s">
        <v>198</v>
      </c>
      <c r="F36" s="206" t="s">
        <v>519</v>
      </c>
    </row>
    <row r="37" spans="2:6" ht="31" x14ac:dyDescent="0.35">
      <c r="B37" s="207" t="s">
        <v>23</v>
      </c>
      <c r="C37" s="193" t="s">
        <v>163</v>
      </c>
      <c r="D37" s="193" t="s">
        <v>196</v>
      </c>
      <c r="E37" s="193" t="s">
        <v>198</v>
      </c>
      <c r="F37" s="206" t="s">
        <v>519</v>
      </c>
    </row>
    <row r="38" spans="2:6" ht="31" x14ac:dyDescent="0.35">
      <c r="B38" s="207" t="s">
        <v>24</v>
      </c>
      <c r="C38" s="193" t="s">
        <v>163</v>
      </c>
      <c r="D38" s="193" t="s">
        <v>196</v>
      </c>
      <c r="E38" s="193" t="s">
        <v>198</v>
      </c>
      <c r="F38" s="206" t="s">
        <v>519</v>
      </c>
    </row>
    <row r="39" spans="2:6" ht="31" x14ac:dyDescent="0.35">
      <c r="B39" s="207" t="s">
        <v>27</v>
      </c>
      <c r="C39" s="193" t="s">
        <v>162</v>
      </c>
      <c r="D39" s="193" t="s">
        <v>197</v>
      </c>
      <c r="E39" s="193" t="s">
        <v>198</v>
      </c>
      <c r="F39" s="206" t="s">
        <v>519</v>
      </c>
    </row>
    <row r="40" spans="2:6" ht="31" x14ac:dyDescent="0.35">
      <c r="B40" s="207" t="s">
        <v>27</v>
      </c>
      <c r="C40" s="193" t="s">
        <v>162</v>
      </c>
      <c r="D40" s="193" t="s">
        <v>196</v>
      </c>
      <c r="E40" s="193" t="s">
        <v>198</v>
      </c>
      <c r="F40" s="206" t="s">
        <v>519</v>
      </c>
    </row>
    <row r="41" spans="2:6" ht="31" x14ac:dyDescent="0.35">
      <c r="B41" s="207" t="s">
        <v>28</v>
      </c>
      <c r="C41" s="193" t="s">
        <v>162</v>
      </c>
      <c r="D41" s="193" t="s">
        <v>196</v>
      </c>
      <c r="E41" s="193" t="s">
        <v>198</v>
      </c>
      <c r="F41" s="206" t="s">
        <v>519</v>
      </c>
    </row>
    <row r="42" spans="2:6" ht="31" x14ac:dyDescent="0.35">
      <c r="B42" s="207" t="s">
        <v>28</v>
      </c>
      <c r="C42" s="193" t="s">
        <v>162</v>
      </c>
      <c r="D42" s="193" t="s">
        <v>196</v>
      </c>
      <c r="E42" s="193" t="s">
        <v>198</v>
      </c>
      <c r="F42" s="206" t="s">
        <v>519</v>
      </c>
    </row>
    <row r="43" spans="2:6" ht="31" x14ac:dyDescent="0.35">
      <c r="B43" s="207" t="s">
        <v>28</v>
      </c>
      <c r="C43" s="193" t="s">
        <v>162</v>
      </c>
      <c r="D43" s="193" t="s">
        <v>197</v>
      </c>
      <c r="E43" s="193" t="s">
        <v>198</v>
      </c>
      <c r="F43" s="206" t="s">
        <v>519</v>
      </c>
    </row>
    <row r="44" spans="2:6" ht="31" x14ac:dyDescent="0.35">
      <c r="B44" s="207" t="s">
        <v>28</v>
      </c>
      <c r="C44" s="193" t="s">
        <v>162</v>
      </c>
      <c r="D44" s="193" t="s">
        <v>196</v>
      </c>
      <c r="E44" s="193" t="s">
        <v>198</v>
      </c>
      <c r="F44" s="206" t="s">
        <v>519</v>
      </c>
    </row>
    <row r="45" spans="2:6" ht="31" x14ac:dyDescent="0.35">
      <c r="B45" s="207" t="s">
        <v>29</v>
      </c>
      <c r="C45" s="193" t="s">
        <v>162</v>
      </c>
      <c r="D45" s="193" t="s">
        <v>196</v>
      </c>
      <c r="E45" s="193" t="s">
        <v>198</v>
      </c>
      <c r="F45" s="206" t="s">
        <v>519</v>
      </c>
    </row>
    <row r="46" spans="2:6" ht="31" x14ac:dyDescent="0.35">
      <c r="B46" s="207" t="s">
        <v>29</v>
      </c>
      <c r="C46" s="193" t="s">
        <v>163</v>
      </c>
      <c r="D46" s="193" t="s">
        <v>196</v>
      </c>
      <c r="E46" s="193" t="s">
        <v>198</v>
      </c>
      <c r="F46" s="206" t="s">
        <v>519</v>
      </c>
    </row>
    <row r="47" spans="2:6" ht="31" x14ac:dyDescent="0.35">
      <c r="B47" s="207" t="s">
        <v>29</v>
      </c>
      <c r="C47" s="193" t="s">
        <v>162</v>
      </c>
      <c r="D47" s="193" t="s">
        <v>197</v>
      </c>
      <c r="E47" s="193" t="s">
        <v>198</v>
      </c>
      <c r="F47" s="206" t="s">
        <v>519</v>
      </c>
    </row>
    <row r="48" spans="2:6" ht="31" x14ac:dyDescent="0.35">
      <c r="B48" s="207" t="s">
        <v>30</v>
      </c>
      <c r="C48" s="193" t="s">
        <v>162</v>
      </c>
      <c r="D48" s="193" t="s">
        <v>196</v>
      </c>
      <c r="E48" s="193" t="s">
        <v>198</v>
      </c>
      <c r="F48" s="206" t="s">
        <v>519</v>
      </c>
    </row>
    <row r="49" spans="2:6" ht="31" x14ac:dyDescent="0.35">
      <c r="B49" s="207" t="s">
        <v>34</v>
      </c>
      <c r="C49" s="193" t="s">
        <v>163</v>
      </c>
      <c r="D49" s="193" t="s">
        <v>196</v>
      </c>
      <c r="E49" s="193" t="s">
        <v>198</v>
      </c>
      <c r="F49" s="206" t="s">
        <v>519</v>
      </c>
    </row>
    <row r="50" spans="2:6" ht="31" x14ac:dyDescent="0.35">
      <c r="B50" s="207" t="s">
        <v>35</v>
      </c>
      <c r="C50" s="193" t="s">
        <v>163</v>
      </c>
      <c r="D50" s="193" t="s">
        <v>196</v>
      </c>
      <c r="E50" s="193" t="s">
        <v>198</v>
      </c>
      <c r="F50" s="206" t="s">
        <v>519</v>
      </c>
    </row>
    <row r="51" spans="2:6" ht="31" x14ac:dyDescent="0.35">
      <c r="B51" s="207" t="s">
        <v>35</v>
      </c>
      <c r="C51" s="193" t="s">
        <v>162</v>
      </c>
      <c r="D51" s="193" t="s">
        <v>196</v>
      </c>
      <c r="E51" s="193" t="s">
        <v>198</v>
      </c>
      <c r="F51" s="206" t="s">
        <v>519</v>
      </c>
    </row>
    <row r="52" spans="2:6" ht="31" x14ac:dyDescent="0.35">
      <c r="B52" s="207" t="s">
        <v>35</v>
      </c>
      <c r="C52" s="193" t="s">
        <v>162</v>
      </c>
      <c r="D52" s="193" t="s">
        <v>196</v>
      </c>
      <c r="E52" s="193" t="s">
        <v>198</v>
      </c>
      <c r="F52" s="206" t="s">
        <v>519</v>
      </c>
    </row>
    <row r="53" spans="2:6" ht="31" x14ac:dyDescent="0.35">
      <c r="B53" s="208" t="s">
        <v>36</v>
      </c>
      <c r="C53" s="193" t="s">
        <v>162</v>
      </c>
      <c r="D53" s="193" t="s">
        <v>197</v>
      </c>
      <c r="E53" s="193" t="s">
        <v>198</v>
      </c>
      <c r="F53" s="206" t="s">
        <v>519</v>
      </c>
    </row>
    <row r="54" spans="2:6" ht="31" x14ac:dyDescent="0.35">
      <c r="B54" s="207" t="s">
        <v>36</v>
      </c>
      <c r="C54" s="193" t="s">
        <v>162</v>
      </c>
      <c r="D54" s="193" t="s">
        <v>196</v>
      </c>
      <c r="E54" s="193" t="s">
        <v>198</v>
      </c>
      <c r="F54" s="206" t="s">
        <v>519</v>
      </c>
    </row>
    <row r="55" spans="2:6" ht="31" x14ac:dyDescent="0.35">
      <c r="B55" s="207" t="s">
        <v>36</v>
      </c>
      <c r="C55" s="193" t="s">
        <v>163</v>
      </c>
      <c r="D55" s="193" t="s">
        <v>196</v>
      </c>
      <c r="E55" s="193" t="s">
        <v>198</v>
      </c>
      <c r="F55" s="206" t="s">
        <v>519</v>
      </c>
    </row>
    <row r="56" spans="2:6" ht="31" x14ac:dyDescent="0.35">
      <c r="B56" s="207" t="s">
        <v>36</v>
      </c>
      <c r="C56" s="193" t="s">
        <v>163</v>
      </c>
      <c r="D56" s="193" t="s">
        <v>196</v>
      </c>
      <c r="E56" s="193" t="s">
        <v>198</v>
      </c>
      <c r="F56" s="206" t="s">
        <v>519</v>
      </c>
    </row>
    <row r="57" spans="2:6" ht="31" x14ac:dyDescent="0.35">
      <c r="B57" s="207" t="s">
        <v>36</v>
      </c>
      <c r="C57" s="193" t="s">
        <v>162</v>
      </c>
      <c r="D57" s="193" t="s">
        <v>197</v>
      </c>
      <c r="E57" s="193" t="s">
        <v>198</v>
      </c>
      <c r="F57" s="206" t="s">
        <v>519</v>
      </c>
    </row>
    <row r="58" spans="2:6" ht="31" x14ac:dyDescent="0.35">
      <c r="B58" s="207" t="s">
        <v>36</v>
      </c>
      <c r="C58" s="193" t="s">
        <v>162</v>
      </c>
      <c r="D58" s="193" t="s">
        <v>196</v>
      </c>
      <c r="E58" s="193" t="s">
        <v>198</v>
      </c>
      <c r="F58" s="206" t="s">
        <v>519</v>
      </c>
    </row>
    <row r="59" spans="2:6" ht="31" x14ac:dyDescent="0.35">
      <c r="B59" s="207" t="s">
        <v>32</v>
      </c>
      <c r="C59" s="193" t="s">
        <v>162</v>
      </c>
      <c r="D59" s="193" t="s">
        <v>196</v>
      </c>
      <c r="E59" s="193" t="s">
        <v>198</v>
      </c>
      <c r="F59" s="206" t="s">
        <v>519</v>
      </c>
    </row>
    <row r="60" spans="2:6" ht="31" x14ac:dyDescent="0.35">
      <c r="B60" s="207" t="s">
        <v>32</v>
      </c>
      <c r="C60" s="193" t="s">
        <v>163</v>
      </c>
      <c r="D60" s="193" t="s">
        <v>197</v>
      </c>
      <c r="E60" s="193" t="s">
        <v>198</v>
      </c>
      <c r="F60" s="206" t="s">
        <v>519</v>
      </c>
    </row>
    <row r="61" spans="2:6" ht="31" x14ac:dyDescent="0.35">
      <c r="B61" s="207" t="s">
        <v>32</v>
      </c>
      <c r="C61" s="193" t="s">
        <v>163</v>
      </c>
      <c r="D61" s="193" t="s">
        <v>196</v>
      </c>
      <c r="E61" s="193" t="s">
        <v>198</v>
      </c>
      <c r="F61" s="206" t="s">
        <v>519</v>
      </c>
    </row>
    <row r="62" spans="2:6" ht="31" x14ac:dyDescent="0.35">
      <c r="B62" s="207" t="s">
        <v>37</v>
      </c>
      <c r="C62" s="193" t="s">
        <v>162</v>
      </c>
      <c r="D62" s="193" t="s">
        <v>196</v>
      </c>
      <c r="E62" s="193" t="s">
        <v>198</v>
      </c>
      <c r="F62" s="206" t="s">
        <v>519</v>
      </c>
    </row>
    <row r="63" spans="2:6" ht="31" x14ac:dyDescent="0.35">
      <c r="B63" s="207" t="s">
        <v>37</v>
      </c>
      <c r="C63" s="193" t="s">
        <v>162</v>
      </c>
      <c r="D63" s="193" t="s">
        <v>196</v>
      </c>
      <c r="E63" s="193" t="s">
        <v>198</v>
      </c>
      <c r="F63" s="206" t="s">
        <v>519</v>
      </c>
    </row>
    <row r="64" spans="2:6" ht="31" x14ac:dyDescent="0.35">
      <c r="B64" s="207" t="s">
        <v>37</v>
      </c>
      <c r="C64" s="193" t="s">
        <v>163</v>
      </c>
      <c r="D64" s="193" t="s">
        <v>196</v>
      </c>
      <c r="E64" s="193" t="s">
        <v>198</v>
      </c>
      <c r="F64" s="206" t="s">
        <v>519</v>
      </c>
    </row>
    <row r="65" spans="2:6" ht="31" x14ac:dyDescent="0.35">
      <c r="B65" s="207" t="s">
        <v>38</v>
      </c>
      <c r="C65" s="193" t="s">
        <v>162</v>
      </c>
      <c r="D65" s="193" t="s">
        <v>196</v>
      </c>
      <c r="E65" s="193" t="s">
        <v>198</v>
      </c>
      <c r="F65" s="206" t="s">
        <v>519</v>
      </c>
    </row>
    <row r="66" spans="2:6" ht="31" x14ac:dyDescent="0.35">
      <c r="B66" s="207" t="s">
        <v>38</v>
      </c>
      <c r="C66" s="193" t="s">
        <v>162</v>
      </c>
      <c r="D66" s="193" t="s">
        <v>196</v>
      </c>
      <c r="E66" s="193" t="s">
        <v>198</v>
      </c>
      <c r="F66" s="206" t="s">
        <v>519</v>
      </c>
    </row>
    <row r="67" spans="2:6" x14ac:dyDescent="0.35">
      <c r="B67" s="207"/>
      <c r="C67" s="193"/>
      <c r="D67" s="193"/>
      <c r="E67" s="193"/>
      <c r="F67" s="206"/>
    </row>
    <row r="68" spans="2:6" ht="16" thickBot="1" x14ac:dyDescent="0.4">
      <c r="B68" s="209"/>
      <c r="C68" s="210"/>
      <c r="D68" s="210"/>
      <c r="E68" s="222"/>
      <c r="F68" s="223"/>
    </row>
    <row r="69" spans="2:6" x14ac:dyDescent="0.35">
      <c r="B69" s="207"/>
      <c r="C69" s="193"/>
      <c r="D69" s="193"/>
      <c r="E69" s="193"/>
      <c r="F69" s="206"/>
    </row>
    <row r="70" spans="2:6" x14ac:dyDescent="0.35">
      <c r="B70" s="207"/>
      <c r="C70" s="193"/>
      <c r="D70" s="193"/>
      <c r="E70" s="193"/>
      <c r="F70" s="206"/>
    </row>
    <row r="71" spans="2:6" x14ac:dyDescent="0.35">
      <c r="B71" s="207"/>
      <c r="C71" s="193"/>
      <c r="D71" s="193"/>
      <c r="E71" s="193"/>
      <c r="F71" s="206"/>
    </row>
    <row r="72" spans="2:6" x14ac:dyDescent="0.35">
      <c r="B72" s="207"/>
      <c r="C72" s="193"/>
      <c r="D72" s="193"/>
      <c r="E72" s="193"/>
      <c r="F72" s="206"/>
    </row>
    <row r="73" spans="2:6" x14ac:dyDescent="0.35">
      <c r="B73" s="207"/>
      <c r="C73" s="193"/>
      <c r="D73" s="193"/>
      <c r="E73" s="193"/>
      <c r="F73" s="206"/>
    </row>
    <row r="74" spans="2:6" x14ac:dyDescent="0.35">
      <c r="B74" s="207"/>
      <c r="C74" s="193"/>
      <c r="D74" s="193"/>
      <c r="E74" s="193"/>
      <c r="F74" s="206"/>
    </row>
    <row r="75" spans="2:6" x14ac:dyDescent="0.35">
      <c r="B75" s="207"/>
      <c r="C75" s="193"/>
      <c r="D75" s="193"/>
      <c r="E75" s="193"/>
      <c r="F75" s="206"/>
    </row>
    <row r="76" spans="2:6" x14ac:dyDescent="0.35">
      <c r="B76" s="207"/>
      <c r="C76" s="193"/>
      <c r="D76" s="193"/>
      <c r="E76" s="193"/>
      <c r="F76" s="206"/>
    </row>
    <row r="77" spans="2:6" x14ac:dyDescent="0.35">
      <c r="B77" s="207"/>
      <c r="C77" s="193"/>
      <c r="D77" s="193"/>
      <c r="E77" s="193"/>
      <c r="F77" s="206"/>
    </row>
    <row r="78" spans="2:6" x14ac:dyDescent="0.35">
      <c r="B78" s="207"/>
      <c r="C78" s="193"/>
      <c r="D78" s="193"/>
      <c r="E78" s="193"/>
      <c r="F78" s="206"/>
    </row>
    <row r="79" spans="2:6" x14ac:dyDescent="0.35">
      <c r="B79" s="207"/>
      <c r="C79" s="193"/>
      <c r="D79" s="193"/>
      <c r="E79" s="193"/>
      <c r="F79" s="206"/>
    </row>
    <row r="80" spans="2:6" x14ac:dyDescent="0.35">
      <c r="B80" s="207"/>
      <c r="C80" s="193"/>
      <c r="D80" s="193"/>
      <c r="E80" s="193"/>
      <c r="F80" s="206"/>
    </row>
    <row r="81" spans="2:6" x14ac:dyDescent="0.35">
      <c r="B81" s="207"/>
      <c r="C81" s="193"/>
      <c r="D81" s="193"/>
      <c r="E81" s="193"/>
      <c r="F81" s="206"/>
    </row>
    <row r="82" spans="2:6" x14ac:dyDescent="0.35">
      <c r="B82" s="207"/>
      <c r="C82" s="193"/>
      <c r="D82" s="193"/>
      <c r="E82" s="193"/>
      <c r="F82" s="206"/>
    </row>
    <row r="83" spans="2:6" x14ac:dyDescent="0.35">
      <c r="B83" s="207"/>
      <c r="C83" s="193"/>
      <c r="D83" s="193"/>
      <c r="E83" s="193"/>
      <c r="F83" s="206"/>
    </row>
    <row r="84" spans="2:6" x14ac:dyDescent="0.35">
      <c r="B84" s="207"/>
      <c r="C84" s="193"/>
      <c r="D84" s="193"/>
      <c r="E84" s="193"/>
      <c r="F84" s="206"/>
    </row>
    <row r="85" spans="2:6" x14ac:dyDescent="0.35">
      <c r="B85" s="207"/>
      <c r="C85" s="193"/>
      <c r="D85" s="193"/>
      <c r="E85" s="193"/>
      <c r="F85" s="206"/>
    </row>
    <row r="86" spans="2:6" x14ac:dyDescent="0.35">
      <c r="B86" s="207"/>
      <c r="C86" s="193"/>
      <c r="D86" s="193"/>
      <c r="E86" s="193"/>
      <c r="F86" s="206"/>
    </row>
    <row r="87" spans="2:6" x14ac:dyDescent="0.35">
      <c r="B87" s="207"/>
      <c r="C87" s="193"/>
      <c r="D87" s="193"/>
      <c r="E87" s="193"/>
      <c r="F87" s="206"/>
    </row>
    <row r="88" spans="2:6" x14ac:dyDescent="0.35">
      <c r="B88" s="207"/>
      <c r="C88" s="193"/>
      <c r="D88" s="193"/>
      <c r="E88" s="193"/>
      <c r="F88" s="206"/>
    </row>
    <row r="89" spans="2:6" x14ac:dyDescent="0.35">
      <c r="B89" s="207"/>
      <c r="C89" s="193"/>
      <c r="D89" s="193"/>
      <c r="E89" s="193"/>
      <c r="F89" s="206"/>
    </row>
    <row r="90" spans="2:6" x14ac:dyDescent="0.35">
      <c r="B90" s="207"/>
      <c r="C90" s="193"/>
      <c r="D90" s="193"/>
      <c r="E90" s="193"/>
      <c r="F90" s="206"/>
    </row>
    <row r="91" spans="2:6" x14ac:dyDescent="0.35">
      <c r="B91" s="207"/>
      <c r="C91" s="193"/>
      <c r="D91" s="193"/>
      <c r="E91" s="193"/>
      <c r="F91" s="206"/>
    </row>
    <row r="92" spans="2:6" x14ac:dyDescent="0.35">
      <c r="B92" s="207"/>
      <c r="C92" s="193"/>
      <c r="D92" s="193"/>
      <c r="E92" s="193"/>
      <c r="F92" s="206"/>
    </row>
    <row r="93" spans="2:6" x14ac:dyDescent="0.35">
      <c r="B93" s="207"/>
      <c r="C93" s="193"/>
      <c r="D93" s="193"/>
      <c r="E93" s="193"/>
      <c r="F93" s="206"/>
    </row>
    <row r="94" spans="2:6" x14ac:dyDescent="0.35">
      <c r="B94" s="208"/>
      <c r="C94" s="193"/>
      <c r="D94" s="193"/>
      <c r="E94" s="193"/>
      <c r="F94" s="206"/>
    </row>
    <row r="95" spans="2:6" x14ac:dyDescent="0.35">
      <c r="B95" s="207"/>
      <c r="C95" s="193"/>
      <c r="D95" s="193"/>
      <c r="E95" s="193"/>
      <c r="F95" s="206"/>
    </row>
    <row r="96" spans="2:6" x14ac:dyDescent="0.35">
      <c r="B96" s="207"/>
      <c r="C96" s="193"/>
      <c r="D96" s="193"/>
      <c r="E96" s="193"/>
      <c r="F96" s="206"/>
    </row>
    <row r="97" spans="2:6" x14ac:dyDescent="0.35">
      <c r="B97" s="208"/>
      <c r="C97" s="193"/>
      <c r="D97" s="193"/>
      <c r="E97" s="193"/>
      <c r="F97" s="206"/>
    </row>
    <row r="98" spans="2:6" x14ac:dyDescent="0.35">
      <c r="B98" s="207"/>
      <c r="C98" s="193"/>
      <c r="D98" s="193"/>
      <c r="E98" s="193"/>
      <c r="F98" s="206"/>
    </row>
    <row r="99" spans="2:6" x14ac:dyDescent="0.35">
      <c r="B99" s="207"/>
      <c r="C99" s="193"/>
      <c r="D99" s="193"/>
      <c r="E99" s="193"/>
      <c r="F99" s="206"/>
    </row>
    <row r="100" spans="2:6" x14ac:dyDescent="0.35">
      <c r="B100" s="208"/>
      <c r="C100" s="193"/>
      <c r="D100" s="193"/>
      <c r="E100" s="193"/>
      <c r="F100" s="206"/>
    </row>
    <row r="101" spans="2:6" x14ac:dyDescent="0.35">
      <c r="B101" s="207"/>
      <c r="C101" s="193"/>
      <c r="D101" s="193"/>
      <c r="E101" s="193"/>
      <c r="F101" s="206"/>
    </row>
    <row r="102" spans="2:6" x14ac:dyDescent="0.35">
      <c r="B102" s="207"/>
      <c r="C102" s="193"/>
      <c r="D102" s="193"/>
      <c r="E102" s="193"/>
      <c r="F102" s="206"/>
    </row>
    <row r="103" spans="2:6" x14ac:dyDescent="0.35">
      <c r="B103" s="207"/>
      <c r="C103" s="193"/>
      <c r="D103" s="193"/>
      <c r="E103" s="193"/>
      <c r="F103" s="206"/>
    </row>
    <row r="104" spans="2:6" x14ac:dyDescent="0.35">
      <c r="B104" s="207"/>
      <c r="C104" s="193"/>
      <c r="D104" s="193"/>
      <c r="E104" s="193"/>
      <c r="F104" s="206"/>
    </row>
    <row r="105" spans="2:6" x14ac:dyDescent="0.35">
      <c r="B105" s="207"/>
      <c r="C105" s="193"/>
      <c r="D105" s="193"/>
      <c r="E105" s="193"/>
      <c r="F105" s="206"/>
    </row>
    <row r="106" spans="2:6" x14ac:dyDescent="0.35">
      <c r="B106" s="208"/>
      <c r="C106" s="193"/>
      <c r="D106" s="193"/>
      <c r="E106" s="193"/>
      <c r="F106" s="206"/>
    </row>
    <row r="107" spans="2:6" x14ac:dyDescent="0.35">
      <c r="B107" s="207"/>
      <c r="C107" s="193"/>
      <c r="D107" s="193"/>
      <c r="E107" s="193"/>
      <c r="F107" s="206"/>
    </row>
    <row r="108" spans="2:6" x14ac:dyDescent="0.35">
      <c r="B108" s="207"/>
      <c r="C108" s="193"/>
      <c r="D108" s="193"/>
      <c r="E108" s="193"/>
      <c r="F108" s="206"/>
    </row>
    <row r="109" spans="2:6" x14ac:dyDescent="0.35">
      <c r="B109" s="207"/>
      <c r="C109" s="193"/>
      <c r="D109" s="193"/>
      <c r="E109" s="193"/>
      <c r="F109" s="206"/>
    </row>
    <row r="110" spans="2:6" x14ac:dyDescent="0.35">
      <c r="B110" s="207"/>
      <c r="C110" s="193"/>
      <c r="D110" s="193"/>
      <c r="E110" s="193"/>
      <c r="F110" s="206"/>
    </row>
    <row r="111" spans="2:6" x14ac:dyDescent="0.35">
      <c r="B111" s="207"/>
      <c r="C111" s="193"/>
      <c r="D111" s="193"/>
      <c r="E111" s="193"/>
      <c r="F111" s="206"/>
    </row>
    <row r="112" spans="2:6" x14ac:dyDescent="0.35">
      <c r="B112" s="207"/>
      <c r="C112" s="193"/>
      <c r="D112" s="193"/>
      <c r="E112" s="193"/>
      <c r="F112" s="206"/>
    </row>
    <row r="113" spans="2:6" x14ac:dyDescent="0.35">
      <c r="B113" s="207"/>
      <c r="C113" s="193"/>
      <c r="D113" s="193"/>
      <c r="E113" s="193"/>
      <c r="F113" s="206"/>
    </row>
    <row r="114" spans="2:6" x14ac:dyDescent="0.35">
      <c r="B114" s="207"/>
      <c r="C114" s="193"/>
      <c r="D114" s="193"/>
      <c r="E114" s="193"/>
      <c r="F114" s="206"/>
    </row>
    <row r="115" spans="2:6" x14ac:dyDescent="0.35">
      <c r="B115" s="207"/>
      <c r="C115" s="193"/>
      <c r="D115" s="193"/>
      <c r="E115" s="193"/>
      <c r="F115" s="206"/>
    </row>
    <row r="116" spans="2:6" x14ac:dyDescent="0.35">
      <c r="B116" s="207"/>
      <c r="C116" s="193"/>
      <c r="D116" s="193"/>
      <c r="E116" s="193"/>
      <c r="F116" s="206"/>
    </row>
    <row r="117" spans="2:6" x14ac:dyDescent="0.35">
      <c r="B117" s="207"/>
      <c r="C117" s="193"/>
      <c r="D117" s="193"/>
      <c r="E117" s="193"/>
      <c r="F117" s="206"/>
    </row>
    <row r="118" spans="2:6" x14ac:dyDescent="0.35">
      <c r="B118" s="207"/>
      <c r="C118" s="193"/>
      <c r="D118" s="193"/>
      <c r="E118" s="193"/>
      <c r="F118" s="206"/>
    </row>
    <row r="119" spans="2:6" x14ac:dyDescent="0.35">
      <c r="B119" s="207"/>
      <c r="C119" s="193"/>
      <c r="D119" s="193"/>
      <c r="E119" s="193"/>
      <c r="F119" s="206"/>
    </row>
    <row r="120" spans="2:6" x14ac:dyDescent="0.35">
      <c r="B120" s="207"/>
      <c r="C120" s="193"/>
      <c r="D120" s="193"/>
      <c r="E120" s="193"/>
      <c r="F120" s="206"/>
    </row>
    <row r="121" spans="2:6" x14ac:dyDescent="0.35">
      <c r="B121" s="207"/>
      <c r="C121" s="193"/>
      <c r="D121" s="193"/>
      <c r="E121" s="193"/>
      <c r="F121" s="206"/>
    </row>
    <row r="122" spans="2:6" x14ac:dyDescent="0.35">
      <c r="B122" s="207"/>
      <c r="C122" s="193"/>
      <c r="D122" s="193"/>
      <c r="E122" s="193"/>
      <c r="F122" s="206"/>
    </row>
    <row r="123" spans="2:6" x14ac:dyDescent="0.35">
      <c r="B123" s="207"/>
      <c r="C123" s="193"/>
      <c r="D123" s="193"/>
      <c r="E123" s="193"/>
      <c r="F123" s="206"/>
    </row>
    <row r="124" spans="2:6" x14ac:dyDescent="0.35">
      <c r="B124" s="207"/>
      <c r="C124" s="193"/>
      <c r="D124" s="193"/>
      <c r="E124" s="193"/>
      <c r="F124" s="206"/>
    </row>
    <row r="125" spans="2:6" x14ac:dyDescent="0.35">
      <c r="B125" s="207"/>
      <c r="C125" s="193"/>
      <c r="D125" s="193"/>
      <c r="E125" s="193"/>
      <c r="F125" s="206"/>
    </row>
    <row r="126" spans="2:6" x14ac:dyDescent="0.35">
      <c r="B126" s="207"/>
      <c r="C126" s="193"/>
      <c r="D126" s="193"/>
      <c r="E126" s="193"/>
      <c r="F126" s="206"/>
    </row>
    <row r="127" spans="2:6" ht="16" thickBot="1" x14ac:dyDescent="0.4">
      <c r="B127" s="209"/>
      <c r="C127" s="210"/>
      <c r="D127" s="210"/>
      <c r="E127" s="222"/>
      <c r="F127" s="223"/>
    </row>
  </sheetData>
  <dataValidations count="1">
    <dataValidation type="list" allowBlank="1" showInputMessage="1" showErrorMessage="1" sqref="B5" xr:uid="{FFB2B12E-2384-4C4A-8A08-F5F7173CC0D3}">
      <formula1>$D$4:$D$5</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5297" r:id="rId3" name="Button 1">
              <controlPr defaultSize="0" print="0" autoFill="0" autoPict="0" macro="[0]!Flight">
                <anchor moveWithCells="1" sizeWithCells="1">
                  <from>
                    <xdr:col>4</xdr:col>
                    <xdr:colOff>520700</xdr:colOff>
                    <xdr:row>3</xdr:row>
                    <xdr:rowOff>12700</xdr:rowOff>
                  </from>
                  <to>
                    <xdr:col>5</xdr:col>
                    <xdr:colOff>965200</xdr:colOff>
                    <xdr:row>4</xdr:row>
                    <xdr:rowOff>190500</xdr:rowOff>
                  </to>
                </anchor>
              </controlPr>
            </control>
          </mc:Choice>
        </mc:AlternateContent>
      </controls>
    </mc:Choice>
  </mc:AlternateConten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93B73-CF54-5C4B-AF02-B5DE97FA54C5}">
  <sheetPr>
    <tabColor theme="8" tint="0.39997558519241921"/>
  </sheetPr>
  <dimension ref="A1:G48"/>
  <sheetViews>
    <sheetView showGridLines="0" workbookViewId="0"/>
  </sheetViews>
  <sheetFormatPr defaultColWidth="10.6640625" defaultRowHeight="15.5" x14ac:dyDescent="0.35"/>
  <cols>
    <col min="1" max="1" width="2.33203125" customWidth="1"/>
    <col min="2" max="2" width="8" bestFit="1" customWidth="1"/>
    <col min="3" max="3" width="46.33203125" bestFit="1" customWidth="1"/>
    <col min="4" max="4" width="12.83203125" bestFit="1" customWidth="1"/>
    <col min="5" max="5" width="17" bestFit="1" customWidth="1"/>
    <col min="6" max="6" width="10.83203125" bestFit="1" customWidth="1"/>
    <col min="7" max="7" width="5.5" bestFit="1" customWidth="1"/>
  </cols>
  <sheetData>
    <row r="1" spans="1:5" x14ac:dyDescent="0.35">
      <c r="A1" s="14" t="s">
        <v>1251</v>
      </c>
    </row>
    <row r="2" spans="1:5" x14ac:dyDescent="0.35">
      <c r="A2" s="14" t="s">
        <v>1252</v>
      </c>
    </row>
    <row r="3" spans="1:5" x14ac:dyDescent="0.35">
      <c r="A3" s="14" t="s">
        <v>1253</v>
      </c>
    </row>
    <row r="4" spans="1:5" x14ac:dyDescent="0.35">
      <c r="A4" s="14" t="s">
        <v>529</v>
      </c>
    </row>
    <row r="5" spans="1:5" x14ac:dyDescent="0.35">
      <c r="A5" s="14" t="s">
        <v>530</v>
      </c>
    </row>
    <row r="6" spans="1:5" x14ac:dyDescent="0.35">
      <c r="A6" s="14"/>
      <c r="B6" t="s">
        <v>531</v>
      </c>
    </row>
    <row r="7" spans="1:5" x14ac:dyDescent="0.35">
      <c r="A7" s="14"/>
      <c r="B7" t="s">
        <v>1254</v>
      </c>
    </row>
    <row r="8" spans="1:5" x14ac:dyDescent="0.35">
      <c r="A8" s="14"/>
      <c r="B8" t="s">
        <v>1255</v>
      </c>
    </row>
    <row r="9" spans="1:5" x14ac:dyDescent="0.35">
      <c r="A9" s="14" t="s">
        <v>534</v>
      </c>
    </row>
    <row r="10" spans="1:5" x14ac:dyDescent="0.35">
      <c r="B10" t="s">
        <v>1256</v>
      </c>
    </row>
    <row r="11" spans="1:5" x14ac:dyDescent="0.35">
      <c r="B11" t="s">
        <v>1257</v>
      </c>
    </row>
    <row r="14" spans="1:5" ht="16" thickBot="1" x14ac:dyDescent="0.4">
      <c r="A14" t="s">
        <v>1258</v>
      </c>
    </row>
    <row r="15" spans="1:5" ht="16" thickBot="1" x14ac:dyDescent="0.4">
      <c r="B15" s="68" t="s">
        <v>538</v>
      </c>
      <c r="C15" s="68" t="s">
        <v>539</v>
      </c>
      <c r="D15" s="68" t="s">
        <v>540</v>
      </c>
      <c r="E15" s="68" t="s">
        <v>541</v>
      </c>
    </row>
    <row r="16" spans="1:5" ht="16" thickBot="1" x14ac:dyDescent="0.4">
      <c r="B16" s="67" t="s">
        <v>1259</v>
      </c>
      <c r="C16" s="67" t="s">
        <v>1260</v>
      </c>
      <c r="D16" s="67">
        <v>0</v>
      </c>
      <c r="E16" s="67">
        <v>585400</v>
      </c>
    </row>
    <row r="19" spans="1:6" ht="16" thickBot="1" x14ac:dyDescent="0.4">
      <c r="A19" t="s">
        <v>542</v>
      </c>
    </row>
    <row r="20" spans="1:6" ht="16" thickBot="1" x14ac:dyDescent="0.4">
      <c r="B20" s="68" t="s">
        <v>538</v>
      </c>
      <c r="C20" s="68" t="s">
        <v>539</v>
      </c>
      <c r="D20" s="68" t="s">
        <v>540</v>
      </c>
      <c r="E20" s="68" t="s">
        <v>541</v>
      </c>
      <c r="F20" s="68" t="s">
        <v>543</v>
      </c>
    </row>
    <row r="21" spans="1:6" x14ac:dyDescent="0.35">
      <c r="B21" s="69" t="s">
        <v>1261</v>
      </c>
      <c r="C21" s="69" t="s">
        <v>1262</v>
      </c>
      <c r="D21" s="69">
        <v>0</v>
      </c>
      <c r="E21" s="69">
        <v>0</v>
      </c>
      <c r="F21" s="69" t="s">
        <v>552</v>
      </c>
    </row>
    <row r="22" spans="1:6" x14ac:dyDescent="0.35">
      <c r="B22" s="69" t="s">
        <v>1263</v>
      </c>
      <c r="C22" s="69" t="s">
        <v>1264</v>
      </c>
      <c r="D22" s="69">
        <v>0</v>
      </c>
      <c r="E22" s="69">
        <v>0</v>
      </c>
      <c r="F22" s="69" t="s">
        <v>552</v>
      </c>
    </row>
    <row r="23" spans="1:6" x14ac:dyDescent="0.35">
      <c r="B23" s="69" t="s">
        <v>1265</v>
      </c>
      <c r="C23" s="69" t="s">
        <v>1266</v>
      </c>
      <c r="D23" s="69">
        <v>0</v>
      </c>
      <c r="E23" s="69">
        <v>700</v>
      </c>
      <c r="F23" s="69" t="s">
        <v>552</v>
      </c>
    </row>
    <row r="24" spans="1:6" x14ac:dyDescent="0.35">
      <c r="B24" s="69" t="s">
        <v>1267</v>
      </c>
      <c r="C24" s="69" t="s">
        <v>1268</v>
      </c>
      <c r="D24" s="69">
        <v>0</v>
      </c>
      <c r="E24" s="69">
        <v>0</v>
      </c>
      <c r="F24" s="69" t="s">
        <v>552</v>
      </c>
    </row>
    <row r="25" spans="1:6" x14ac:dyDescent="0.35">
      <c r="B25" s="69" t="s">
        <v>1269</v>
      </c>
      <c r="C25" s="69" t="s">
        <v>1270</v>
      </c>
      <c r="D25" s="69">
        <v>0</v>
      </c>
      <c r="E25" s="69">
        <v>0</v>
      </c>
      <c r="F25" s="69" t="s">
        <v>552</v>
      </c>
    </row>
    <row r="26" spans="1:6" x14ac:dyDescent="0.35">
      <c r="B26" s="69" t="s">
        <v>1271</v>
      </c>
      <c r="C26" s="69" t="s">
        <v>1272</v>
      </c>
      <c r="D26" s="69">
        <v>0</v>
      </c>
      <c r="E26" s="69">
        <v>495</v>
      </c>
      <c r="F26" s="69" t="s">
        <v>552</v>
      </c>
    </row>
    <row r="27" spans="1:6" x14ac:dyDescent="0.35">
      <c r="B27" s="69" t="s">
        <v>1273</v>
      </c>
      <c r="C27" s="69" t="s">
        <v>1274</v>
      </c>
      <c r="D27" s="69">
        <v>0</v>
      </c>
      <c r="E27" s="69">
        <v>155</v>
      </c>
      <c r="F27" s="69" t="s">
        <v>552</v>
      </c>
    </row>
    <row r="28" spans="1:6" x14ac:dyDescent="0.35">
      <c r="B28" s="69" t="s">
        <v>1275</v>
      </c>
      <c r="C28" s="69" t="s">
        <v>1276</v>
      </c>
      <c r="D28" s="69">
        <v>0</v>
      </c>
      <c r="E28" s="69">
        <v>0</v>
      </c>
      <c r="F28" s="69" t="s">
        <v>552</v>
      </c>
    </row>
    <row r="29" spans="1:6" x14ac:dyDescent="0.35">
      <c r="B29" s="69" t="s">
        <v>1277</v>
      </c>
      <c r="C29" s="69" t="s">
        <v>1278</v>
      </c>
      <c r="D29" s="69">
        <v>0</v>
      </c>
      <c r="E29" s="69">
        <v>700</v>
      </c>
      <c r="F29" s="69" t="s">
        <v>552</v>
      </c>
    </row>
    <row r="30" spans="1:6" x14ac:dyDescent="0.35">
      <c r="B30" s="69" t="s">
        <v>1279</v>
      </c>
      <c r="C30" s="69" t="s">
        <v>1280</v>
      </c>
      <c r="D30" s="69">
        <v>0</v>
      </c>
      <c r="E30" s="69">
        <v>0</v>
      </c>
      <c r="F30" s="69" t="s">
        <v>552</v>
      </c>
    </row>
    <row r="31" spans="1:6" x14ac:dyDescent="0.35">
      <c r="B31" s="69" t="s">
        <v>1281</v>
      </c>
      <c r="C31" s="69" t="s">
        <v>1282</v>
      </c>
      <c r="D31" s="69">
        <v>0</v>
      </c>
      <c r="E31" s="69">
        <v>0</v>
      </c>
      <c r="F31" s="69" t="s">
        <v>552</v>
      </c>
    </row>
    <row r="32" spans="1:6" x14ac:dyDescent="0.35">
      <c r="B32" s="69" t="s">
        <v>1283</v>
      </c>
      <c r="C32" s="69" t="s">
        <v>1284</v>
      </c>
      <c r="D32" s="69">
        <v>0</v>
      </c>
      <c r="E32" s="69">
        <v>50</v>
      </c>
      <c r="F32" s="69" t="s">
        <v>552</v>
      </c>
    </row>
    <row r="33" spans="1:7" x14ac:dyDescent="0.35">
      <c r="B33" s="69" t="s">
        <v>1285</v>
      </c>
      <c r="C33" s="69" t="s">
        <v>1286</v>
      </c>
      <c r="D33" s="69">
        <v>0</v>
      </c>
      <c r="E33" s="69">
        <v>0</v>
      </c>
      <c r="F33" s="69" t="s">
        <v>552</v>
      </c>
    </row>
    <row r="34" spans="1:7" x14ac:dyDescent="0.35">
      <c r="B34" s="69" t="s">
        <v>1287</v>
      </c>
      <c r="C34" s="69" t="s">
        <v>1288</v>
      </c>
      <c r="D34" s="69">
        <v>0</v>
      </c>
      <c r="E34" s="69">
        <v>405</v>
      </c>
      <c r="F34" s="69" t="s">
        <v>552</v>
      </c>
    </row>
    <row r="35" spans="1:7" x14ac:dyDescent="0.35">
      <c r="B35" s="69" t="s">
        <v>1289</v>
      </c>
      <c r="C35" s="69" t="s">
        <v>1290</v>
      </c>
      <c r="D35" s="69">
        <v>0</v>
      </c>
      <c r="E35" s="69">
        <v>0</v>
      </c>
      <c r="F35" s="69" t="s">
        <v>552</v>
      </c>
    </row>
    <row r="36" spans="1:7" ht="16" thickBot="1" x14ac:dyDescent="0.4">
      <c r="B36" s="67" t="s">
        <v>1291</v>
      </c>
      <c r="C36" s="67" t="s">
        <v>1292</v>
      </c>
      <c r="D36" s="67">
        <v>0</v>
      </c>
      <c r="E36" s="67">
        <v>445</v>
      </c>
      <c r="F36" s="67" t="s">
        <v>552</v>
      </c>
    </row>
    <row r="39" spans="1:7" ht="16" thickBot="1" x14ac:dyDescent="0.4">
      <c r="A39" t="s">
        <v>544</v>
      </c>
    </row>
    <row r="40" spans="1:7" ht="16" thickBot="1" x14ac:dyDescent="0.4">
      <c r="B40" s="68" t="s">
        <v>538</v>
      </c>
      <c r="C40" s="68" t="s">
        <v>539</v>
      </c>
      <c r="D40" s="68" t="s">
        <v>545</v>
      </c>
      <c r="E40" s="68" t="s">
        <v>546</v>
      </c>
      <c r="F40" s="68" t="s">
        <v>6</v>
      </c>
      <c r="G40" s="68" t="s">
        <v>547</v>
      </c>
    </row>
    <row r="41" spans="1:7" x14ac:dyDescent="0.35">
      <c r="B41" s="69" t="s">
        <v>1293</v>
      </c>
      <c r="C41" s="69" t="s">
        <v>1294</v>
      </c>
      <c r="D41" s="69">
        <v>700</v>
      </c>
      <c r="E41" s="69" t="s">
        <v>1295</v>
      </c>
      <c r="F41" s="69" t="s">
        <v>562</v>
      </c>
      <c r="G41" s="69">
        <v>0</v>
      </c>
    </row>
    <row r="42" spans="1:7" x14ac:dyDescent="0.35">
      <c r="B42" s="69" t="s">
        <v>1296</v>
      </c>
      <c r="C42" s="69" t="s">
        <v>1297</v>
      </c>
      <c r="D42" s="69">
        <v>900</v>
      </c>
      <c r="E42" s="69" t="s">
        <v>1298</v>
      </c>
      <c r="F42" s="69" t="s">
        <v>562</v>
      </c>
      <c r="G42" s="69">
        <v>0</v>
      </c>
    </row>
    <row r="43" spans="1:7" x14ac:dyDescent="0.35">
      <c r="B43" s="69" t="s">
        <v>1299</v>
      </c>
      <c r="C43" s="69" t="s">
        <v>1300</v>
      </c>
      <c r="D43" s="69">
        <v>855</v>
      </c>
      <c r="E43" s="69" t="s">
        <v>1301</v>
      </c>
      <c r="F43" s="69" t="s">
        <v>562</v>
      </c>
      <c r="G43" s="69">
        <v>0</v>
      </c>
    </row>
    <row r="44" spans="1:7" x14ac:dyDescent="0.35">
      <c r="B44" s="69" t="s">
        <v>1302</v>
      </c>
      <c r="C44" s="69" t="s">
        <v>1303</v>
      </c>
      <c r="D44" s="69">
        <v>495</v>
      </c>
      <c r="E44" s="69" t="s">
        <v>1304</v>
      </c>
      <c r="F44" s="69" t="s">
        <v>568</v>
      </c>
      <c r="G44" s="69">
        <v>260</v>
      </c>
    </row>
    <row r="45" spans="1:7" x14ac:dyDescent="0.35">
      <c r="B45" s="69" t="s">
        <v>1305</v>
      </c>
      <c r="C45" s="69" t="s">
        <v>1237</v>
      </c>
      <c r="D45" s="69">
        <v>700</v>
      </c>
      <c r="E45" s="69" t="s">
        <v>1306</v>
      </c>
      <c r="F45" s="69" t="s">
        <v>562</v>
      </c>
      <c r="G45" s="69">
        <v>0</v>
      </c>
    </row>
    <row r="46" spans="1:7" x14ac:dyDescent="0.35">
      <c r="B46" s="69" t="s">
        <v>1307</v>
      </c>
      <c r="C46" s="69" t="s">
        <v>1238</v>
      </c>
      <c r="D46" s="69">
        <v>650</v>
      </c>
      <c r="E46" s="69" t="s">
        <v>1308</v>
      </c>
      <c r="F46" s="69" t="s">
        <v>562</v>
      </c>
      <c r="G46" s="69">
        <v>0</v>
      </c>
    </row>
    <row r="47" spans="1:7" x14ac:dyDescent="0.35">
      <c r="B47" s="69" t="s">
        <v>1309</v>
      </c>
      <c r="C47" s="69" t="s">
        <v>1239</v>
      </c>
      <c r="D47" s="69">
        <v>750</v>
      </c>
      <c r="E47" s="69" t="s">
        <v>1310</v>
      </c>
      <c r="F47" s="69" t="s">
        <v>562</v>
      </c>
      <c r="G47" s="69">
        <v>0</v>
      </c>
    </row>
    <row r="48" spans="1:7" ht="16" thickBot="1" x14ac:dyDescent="0.4">
      <c r="B48" s="67" t="s">
        <v>1311</v>
      </c>
      <c r="C48" s="67" t="s">
        <v>1240</v>
      </c>
      <c r="D48" s="67">
        <v>850</v>
      </c>
      <c r="E48" s="67" t="s">
        <v>1312</v>
      </c>
      <c r="F48" s="67" t="s">
        <v>562</v>
      </c>
      <c r="G48" s="67">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766E-C4B3-7D45-92BD-6D9DA28E9346}">
  <sheetPr codeName="Sheet24">
    <tabColor theme="8" tint="0.39997558519241921"/>
  </sheetPr>
  <dimension ref="A2:BJ212"/>
  <sheetViews>
    <sheetView zoomScale="82" workbookViewId="0">
      <selection sqref="A1:XFD1048576"/>
    </sheetView>
  </sheetViews>
  <sheetFormatPr defaultColWidth="10.83203125" defaultRowHeight="21" customHeight="1" x14ac:dyDescent="0.35"/>
  <cols>
    <col min="3" max="3" width="25.83203125" customWidth="1"/>
    <col min="4" max="4" width="8.83203125" customWidth="1"/>
    <col min="5" max="5" width="13.33203125" customWidth="1"/>
    <col min="6" max="6" width="13.83203125" style="6" customWidth="1"/>
    <col min="7" max="7" width="10.83203125" style="6"/>
    <col min="8" max="8" width="25.6640625" bestFit="1" customWidth="1"/>
    <col min="9" max="9" width="31.5" customWidth="1"/>
    <col min="11" max="11" width="10.5" style="6" customWidth="1"/>
    <col min="12" max="12" width="13.33203125" style="17" customWidth="1"/>
    <col min="14" max="14" width="13.83203125" style="47" customWidth="1"/>
    <col min="15" max="15" width="17.6640625" customWidth="1"/>
    <col min="17" max="17" width="15" customWidth="1"/>
    <col min="18" max="18" width="29.5" bestFit="1" customWidth="1"/>
    <col min="19" max="19" width="18.33203125" customWidth="1"/>
    <col min="20" max="20" width="29" customWidth="1"/>
    <col min="21" max="21" width="26.1640625" bestFit="1" customWidth="1"/>
    <col min="22" max="22" width="15.1640625" bestFit="1" customWidth="1"/>
    <col min="27" max="27" width="10.83203125" style="84"/>
    <col min="29" max="29" width="22" customWidth="1"/>
    <col min="30" max="30" width="19.33203125" customWidth="1"/>
    <col min="31" max="31" width="18.6640625" customWidth="1"/>
    <col min="32" max="32" width="26.1640625" bestFit="1" customWidth="1"/>
    <col min="33" max="33" width="18.83203125" customWidth="1"/>
    <col min="36" max="36" width="21.83203125" customWidth="1"/>
    <col min="37" max="37" width="18.83203125" customWidth="1"/>
    <col min="38" max="38" width="19.1640625" customWidth="1"/>
    <col min="39" max="39" width="26.1640625" bestFit="1" customWidth="1"/>
    <col min="40" max="40" width="10" bestFit="1" customWidth="1"/>
    <col min="43" max="43" width="25.6640625" bestFit="1" customWidth="1"/>
    <col min="44" max="44" width="29.5" bestFit="1" customWidth="1"/>
    <col min="47" max="47" width="12.1640625" bestFit="1" customWidth="1"/>
    <col min="50" max="50" width="10.6640625"/>
    <col min="51" max="51" width="12.1640625" style="6" customWidth="1"/>
    <col min="52" max="52" width="25.6640625" bestFit="1" customWidth="1"/>
    <col min="53" max="53" width="31.5" customWidth="1"/>
    <col min="54" max="54" width="11.1640625" style="6" customWidth="1"/>
    <col min="55" max="55" width="13.33203125" style="17" customWidth="1"/>
    <col min="57" max="58" width="17.6640625" customWidth="1"/>
    <col min="59" max="59" width="25.6640625" bestFit="1" customWidth="1"/>
    <col min="60" max="61" width="13.1640625" customWidth="1"/>
    <col min="62" max="62" width="14.5" customWidth="1"/>
  </cols>
  <sheetData>
    <row r="2" spans="1:62" ht="21" customHeight="1" x14ac:dyDescent="0.35">
      <c r="B2" s="262" t="s">
        <v>1099</v>
      </c>
      <c r="C2" s="262"/>
      <c r="D2" s="262"/>
      <c r="E2" s="262"/>
      <c r="F2" s="262"/>
      <c r="G2" s="262"/>
      <c r="H2" s="262"/>
      <c r="I2" s="262"/>
      <c r="J2" s="262"/>
      <c r="K2" s="262"/>
      <c r="L2" s="262"/>
      <c r="M2" s="262"/>
      <c r="AY2"/>
      <c r="BB2"/>
      <c r="BC2"/>
    </row>
    <row r="3" spans="1:62" s="13" customFormat="1" ht="21" customHeight="1" x14ac:dyDescent="0.35">
      <c r="B3" s="13" t="s">
        <v>1002</v>
      </c>
      <c r="C3" s="13" t="s">
        <v>999</v>
      </c>
      <c r="D3" s="13" t="s">
        <v>5</v>
      </c>
      <c r="E3" s="13" t="s">
        <v>1001</v>
      </c>
      <c r="F3" s="13" t="s">
        <v>1000</v>
      </c>
      <c r="G3" s="13" t="s">
        <v>992</v>
      </c>
      <c r="H3" s="13" t="s">
        <v>993</v>
      </c>
      <c r="I3" s="13" t="s">
        <v>991</v>
      </c>
      <c r="J3" s="13" t="s">
        <v>994</v>
      </c>
      <c r="K3" s="13" t="s">
        <v>996</v>
      </c>
      <c r="L3" s="236" t="s">
        <v>998</v>
      </c>
      <c r="M3" s="13" t="s">
        <v>997</v>
      </c>
      <c r="N3" s="13" t="s">
        <v>1098</v>
      </c>
      <c r="O3" s="13" t="s">
        <v>580</v>
      </c>
      <c r="Q3" s="13" t="s">
        <v>1000</v>
      </c>
      <c r="S3" s="14" t="s">
        <v>992</v>
      </c>
      <c r="AA3" s="85"/>
      <c r="AY3" s="13" t="s">
        <v>992</v>
      </c>
      <c r="AZ3" s="13" t="s">
        <v>993</v>
      </c>
      <c r="BA3" s="13" t="s">
        <v>991</v>
      </c>
      <c r="BB3" s="13" t="s">
        <v>996</v>
      </c>
      <c r="BC3" s="236" t="s">
        <v>998</v>
      </c>
      <c r="BD3" s="13" t="s">
        <v>997</v>
      </c>
      <c r="BE3" s="13" t="s">
        <v>580</v>
      </c>
      <c r="BG3" s="13" t="s">
        <v>993</v>
      </c>
      <c r="BH3" s="13" t="s">
        <v>1313</v>
      </c>
      <c r="BI3" s="13" t="s">
        <v>1314</v>
      </c>
      <c r="BJ3" s="13" t="s">
        <v>1315</v>
      </c>
    </row>
    <row r="4" spans="1:62" ht="21" customHeight="1" x14ac:dyDescent="0.35">
      <c r="A4">
        <v>1</v>
      </c>
      <c r="B4" s="136">
        <v>44959</v>
      </c>
      <c r="C4" s="4" t="s">
        <v>73</v>
      </c>
      <c r="D4" s="1" t="s">
        <v>162</v>
      </c>
      <c r="E4" t="s">
        <v>1092</v>
      </c>
      <c r="F4" s="6" t="s">
        <v>1112</v>
      </c>
      <c r="G4" s="6" t="s">
        <v>1141</v>
      </c>
      <c r="H4" s="235" t="str">
        <f t="shared" ref="H4:H35" si="0">VLOOKUP(LEFT(G4,2),Category,2,0)</f>
        <v>Perishable</v>
      </c>
      <c r="I4" s="235" t="s">
        <v>1185</v>
      </c>
      <c r="J4" t="str">
        <f t="shared" ref="J4:J35" si="1">VLOOKUP(LEFT(F4,1),Barcode,2,0)</f>
        <v>Platinum</v>
      </c>
      <c r="K4" s="6">
        <v>5</v>
      </c>
      <c r="L4" s="17">
        <f t="shared" ref="L4:L35" si="2">INDEX($S$40:$S$69,MATCH(I4,$R$40:$R$69,0))</f>
        <v>49999</v>
      </c>
      <c r="M4" s="116">
        <f t="shared" ref="M4:M35" si="3">IF(K4&gt;8,3%,2%)</f>
        <v>0.02</v>
      </c>
      <c r="N4" s="47" t="str">
        <f t="shared" ref="N4:N35" si="4">HLOOKUP(VALUE(RIGHT(F4,2)),Point,2,0)</f>
        <v>20 Point</v>
      </c>
      <c r="O4" s="17">
        <f t="shared" ref="O4:O35" si="5">(K4*L4)-(L4*M4)</f>
        <v>248995.02</v>
      </c>
      <c r="Q4" t="s">
        <v>1097</v>
      </c>
      <c r="S4" t="s">
        <v>991</v>
      </c>
      <c r="AY4" s="6" t="s">
        <v>1141</v>
      </c>
      <c r="AZ4" s="235" t="s">
        <v>1137</v>
      </c>
      <c r="BA4" s="235" t="s">
        <v>1185</v>
      </c>
      <c r="BB4" s="6">
        <v>5</v>
      </c>
      <c r="BC4" s="17">
        <f t="shared" ref="BC4:BC35" si="6">INDEX($S$40:$S$69,MATCH(BA4,$R$40:$R$69,0))</f>
        <v>49999</v>
      </c>
      <c r="BD4" s="116">
        <f t="shared" ref="BD4:BD35" si="7">IF(BB4&gt;8,3%,2%)</f>
        <v>0.02</v>
      </c>
      <c r="BE4" s="17">
        <f t="shared" ref="BE4:BE35" si="8">(BB4*BC4)-(BC4*BD4)</f>
        <v>248995.02</v>
      </c>
      <c r="BF4" s="17"/>
      <c r="BG4" s="235" t="s">
        <v>1137</v>
      </c>
      <c r="BH4" s="250">
        <f t="shared" ref="BH4:BH35" si="9">IF(AZ4="Food Product",700,IF(AZ4="Non Food Product",900,IF(AZ4="General Merchandise Product",855,755)))</f>
        <v>755</v>
      </c>
      <c r="BI4" s="250">
        <f>SUMIF(Table13[Category],Table14[[#This Row],[Category]],Table13[[Quantity ]])</f>
        <v>241</v>
      </c>
      <c r="BJ4" s="250">
        <f>Table14[[#This Row],[Inventory]]-Table14[[#This Row],[Update ]]</f>
        <v>514</v>
      </c>
    </row>
    <row r="5" spans="1:62" ht="21" customHeight="1" x14ac:dyDescent="0.35">
      <c r="A5">
        <v>2</v>
      </c>
      <c r="B5" s="136">
        <v>44959</v>
      </c>
      <c r="C5" s="4" t="s">
        <v>74</v>
      </c>
      <c r="D5" s="1" t="s">
        <v>162</v>
      </c>
      <c r="E5" t="s">
        <v>1093</v>
      </c>
      <c r="F5" s="6" t="s">
        <v>1113</v>
      </c>
      <c r="G5" s="6" t="s">
        <v>1143</v>
      </c>
      <c r="H5" s="235" t="str">
        <f t="shared" si="0"/>
        <v>Perishable</v>
      </c>
      <c r="I5" s="235" t="s">
        <v>1186</v>
      </c>
      <c r="J5" t="str">
        <f t="shared" si="1"/>
        <v>Platinum</v>
      </c>
      <c r="K5" s="6">
        <v>8</v>
      </c>
      <c r="L5" s="17">
        <f t="shared" si="2"/>
        <v>69999</v>
      </c>
      <c r="M5" s="116">
        <f t="shared" si="3"/>
        <v>0.02</v>
      </c>
      <c r="N5" s="47" t="str">
        <f t="shared" si="4"/>
        <v>20 Point</v>
      </c>
      <c r="O5" s="17">
        <f t="shared" si="5"/>
        <v>558592.02</v>
      </c>
      <c r="Q5" t="s">
        <v>1098</v>
      </c>
      <c r="S5" t="s">
        <v>995</v>
      </c>
      <c r="AY5" s="6" t="s">
        <v>1143</v>
      </c>
      <c r="AZ5" s="235" t="s">
        <v>1137</v>
      </c>
      <c r="BA5" s="235" t="s">
        <v>1186</v>
      </c>
      <c r="BB5" s="6">
        <v>8</v>
      </c>
      <c r="BC5" s="17">
        <f t="shared" si="6"/>
        <v>69999</v>
      </c>
      <c r="BD5" s="116">
        <f t="shared" si="7"/>
        <v>0.02</v>
      </c>
      <c r="BE5" s="17">
        <f t="shared" si="8"/>
        <v>558592.02</v>
      </c>
      <c r="BF5" s="17"/>
      <c r="BG5" s="235" t="s">
        <v>1137</v>
      </c>
      <c r="BH5" s="250">
        <f t="shared" si="9"/>
        <v>755</v>
      </c>
      <c r="BI5" s="250">
        <f>SUMIF(Table13[Category],Table14[[#This Row],[Category]],Table13[[Quantity ]])</f>
        <v>241</v>
      </c>
      <c r="BJ5" s="250">
        <f>Table14[[#This Row],[Inventory]]-Table14[[#This Row],[Update ]]</f>
        <v>514</v>
      </c>
    </row>
    <row r="6" spans="1:62" ht="21" customHeight="1" x14ac:dyDescent="0.35">
      <c r="A6">
        <v>3</v>
      </c>
      <c r="B6" s="136">
        <v>44959</v>
      </c>
      <c r="C6" s="4" t="s">
        <v>75</v>
      </c>
      <c r="D6" s="1" t="s">
        <v>162</v>
      </c>
      <c r="E6" t="s">
        <v>1094</v>
      </c>
      <c r="F6" s="6" t="s">
        <v>1114</v>
      </c>
      <c r="G6" s="6" t="s">
        <v>1141</v>
      </c>
      <c r="H6" s="235" t="str">
        <f t="shared" si="0"/>
        <v>Perishable</v>
      </c>
      <c r="I6" s="235" t="s">
        <v>1185</v>
      </c>
      <c r="J6" t="str">
        <f t="shared" si="1"/>
        <v>Platinum</v>
      </c>
      <c r="K6" s="6">
        <v>8</v>
      </c>
      <c r="L6" s="17">
        <f t="shared" si="2"/>
        <v>49999</v>
      </c>
      <c r="M6" s="116">
        <f t="shared" si="3"/>
        <v>0.02</v>
      </c>
      <c r="N6" s="47" t="str">
        <f t="shared" si="4"/>
        <v>20 Point</v>
      </c>
      <c r="O6" s="17">
        <f t="shared" si="5"/>
        <v>398992.02</v>
      </c>
      <c r="S6" t="s">
        <v>993</v>
      </c>
      <c r="AY6" s="6" t="s">
        <v>1141</v>
      </c>
      <c r="AZ6" s="235" t="s">
        <v>1137</v>
      </c>
      <c r="BA6" s="235" t="s">
        <v>1185</v>
      </c>
      <c r="BB6" s="6">
        <v>8</v>
      </c>
      <c r="BC6" s="17">
        <f t="shared" si="6"/>
        <v>49999</v>
      </c>
      <c r="BD6" s="116">
        <f t="shared" si="7"/>
        <v>0.02</v>
      </c>
      <c r="BE6" s="17">
        <f t="shared" si="8"/>
        <v>398992.02</v>
      </c>
      <c r="BF6" s="17"/>
      <c r="BG6" s="235" t="s">
        <v>1137</v>
      </c>
      <c r="BH6" s="250">
        <f t="shared" si="9"/>
        <v>755</v>
      </c>
      <c r="BI6" s="250">
        <f>SUMIF(Table13[Category],Table14[[#This Row],[Category]],Table13[[Quantity ]])</f>
        <v>241</v>
      </c>
      <c r="BJ6" s="250">
        <f>Table14[[#This Row],[Inventory]]-Table14[[#This Row],[Update ]]</f>
        <v>514</v>
      </c>
    </row>
    <row r="7" spans="1:62" ht="21" customHeight="1" x14ac:dyDescent="0.35">
      <c r="A7">
        <v>4</v>
      </c>
      <c r="B7" s="136">
        <v>44959</v>
      </c>
      <c r="C7" s="4" t="s">
        <v>76</v>
      </c>
      <c r="D7" s="1" t="s">
        <v>162</v>
      </c>
      <c r="E7" t="s">
        <v>1093</v>
      </c>
      <c r="F7" s="6" t="s">
        <v>1103</v>
      </c>
      <c r="G7" s="6" t="s">
        <v>1144</v>
      </c>
      <c r="H7" s="235" t="str">
        <f t="shared" si="0"/>
        <v>Perishable</v>
      </c>
      <c r="I7" s="235" t="s">
        <v>1184</v>
      </c>
      <c r="J7" t="str">
        <f t="shared" si="1"/>
        <v>Gold</v>
      </c>
      <c r="K7" s="6">
        <v>2</v>
      </c>
      <c r="L7" s="17">
        <f t="shared" si="2"/>
        <v>25500</v>
      </c>
      <c r="M7" s="116">
        <f t="shared" si="3"/>
        <v>0.02</v>
      </c>
      <c r="N7" s="47" t="str">
        <f t="shared" si="4"/>
        <v>5 Point</v>
      </c>
      <c r="O7" s="17">
        <f t="shared" si="5"/>
        <v>50490</v>
      </c>
      <c r="AC7" s="97" t="s">
        <v>1191</v>
      </c>
      <c r="AY7" s="6" t="s">
        <v>1144</v>
      </c>
      <c r="AZ7" s="235" t="s">
        <v>1137</v>
      </c>
      <c r="BA7" s="235" t="s">
        <v>1184</v>
      </c>
      <c r="BB7" s="6">
        <v>2</v>
      </c>
      <c r="BC7" s="17">
        <f t="shared" si="6"/>
        <v>25500</v>
      </c>
      <c r="BD7" s="116">
        <f t="shared" si="7"/>
        <v>0.02</v>
      </c>
      <c r="BE7" s="17">
        <f t="shared" si="8"/>
        <v>50490</v>
      </c>
      <c r="BF7" s="17"/>
      <c r="BG7" s="235" t="s">
        <v>1137</v>
      </c>
      <c r="BH7" s="250">
        <f t="shared" si="9"/>
        <v>755</v>
      </c>
      <c r="BI7" s="250">
        <f>SUMIF(Table13[Category],Table14[[#This Row],[Category]],Table13[[Quantity ]])</f>
        <v>241</v>
      </c>
      <c r="BJ7" s="250">
        <f>Table14[[#This Row],[Inventory]]-Table14[[#This Row],[Update ]]</f>
        <v>514</v>
      </c>
    </row>
    <row r="8" spans="1:62" ht="21" customHeight="1" x14ac:dyDescent="0.35">
      <c r="A8">
        <v>5</v>
      </c>
      <c r="B8" s="136">
        <v>44959</v>
      </c>
      <c r="C8" s="4" t="s">
        <v>77</v>
      </c>
      <c r="D8" s="1" t="s">
        <v>163</v>
      </c>
      <c r="E8" t="s">
        <v>1092</v>
      </c>
      <c r="F8" s="6" t="s">
        <v>1115</v>
      </c>
      <c r="G8" s="6" t="s">
        <v>1149</v>
      </c>
      <c r="H8" s="235" t="str">
        <f t="shared" si="0"/>
        <v>Non Food Product</v>
      </c>
      <c r="I8" s="235" t="s">
        <v>1177</v>
      </c>
      <c r="J8" t="str">
        <f t="shared" si="1"/>
        <v>Gold</v>
      </c>
      <c r="K8" s="6">
        <v>2</v>
      </c>
      <c r="L8" s="17">
        <f t="shared" si="2"/>
        <v>195000</v>
      </c>
      <c r="M8" s="116">
        <f t="shared" si="3"/>
        <v>0.02</v>
      </c>
      <c r="N8" s="47" t="str">
        <f t="shared" si="4"/>
        <v>10 Point</v>
      </c>
      <c r="O8" s="17">
        <f t="shared" si="5"/>
        <v>386100</v>
      </c>
      <c r="AC8" s="97" t="s">
        <v>1192</v>
      </c>
      <c r="AY8" s="6" t="s">
        <v>1149</v>
      </c>
      <c r="AZ8" s="235" t="s">
        <v>1136</v>
      </c>
      <c r="BA8" s="235" t="s">
        <v>1177</v>
      </c>
      <c r="BB8" s="6">
        <v>2</v>
      </c>
      <c r="BC8" s="17">
        <f t="shared" si="6"/>
        <v>195000</v>
      </c>
      <c r="BD8" s="116">
        <f t="shared" si="7"/>
        <v>0.02</v>
      </c>
      <c r="BE8" s="17">
        <f t="shared" si="8"/>
        <v>386100</v>
      </c>
      <c r="BF8" s="17"/>
      <c r="BG8" s="235" t="s">
        <v>1136</v>
      </c>
      <c r="BH8" s="250">
        <f t="shared" si="9"/>
        <v>900</v>
      </c>
      <c r="BI8" s="250">
        <f>SUMIF(Table13[Category],Table14[[#This Row],[Category]],Table13[[Quantity ]])</f>
        <v>299</v>
      </c>
      <c r="BJ8" s="250">
        <f>Table14[[#This Row],[Inventory]]-Table14[[#This Row],[Update ]]</f>
        <v>601</v>
      </c>
    </row>
    <row r="9" spans="1:62" ht="21" customHeight="1" x14ac:dyDescent="0.35">
      <c r="A9">
        <v>6</v>
      </c>
      <c r="B9" s="136">
        <v>44959</v>
      </c>
      <c r="C9" s="4" t="s">
        <v>78</v>
      </c>
      <c r="D9" s="1" t="s">
        <v>163</v>
      </c>
      <c r="E9" t="s">
        <v>1092</v>
      </c>
      <c r="F9" s="6" t="s">
        <v>1116</v>
      </c>
      <c r="G9" s="6" t="s">
        <v>1150</v>
      </c>
      <c r="H9" s="235" t="str">
        <f t="shared" si="0"/>
        <v>Non Food Product</v>
      </c>
      <c r="I9" s="235" t="s">
        <v>1174</v>
      </c>
      <c r="J9" t="str">
        <f t="shared" si="1"/>
        <v>Gold</v>
      </c>
      <c r="K9" s="6">
        <v>2</v>
      </c>
      <c r="L9" s="17">
        <f t="shared" si="2"/>
        <v>85500</v>
      </c>
      <c r="M9" s="116">
        <f t="shared" si="3"/>
        <v>0.02</v>
      </c>
      <c r="N9" s="47" t="str">
        <f t="shared" si="4"/>
        <v>5 Point</v>
      </c>
      <c r="O9" s="17">
        <f t="shared" si="5"/>
        <v>169290</v>
      </c>
      <c r="Q9" s="15" t="s">
        <v>1000</v>
      </c>
      <c r="R9" s="15" t="s">
        <v>994</v>
      </c>
      <c r="T9" s="81" t="s">
        <v>1000</v>
      </c>
      <c r="U9" s="6">
        <v>11</v>
      </c>
      <c r="V9" s="6">
        <v>12</v>
      </c>
      <c r="W9" s="6">
        <v>13</v>
      </c>
      <c r="X9" s="6">
        <v>14</v>
      </c>
      <c r="Y9" s="6">
        <v>15</v>
      </c>
      <c r="AY9" s="6" t="s">
        <v>1150</v>
      </c>
      <c r="AZ9" s="235" t="s">
        <v>1136</v>
      </c>
      <c r="BA9" s="235" t="s">
        <v>1174</v>
      </c>
      <c r="BB9" s="6">
        <v>2</v>
      </c>
      <c r="BC9" s="17">
        <f t="shared" si="6"/>
        <v>85500</v>
      </c>
      <c r="BD9" s="116">
        <f t="shared" si="7"/>
        <v>0.02</v>
      </c>
      <c r="BE9" s="17">
        <f t="shared" si="8"/>
        <v>169290</v>
      </c>
      <c r="BF9" s="17"/>
      <c r="BG9" s="235" t="s">
        <v>1136</v>
      </c>
      <c r="BH9" s="250">
        <f t="shared" si="9"/>
        <v>900</v>
      </c>
      <c r="BI9" s="250">
        <f>SUMIF(Table13[Category],Table14[[#This Row],[Category]],Table13[[Quantity ]])</f>
        <v>299</v>
      </c>
      <c r="BJ9" s="250">
        <f>Table14[[#This Row],[Inventory]]-Table14[[#This Row],[Update ]]</f>
        <v>601</v>
      </c>
    </row>
    <row r="10" spans="1:62" ht="21" customHeight="1" x14ac:dyDescent="0.35">
      <c r="A10">
        <v>7</v>
      </c>
      <c r="B10" s="136">
        <v>44959</v>
      </c>
      <c r="C10" s="4" t="s">
        <v>79</v>
      </c>
      <c r="D10" s="1" t="s">
        <v>162</v>
      </c>
      <c r="E10" t="s">
        <v>1092</v>
      </c>
      <c r="F10" s="6" t="s">
        <v>1117</v>
      </c>
      <c r="G10" s="6" t="s">
        <v>1150</v>
      </c>
      <c r="H10" s="235" t="str">
        <f t="shared" si="0"/>
        <v>Non Food Product</v>
      </c>
      <c r="I10" s="235" t="s">
        <v>1174</v>
      </c>
      <c r="J10" t="str">
        <f t="shared" si="1"/>
        <v>Gold</v>
      </c>
      <c r="K10" s="6">
        <v>3</v>
      </c>
      <c r="L10" s="17">
        <f t="shared" si="2"/>
        <v>85500</v>
      </c>
      <c r="M10" s="116">
        <f t="shared" si="3"/>
        <v>0.02</v>
      </c>
      <c r="N10" s="47" t="str">
        <f t="shared" si="4"/>
        <v>15 Point</v>
      </c>
      <c r="O10" s="17">
        <f t="shared" si="5"/>
        <v>254790</v>
      </c>
      <c r="Q10" s="6" t="s">
        <v>1104</v>
      </c>
      <c r="R10" t="s">
        <v>1100</v>
      </c>
      <c r="T10" s="81" t="s">
        <v>1098</v>
      </c>
      <c r="U10" s="6" t="s">
        <v>1107</v>
      </c>
      <c r="V10" s="6" t="s">
        <v>1108</v>
      </c>
      <c r="W10" s="6" t="s">
        <v>1109</v>
      </c>
      <c r="X10" s="6" t="s">
        <v>1110</v>
      </c>
      <c r="Y10" s="6" t="s">
        <v>1111</v>
      </c>
      <c r="AY10" s="6" t="s">
        <v>1150</v>
      </c>
      <c r="AZ10" s="235" t="s">
        <v>1136</v>
      </c>
      <c r="BA10" s="235" t="s">
        <v>1174</v>
      </c>
      <c r="BB10" s="6">
        <v>3</v>
      </c>
      <c r="BC10" s="17">
        <f t="shared" si="6"/>
        <v>85500</v>
      </c>
      <c r="BD10" s="116">
        <f t="shared" si="7"/>
        <v>0.02</v>
      </c>
      <c r="BE10" s="17">
        <f t="shared" si="8"/>
        <v>254790</v>
      </c>
      <c r="BF10" s="17"/>
      <c r="BG10" s="235" t="s">
        <v>1136</v>
      </c>
      <c r="BH10" s="250">
        <f t="shared" si="9"/>
        <v>900</v>
      </c>
      <c r="BI10" s="250">
        <f>SUMIF(Table13[Category],Table14[[#This Row],[Category]],Table13[[Quantity ]])</f>
        <v>299</v>
      </c>
      <c r="BJ10" s="250">
        <f>Table14[[#This Row],[Inventory]]-Table14[[#This Row],[Update ]]</f>
        <v>601</v>
      </c>
    </row>
    <row r="11" spans="1:62" ht="21" customHeight="1" x14ac:dyDescent="0.35">
      <c r="A11">
        <v>8</v>
      </c>
      <c r="B11" s="136">
        <v>44960</v>
      </c>
      <c r="C11" s="4" t="s">
        <v>80</v>
      </c>
      <c r="D11" s="1" t="s">
        <v>162</v>
      </c>
      <c r="E11" t="s">
        <v>1092</v>
      </c>
      <c r="F11" s="6" t="s">
        <v>1118</v>
      </c>
      <c r="G11" s="6" t="s">
        <v>1140</v>
      </c>
      <c r="H11" s="235" t="str">
        <f t="shared" si="0"/>
        <v>Non Food Product</v>
      </c>
      <c r="I11" s="235" t="s">
        <v>1177</v>
      </c>
      <c r="J11" t="str">
        <f t="shared" si="1"/>
        <v>Silver</v>
      </c>
      <c r="K11" s="6">
        <v>4</v>
      </c>
      <c r="L11" s="17">
        <f t="shared" si="2"/>
        <v>195000</v>
      </c>
      <c r="M11" s="116">
        <f t="shared" si="3"/>
        <v>0.02</v>
      </c>
      <c r="N11" s="47" t="str">
        <f t="shared" si="4"/>
        <v>15 Point</v>
      </c>
      <c r="O11" s="17">
        <f t="shared" si="5"/>
        <v>776100</v>
      </c>
      <c r="Q11" s="6" t="s">
        <v>1105</v>
      </c>
      <c r="R11" t="s">
        <v>1101</v>
      </c>
      <c r="AC11" s="97" t="s">
        <v>1194</v>
      </c>
      <c r="AJ11" s="97" t="s">
        <v>1236</v>
      </c>
      <c r="AY11" s="6" t="s">
        <v>1140</v>
      </c>
      <c r="AZ11" s="235" t="s">
        <v>1136</v>
      </c>
      <c r="BA11" s="235" t="s">
        <v>1177</v>
      </c>
      <c r="BB11" s="6">
        <v>4</v>
      </c>
      <c r="BC11" s="17">
        <f t="shared" si="6"/>
        <v>195000</v>
      </c>
      <c r="BD11" s="116">
        <f t="shared" si="7"/>
        <v>0.02</v>
      </c>
      <c r="BE11" s="17">
        <f t="shared" si="8"/>
        <v>776100</v>
      </c>
      <c r="BF11" s="17"/>
      <c r="BG11" s="235" t="s">
        <v>1136</v>
      </c>
      <c r="BH11" s="250">
        <f t="shared" si="9"/>
        <v>900</v>
      </c>
      <c r="BI11" s="250">
        <f>SUMIF(Table13[Category],Table14[[#This Row],[Category]],Table13[[Quantity ]])</f>
        <v>299</v>
      </c>
      <c r="BJ11" s="250">
        <f>Table14[[#This Row],[Inventory]]-Table14[[#This Row],[Update ]]</f>
        <v>601</v>
      </c>
    </row>
    <row r="12" spans="1:62" ht="21" customHeight="1" x14ac:dyDescent="0.35">
      <c r="A12">
        <v>9</v>
      </c>
      <c r="B12" s="136">
        <v>44960</v>
      </c>
      <c r="C12" s="4" t="s">
        <v>81</v>
      </c>
      <c r="D12" s="1" t="s">
        <v>162</v>
      </c>
      <c r="E12" t="s">
        <v>1095</v>
      </c>
      <c r="F12" s="6" t="s">
        <v>1119</v>
      </c>
      <c r="G12" s="6" t="s">
        <v>1149</v>
      </c>
      <c r="H12" s="235" t="str">
        <f t="shared" si="0"/>
        <v>Non Food Product</v>
      </c>
      <c r="I12" s="235" t="s">
        <v>1177</v>
      </c>
      <c r="J12" t="str">
        <f t="shared" si="1"/>
        <v>Silver</v>
      </c>
      <c r="K12" s="6">
        <v>4</v>
      </c>
      <c r="L12" s="17">
        <f t="shared" si="2"/>
        <v>195000</v>
      </c>
      <c r="M12" s="116">
        <f t="shared" si="3"/>
        <v>0.02</v>
      </c>
      <c r="N12" s="47" t="str">
        <f t="shared" si="4"/>
        <v>5 Point</v>
      </c>
      <c r="O12" s="17">
        <f t="shared" si="5"/>
        <v>776100</v>
      </c>
      <c r="Q12" s="6" t="s">
        <v>1106</v>
      </c>
      <c r="R12" t="s">
        <v>1102</v>
      </c>
      <c r="AD12" s="17"/>
      <c r="AK12" s="15" t="s">
        <v>1135</v>
      </c>
      <c r="AL12" s="15" t="s">
        <v>1136</v>
      </c>
      <c r="AM12" s="13" t="s">
        <v>1138</v>
      </c>
      <c r="AN12" s="15" t="s">
        <v>1137</v>
      </c>
      <c r="AY12" s="6" t="s">
        <v>1149</v>
      </c>
      <c r="AZ12" s="235" t="s">
        <v>1136</v>
      </c>
      <c r="BA12" s="235" t="s">
        <v>1177</v>
      </c>
      <c r="BB12" s="6">
        <v>4</v>
      </c>
      <c r="BC12" s="17">
        <f t="shared" si="6"/>
        <v>195000</v>
      </c>
      <c r="BD12" s="116">
        <f t="shared" si="7"/>
        <v>0.02</v>
      </c>
      <c r="BE12" s="17">
        <f t="shared" si="8"/>
        <v>776100</v>
      </c>
      <c r="BF12" s="17"/>
      <c r="BG12" s="235" t="s">
        <v>1136</v>
      </c>
      <c r="BH12" s="250">
        <f t="shared" si="9"/>
        <v>900</v>
      </c>
      <c r="BI12" s="250">
        <f>SUMIF(Table13[Category],Table14[[#This Row],[Category]],Table13[[Quantity ]])</f>
        <v>299</v>
      </c>
      <c r="BJ12" s="250">
        <f>Table14[[#This Row],[Inventory]]-Table14[[#This Row],[Update ]]</f>
        <v>601</v>
      </c>
    </row>
    <row r="13" spans="1:62" ht="21" customHeight="1" x14ac:dyDescent="0.35">
      <c r="A13">
        <v>10</v>
      </c>
      <c r="B13" s="136">
        <v>44960</v>
      </c>
      <c r="C13" s="4" t="s">
        <v>82</v>
      </c>
      <c r="D13" s="1" t="s">
        <v>163</v>
      </c>
      <c r="E13" t="s">
        <v>1093</v>
      </c>
      <c r="F13" s="6" t="s">
        <v>1120</v>
      </c>
      <c r="G13" s="6" t="s">
        <v>1139</v>
      </c>
      <c r="H13" s="235" t="str">
        <f t="shared" si="0"/>
        <v>Food Product</v>
      </c>
      <c r="I13" s="80" t="s">
        <v>1167</v>
      </c>
      <c r="J13" t="str">
        <f t="shared" si="1"/>
        <v>Silver</v>
      </c>
      <c r="K13" s="6">
        <v>2</v>
      </c>
      <c r="L13" s="17">
        <f t="shared" si="2"/>
        <v>85000</v>
      </c>
      <c r="M13" s="116">
        <f t="shared" si="3"/>
        <v>0.02</v>
      </c>
      <c r="N13" s="47" t="str">
        <f t="shared" si="4"/>
        <v>20 Point</v>
      </c>
      <c r="O13" s="17">
        <f t="shared" si="5"/>
        <v>168300</v>
      </c>
      <c r="AC13" s="237" t="s">
        <v>1195</v>
      </c>
      <c r="AD13">
        <v>1100</v>
      </c>
      <c r="AJ13" s="14" t="s">
        <v>1237</v>
      </c>
      <c r="AK13" s="6">
        <v>100</v>
      </c>
      <c r="AL13" s="6">
        <v>155</v>
      </c>
      <c r="AM13" s="6">
        <v>185</v>
      </c>
      <c r="AN13" s="6">
        <v>100</v>
      </c>
      <c r="AO13" s="15">
        <v>700</v>
      </c>
      <c r="AY13" s="6" t="s">
        <v>1139</v>
      </c>
      <c r="AZ13" s="235" t="s">
        <v>1135</v>
      </c>
      <c r="BA13" s="80" t="s">
        <v>1167</v>
      </c>
      <c r="BB13" s="6">
        <v>2</v>
      </c>
      <c r="BC13" s="17">
        <f t="shared" si="6"/>
        <v>85000</v>
      </c>
      <c r="BD13" s="116">
        <f t="shared" si="7"/>
        <v>0.02</v>
      </c>
      <c r="BE13" s="17">
        <f t="shared" si="8"/>
        <v>168300</v>
      </c>
      <c r="BF13" s="17"/>
      <c r="BG13" s="235" t="s">
        <v>1135</v>
      </c>
      <c r="BH13" s="250">
        <f t="shared" si="9"/>
        <v>700</v>
      </c>
      <c r="BI13" s="250">
        <f>SUMIF(Table13[Category],Table14[[#This Row],[Category]],Table13[[Quantity ]])</f>
        <v>345</v>
      </c>
      <c r="BJ13" s="250">
        <f>Table14[[#This Row],[Inventory]]-Table14[[#This Row],[Update ]]</f>
        <v>355</v>
      </c>
    </row>
    <row r="14" spans="1:62" ht="21" customHeight="1" x14ac:dyDescent="0.35">
      <c r="A14">
        <v>11</v>
      </c>
      <c r="B14" s="136">
        <v>44960</v>
      </c>
      <c r="C14" s="4" t="s">
        <v>83</v>
      </c>
      <c r="D14" s="1" t="s">
        <v>163</v>
      </c>
      <c r="E14" t="s">
        <v>1093</v>
      </c>
      <c r="F14" s="6" t="s">
        <v>1121</v>
      </c>
      <c r="G14" s="6" t="s">
        <v>1151</v>
      </c>
      <c r="H14" s="235" t="str">
        <f t="shared" si="0"/>
        <v>Food Product</v>
      </c>
      <c r="I14" s="80" t="s">
        <v>1167</v>
      </c>
      <c r="J14" t="str">
        <f t="shared" si="1"/>
        <v>Silver</v>
      </c>
      <c r="K14" s="6">
        <v>3</v>
      </c>
      <c r="L14" s="17">
        <f t="shared" si="2"/>
        <v>85000</v>
      </c>
      <c r="M14" s="116">
        <f t="shared" si="3"/>
        <v>0.02</v>
      </c>
      <c r="N14" s="47" t="str">
        <f t="shared" si="4"/>
        <v>5 Point</v>
      </c>
      <c r="O14" s="17">
        <f t="shared" si="5"/>
        <v>253300</v>
      </c>
      <c r="AC14" s="237" t="s">
        <v>1196</v>
      </c>
      <c r="AD14" s="17">
        <v>582377</v>
      </c>
      <c r="AJ14" s="14" t="s">
        <v>1238</v>
      </c>
      <c r="AK14" s="6">
        <v>155</v>
      </c>
      <c r="AL14" s="6">
        <v>165</v>
      </c>
      <c r="AM14" s="6">
        <v>145</v>
      </c>
      <c r="AN14" s="6">
        <v>85</v>
      </c>
      <c r="AO14" s="15">
        <v>650</v>
      </c>
      <c r="AY14" s="6" t="s">
        <v>1151</v>
      </c>
      <c r="AZ14" s="235" t="s">
        <v>1135</v>
      </c>
      <c r="BA14" s="80" t="s">
        <v>1167</v>
      </c>
      <c r="BB14" s="6">
        <v>3</v>
      </c>
      <c r="BC14" s="17">
        <f t="shared" si="6"/>
        <v>85000</v>
      </c>
      <c r="BD14" s="116">
        <f t="shared" si="7"/>
        <v>0.02</v>
      </c>
      <c r="BE14" s="17">
        <f t="shared" si="8"/>
        <v>253300</v>
      </c>
      <c r="BF14" s="17"/>
      <c r="BG14" s="235" t="s">
        <v>1135</v>
      </c>
      <c r="BH14" s="250">
        <f t="shared" si="9"/>
        <v>700</v>
      </c>
      <c r="BI14" s="250">
        <f>SUMIF(Table13[Category],Table14[[#This Row],[Category]],Table13[[Quantity ]])</f>
        <v>345</v>
      </c>
      <c r="BJ14" s="250">
        <f>Table14[[#This Row],[Inventory]]-Table14[[#This Row],[Update ]]</f>
        <v>355</v>
      </c>
    </row>
    <row r="15" spans="1:62" ht="21" customHeight="1" x14ac:dyDescent="0.35">
      <c r="A15">
        <v>12</v>
      </c>
      <c r="B15" s="136">
        <v>44960</v>
      </c>
      <c r="C15" s="4" t="s">
        <v>1003</v>
      </c>
      <c r="D15" s="1" t="s">
        <v>163</v>
      </c>
      <c r="E15" t="s">
        <v>1095</v>
      </c>
      <c r="F15" s="6" t="s">
        <v>1122</v>
      </c>
      <c r="G15" s="6" t="s">
        <v>1152</v>
      </c>
      <c r="H15" s="235" t="str">
        <f t="shared" si="0"/>
        <v>Food Product</v>
      </c>
      <c r="I15" s="80" t="s">
        <v>1167</v>
      </c>
      <c r="J15" t="str">
        <f t="shared" si="1"/>
        <v>Silver</v>
      </c>
      <c r="K15" s="6">
        <v>2</v>
      </c>
      <c r="L15" s="17">
        <f t="shared" si="2"/>
        <v>85000</v>
      </c>
      <c r="M15" s="116">
        <f t="shared" si="3"/>
        <v>0.02</v>
      </c>
      <c r="N15" s="47" t="str">
        <f t="shared" si="4"/>
        <v>10 Point</v>
      </c>
      <c r="O15" s="17">
        <f t="shared" si="5"/>
        <v>168300</v>
      </c>
      <c r="Q15" s="15" t="s">
        <v>992</v>
      </c>
      <c r="R15" s="15" t="s">
        <v>993</v>
      </c>
      <c r="AC15" s="237" t="s">
        <v>856</v>
      </c>
      <c r="AD15" s="109">
        <v>0.03</v>
      </c>
      <c r="AJ15" s="14" t="s">
        <v>1239</v>
      </c>
      <c r="AK15" s="6">
        <v>220</v>
      </c>
      <c r="AL15" s="6">
        <v>170</v>
      </c>
      <c r="AM15" s="6">
        <v>135</v>
      </c>
      <c r="AN15" s="6">
        <v>150</v>
      </c>
      <c r="AO15" s="15">
        <v>750</v>
      </c>
      <c r="AY15" s="6" t="s">
        <v>1152</v>
      </c>
      <c r="AZ15" s="235" t="s">
        <v>1135</v>
      </c>
      <c r="BA15" s="80" t="s">
        <v>1167</v>
      </c>
      <c r="BB15" s="6">
        <v>2</v>
      </c>
      <c r="BC15" s="17">
        <f t="shared" si="6"/>
        <v>85000</v>
      </c>
      <c r="BD15" s="116">
        <f t="shared" si="7"/>
        <v>0.02</v>
      </c>
      <c r="BE15" s="17">
        <f t="shared" si="8"/>
        <v>168300</v>
      </c>
      <c r="BF15" s="17"/>
      <c r="BG15" s="235" t="s">
        <v>1135</v>
      </c>
      <c r="BH15" s="250">
        <f t="shared" si="9"/>
        <v>700</v>
      </c>
      <c r="BI15" s="250">
        <f>SUMIF(Table13[Category],Table14[[#This Row],[Category]],Table13[[Quantity ]])</f>
        <v>345</v>
      </c>
      <c r="BJ15" s="250">
        <f>Table14[[#This Row],[Inventory]]-Table14[[#This Row],[Update ]]</f>
        <v>355</v>
      </c>
    </row>
    <row r="16" spans="1:62" ht="21" customHeight="1" x14ac:dyDescent="0.35">
      <c r="A16">
        <v>13</v>
      </c>
      <c r="B16" s="136">
        <v>44960</v>
      </c>
      <c r="C16" s="4" t="s">
        <v>85</v>
      </c>
      <c r="D16" s="1" t="s">
        <v>162</v>
      </c>
      <c r="E16" t="s">
        <v>1092</v>
      </c>
      <c r="F16" s="6" t="s">
        <v>1103</v>
      </c>
      <c r="G16" s="6" t="s">
        <v>1142</v>
      </c>
      <c r="H16" s="235" t="str">
        <f t="shared" si="0"/>
        <v>General Merchandise Product</v>
      </c>
      <c r="I16" s="80" t="s">
        <v>1180</v>
      </c>
      <c r="J16" t="str">
        <f t="shared" si="1"/>
        <v>Gold</v>
      </c>
      <c r="K16" s="6">
        <v>2</v>
      </c>
      <c r="L16" s="17">
        <f t="shared" si="2"/>
        <v>75000</v>
      </c>
      <c r="M16" s="116">
        <f t="shared" si="3"/>
        <v>0.02</v>
      </c>
      <c r="N16" s="47" t="str">
        <f t="shared" si="4"/>
        <v>5 Point</v>
      </c>
      <c r="O16" s="17">
        <f t="shared" si="5"/>
        <v>148500</v>
      </c>
      <c r="Q16" s="6" t="s">
        <v>1145</v>
      </c>
      <c r="R16" s="80" t="s">
        <v>1135</v>
      </c>
      <c r="AC16" s="237" t="s">
        <v>612</v>
      </c>
      <c r="AD16" s="17">
        <f>AD13*AD14</f>
        <v>640614700</v>
      </c>
      <c r="AJ16" s="14" t="s">
        <v>1240</v>
      </c>
      <c r="AK16" s="6">
        <v>180</v>
      </c>
      <c r="AL16" s="6">
        <v>250</v>
      </c>
      <c r="AM16" s="6">
        <v>145</v>
      </c>
      <c r="AN16" s="6">
        <v>200</v>
      </c>
      <c r="AO16" s="15">
        <v>850</v>
      </c>
      <c r="AY16" s="6" t="s">
        <v>1142</v>
      </c>
      <c r="AZ16" s="235" t="s">
        <v>1138</v>
      </c>
      <c r="BA16" s="80" t="s">
        <v>1180</v>
      </c>
      <c r="BB16" s="6">
        <v>2</v>
      </c>
      <c r="BC16" s="17">
        <f t="shared" si="6"/>
        <v>75000</v>
      </c>
      <c r="BD16" s="116">
        <f t="shared" si="7"/>
        <v>0.02</v>
      </c>
      <c r="BE16" s="17">
        <f t="shared" si="8"/>
        <v>148500</v>
      </c>
      <c r="BF16" s="17"/>
      <c r="BG16" s="235" t="s">
        <v>1138</v>
      </c>
      <c r="BH16" s="250">
        <f t="shared" si="9"/>
        <v>855</v>
      </c>
      <c r="BI16" s="250">
        <f>SUMIF(Table13[Category],Table14[[#This Row],[Category]],Table13[[Quantity ]])</f>
        <v>215</v>
      </c>
      <c r="BJ16" s="250">
        <f>Table14[[#This Row],[Inventory]]-Table14[[#This Row],[Update ]]</f>
        <v>640</v>
      </c>
    </row>
    <row r="17" spans="1:62" ht="21" customHeight="1" x14ac:dyDescent="0.35">
      <c r="A17">
        <v>14</v>
      </c>
      <c r="B17" s="136">
        <v>44960</v>
      </c>
      <c r="C17" s="4" t="s">
        <v>86</v>
      </c>
      <c r="D17" s="1" t="s">
        <v>162</v>
      </c>
      <c r="E17" t="s">
        <v>1092</v>
      </c>
      <c r="F17" s="6" t="s">
        <v>1116</v>
      </c>
      <c r="G17" s="6" t="s">
        <v>1142</v>
      </c>
      <c r="H17" s="235" t="str">
        <f t="shared" si="0"/>
        <v>General Merchandise Product</v>
      </c>
      <c r="I17" s="80" t="s">
        <v>1179</v>
      </c>
      <c r="J17" t="str">
        <f t="shared" si="1"/>
        <v>Gold</v>
      </c>
      <c r="K17" s="6">
        <v>3</v>
      </c>
      <c r="L17" s="17">
        <f t="shared" si="2"/>
        <v>85000</v>
      </c>
      <c r="M17" s="116">
        <f t="shared" si="3"/>
        <v>0.02</v>
      </c>
      <c r="N17" s="47" t="str">
        <f t="shared" si="4"/>
        <v>5 Point</v>
      </c>
      <c r="O17" s="17">
        <f t="shared" si="5"/>
        <v>253300</v>
      </c>
      <c r="Q17" s="6" t="s">
        <v>1146</v>
      </c>
      <c r="R17" s="80" t="s">
        <v>1136</v>
      </c>
      <c r="S17" s="15"/>
      <c r="AC17" s="237" t="s">
        <v>1197</v>
      </c>
      <c r="AD17" s="17">
        <f>(AD16*AD15)+AD16</f>
        <v>659833141</v>
      </c>
      <c r="AK17" s="15">
        <v>700</v>
      </c>
      <c r="AL17" s="15">
        <v>900</v>
      </c>
      <c r="AM17" s="15">
        <v>855</v>
      </c>
      <c r="AN17" s="15">
        <v>755</v>
      </c>
      <c r="AY17" s="6" t="s">
        <v>1142</v>
      </c>
      <c r="AZ17" s="235" t="s">
        <v>1138</v>
      </c>
      <c r="BA17" s="80" t="s">
        <v>1179</v>
      </c>
      <c r="BB17" s="6">
        <v>3</v>
      </c>
      <c r="BC17" s="17">
        <f t="shared" si="6"/>
        <v>85000</v>
      </c>
      <c r="BD17" s="116">
        <f t="shared" si="7"/>
        <v>0.02</v>
      </c>
      <c r="BE17" s="17">
        <f t="shared" si="8"/>
        <v>253300</v>
      </c>
      <c r="BF17" s="17"/>
      <c r="BG17" s="235" t="s">
        <v>1138</v>
      </c>
      <c r="BH17" s="250">
        <f t="shared" si="9"/>
        <v>855</v>
      </c>
      <c r="BI17" s="250">
        <f>SUMIF(Table13[Category],Table14[[#This Row],[Category]],Table13[[Quantity ]])</f>
        <v>215</v>
      </c>
      <c r="BJ17" s="250">
        <f>Table14[[#This Row],[Inventory]]-Table14[[#This Row],[Update ]]</f>
        <v>640</v>
      </c>
    </row>
    <row r="18" spans="1:62" ht="21" customHeight="1" x14ac:dyDescent="0.35">
      <c r="A18">
        <v>15</v>
      </c>
      <c r="B18" s="136">
        <v>44960</v>
      </c>
      <c r="C18" s="4" t="s">
        <v>87</v>
      </c>
      <c r="D18" s="1" t="s">
        <v>163</v>
      </c>
      <c r="E18" t="s">
        <v>1092</v>
      </c>
      <c r="F18" s="6" t="s">
        <v>1123</v>
      </c>
      <c r="G18" s="6" t="s">
        <v>1153</v>
      </c>
      <c r="H18" s="235" t="str">
        <f t="shared" si="0"/>
        <v>General Merchandise Product</v>
      </c>
      <c r="I18" s="80" t="s">
        <v>1179</v>
      </c>
      <c r="J18" t="str">
        <f t="shared" si="1"/>
        <v>Gold</v>
      </c>
      <c r="K18" s="6">
        <v>3</v>
      </c>
      <c r="L18" s="17">
        <f t="shared" si="2"/>
        <v>85000</v>
      </c>
      <c r="M18" s="116">
        <f t="shared" si="3"/>
        <v>0.02</v>
      </c>
      <c r="N18" s="47" t="str">
        <f t="shared" si="4"/>
        <v>10 Point</v>
      </c>
      <c r="O18" s="17">
        <f t="shared" si="5"/>
        <v>253300</v>
      </c>
      <c r="Q18" s="6" t="s">
        <v>1147</v>
      </c>
      <c r="R18" s="80" t="s">
        <v>1137</v>
      </c>
      <c r="AJ18" s="14" t="s">
        <v>1241</v>
      </c>
      <c r="AY18" s="6" t="s">
        <v>1153</v>
      </c>
      <c r="AZ18" s="235" t="s">
        <v>1138</v>
      </c>
      <c r="BA18" s="80" t="s">
        <v>1179</v>
      </c>
      <c r="BB18" s="6">
        <v>3</v>
      </c>
      <c r="BC18" s="17">
        <f t="shared" si="6"/>
        <v>85000</v>
      </c>
      <c r="BD18" s="116">
        <f t="shared" si="7"/>
        <v>0.02</v>
      </c>
      <c r="BE18" s="17">
        <f t="shared" si="8"/>
        <v>253300</v>
      </c>
      <c r="BF18" s="17"/>
      <c r="BG18" s="235" t="s">
        <v>1138</v>
      </c>
      <c r="BH18" s="250">
        <f t="shared" si="9"/>
        <v>855</v>
      </c>
      <c r="BI18" s="250">
        <f>SUMIF(Table13[Category],Table14[[#This Row],[Category]],Table13[[Quantity ]])</f>
        <v>215</v>
      </c>
      <c r="BJ18" s="250">
        <f>Table14[[#This Row],[Inventory]]-Table14[[#This Row],[Update ]]</f>
        <v>640</v>
      </c>
    </row>
    <row r="19" spans="1:62" ht="21" customHeight="1" x14ac:dyDescent="0.35">
      <c r="A19">
        <v>16</v>
      </c>
      <c r="B19" s="136">
        <v>44960</v>
      </c>
      <c r="C19" s="4" t="s">
        <v>88</v>
      </c>
      <c r="D19" s="1" t="s">
        <v>163</v>
      </c>
      <c r="E19" t="s">
        <v>1092</v>
      </c>
      <c r="F19" s="6" t="s">
        <v>1124</v>
      </c>
      <c r="G19" s="6" t="s">
        <v>1153</v>
      </c>
      <c r="H19" s="235" t="str">
        <f t="shared" si="0"/>
        <v>General Merchandise Product</v>
      </c>
      <c r="I19" s="80" t="s">
        <v>1179</v>
      </c>
      <c r="J19" t="str">
        <f t="shared" si="1"/>
        <v>Gold</v>
      </c>
      <c r="K19" s="6">
        <v>7</v>
      </c>
      <c r="L19" s="17">
        <f t="shared" si="2"/>
        <v>85000</v>
      </c>
      <c r="M19" s="116">
        <f t="shared" si="3"/>
        <v>0.02</v>
      </c>
      <c r="N19" s="47" t="str">
        <f t="shared" si="4"/>
        <v>15 Point</v>
      </c>
      <c r="O19" s="17">
        <f t="shared" si="5"/>
        <v>593300</v>
      </c>
      <c r="Q19" s="6" t="s">
        <v>1148</v>
      </c>
      <c r="R19" s="80" t="s">
        <v>1138</v>
      </c>
      <c r="AY19" s="6" t="s">
        <v>1153</v>
      </c>
      <c r="AZ19" s="235" t="s">
        <v>1138</v>
      </c>
      <c r="BA19" s="80" t="s">
        <v>1179</v>
      </c>
      <c r="BB19" s="6">
        <v>7</v>
      </c>
      <c r="BC19" s="17">
        <f t="shared" si="6"/>
        <v>85000</v>
      </c>
      <c r="BD19" s="116">
        <f t="shared" si="7"/>
        <v>0.02</v>
      </c>
      <c r="BE19" s="17">
        <f t="shared" si="8"/>
        <v>593300</v>
      </c>
      <c r="BF19" s="17"/>
      <c r="BG19" s="235" t="s">
        <v>1138</v>
      </c>
      <c r="BH19" s="250">
        <f t="shared" si="9"/>
        <v>855</v>
      </c>
      <c r="BI19" s="250">
        <f>SUMIF(Table13[Category],Table14[[#This Row],[Category]],Table13[[Quantity ]])</f>
        <v>215</v>
      </c>
      <c r="BJ19" s="250">
        <f>Table14[[#This Row],[Inventory]]-Table14[[#This Row],[Update ]]</f>
        <v>640</v>
      </c>
    </row>
    <row r="20" spans="1:62" ht="21" customHeight="1" x14ac:dyDescent="0.35">
      <c r="A20">
        <v>17</v>
      </c>
      <c r="B20" s="136">
        <v>44960</v>
      </c>
      <c r="C20" s="4" t="s">
        <v>1004</v>
      </c>
      <c r="D20" s="1" t="s">
        <v>163</v>
      </c>
      <c r="E20" t="s">
        <v>1092</v>
      </c>
      <c r="F20" s="6" t="s">
        <v>1125</v>
      </c>
      <c r="G20" s="6" t="s">
        <v>1153</v>
      </c>
      <c r="H20" s="235" t="str">
        <f t="shared" si="0"/>
        <v>General Merchandise Product</v>
      </c>
      <c r="I20" s="80" t="s">
        <v>1182</v>
      </c>
      <c r="J20" t="str">
        <f t="shared" si="1"/>
        <v>Gold</v>
      </c>
      <c r="K20" s="6">
        <v>8</v>
      </c>
      <c r="L20" s="17">
        <f t="shared" si="2"/>
        <v>110500</v>
      </c>
      <c r="M20" s="116">
        <f t="shared" si="3"/>
        <v>0.02</v>
      </c>
      <c r="N20" s="47" t="str">
        <f t="shared" si="4"/>
        <v>5 Point</v>
      </c>
      <c r="O20" s="17">
        <f t="shared" si="5"/>
        <v>881790</v>
      </c>
      <c r="AC20" s="238" t="s">
        <v>1203</v>
      </c>
      <c r="AK20" s="15" t="s">
        <v>1135</v>
      </c>
      <c r="AL20" s="15" t="s">
        <v>1136</v>
      </c>
      <c r="AM20" s="13" t="s">
        <v>1138</v>
      </c>
      <c r="AN20" s="15" t="s">
        <v>1137</v>
      </c>
      <c r="AY20" s="6" t="s">
        <v>1153</v>
      </c>
      <c r="AZ20" s="235" t="s">
        <v>1138</v>
      </c>
      <c r="BA20" s="80" t="s">
        <v>1182</v>
      </c>
      <c r="BB20" s="6">
        <v>8</v>
      </c>
      <c r="BC20" s="17">
        <f t="shared" si="6"/>
        <v>110500</v>
      </c>
      <c r="BD20" s="116">
        <f t="shared" si="7"/>
        <v>0.02</v>
      </c>
      <c r="BE20" s="17">
        <f t="shared" si="8"/>
        <v>881790</v>
      </c>
      <c r="BF20" s="17"/>
      <c r="BG20" s="235" t="s">
        <v>1138</v>
      </c>
      <c r="BH20" s="250">
        <f t="shared" si="9"/>
        <v>855</v>
      </c>
      <c r="BI20" s="250">
        <f>SUMIF(Table13[Category],Table14[[#This Row],[Category]],Table13[[Quantity ]])</f>
        <v>215</v>
      </c>
      <c r="BJ20" s="250">
        <f>Table14[[#This Row],[Inventory]]-Table14[[#This Row],[Update ]]</f>
        <v>640</v>
      </c>
    </row>
    <row r="21" spans="1:62" ht="21" customHeight="1" x14ac:dyDescent="0.35">
      <c r="A21">
        <v>18</v>
      </c>
      <c r="B21" s="136">
        <v>44961</v>
      </c>
      <c r="C21" s="4" t="s">
        <v>1005</v>
      </c>
      <c r="D21" s="1" t="s">
        <v>162</v>
      </c>
      <c r="E21" t="s">
        <v>1092</v>
      </c>
      <c r="F21" s="6" t="s">
        <v>1126</v>
      </c>
      <c r="G21" s="6" t="s">
        <v>1153</v>
      </c>
      <c r="H21" s="235" t="str">
        <f t="shared" si="0"/>
        <v>General Merchandise Product</v>
      </c>
      <c r="I21" s="80" t="s">
        <v>1180</v>
      </c>
      <c r="J21" t="str">
        <f t="shared" si="1"/>
        <v>Platinum</v>
      </c>
      <c r="K21" s="6">
        <v>12</v>
      </c>
      <c r="L21" s="17">
        <f t="shared" si="2"/>
        <v>75000</v>
      </c>
      <c r="M21" s="116">
        <f t="shared" si="3"/>
        <v>0.03</v>
      </c>
      <c r="N21" s="47" t="str">
        <f t="shared" si="4"/>
        <v>25 Point</v>
      </c>
      <c r="O21" s="17">
        <f t="shared" si="5"/>
        <v>897750</v>
      </c>
      <c r="R21" s="15" t="s">
        <v>1135</v>
      </c>
      <c r="S21" s="15" t="s">
        <v>1136</v>
      </c>
      <c r="T21" s="15" t="s">
        <v>1138</v>
      </c>
      <c r="U21" s="15" t="s">
        <v>1137</v>
      </c>
      <c r="AC21" s="237" t="s">
        <v>1195</v>
      </c>
      <c r="AD21">
        <v>1100</v>
      </c>
      <c r="AF21" t="s">
        <v>588</v>
      </c>
      <c r="AG21">
        <v>4672.8971962616824</v>
      </c>
      <c r="AJ21" s="14" t="s">
        <v>1237</v>
      </c>
      <c r="AK21" s="6">
        <v>0</v>
      </c>
      <c r="AL21" s="6">
        <v>0</v>
      </c>
      <c r="AM21" s="153">
        <v>700</v>
      </c>
      <c r="AN21" s="6">
        <v>0</v>
      </c>
      <c r="AO21" s="6">
        <f>SUM(AK21:AN21)</f>
        <v>700</v>
      </c>
      <c r="AP21" s="15">
        <v>700</v>
      </c>
      <c r="AY21" s="6" t="s">
        <v>1153</v>
      </c>
      <c r="AZ21" s="235" t="s">
        <v>1138</v>
      </c>
      <c r="BA21" s="80" t="s">
        <v>1180</v>
      </c>
      <c r="BB21" s="6">
        <v>12</v>
      </c>
      <c r="BC21" s="17">
        <f t="shared" si="6"/>
        <v>75000</v>
      </c>
      <c r="BD21" s="116">
        <f t="shared" si="7"/>
        <v>0.03</v>
      </c>
      <c r="BE21" s="17">
        <f t="shared" si="8"/>
        <v>897750</v>
      </c>
      <c r="BF21" s="17"/>
      <c r="BG21" s="235" t="s">
        <v>1138</v>
      </c>
      <c r="BH21" s="250">
        <f t="shared" si="9"/>
        <v>855</v>
      </c>
      <c r="BI21" s="250">
        <f>SUMIF(Table13[Category],Table14[[#This Row],[Category]],Table13[[Quantity ]])</f>
        <v>215</v>
      </c>
      <c r="BJ21" s="250">
        <f>Table14[[#This Row],[Inventory]]-Table14[[#This Row],[Update ]]</f>
        <v>640</v>
      </c>
    </row>
    <row r="22" spans="1:62" ht="21" customHeight="1" x14ac:dyDescent="0.35">
      <c r="A22">
        <v>19</v>
      </c>
      <c r="B22" s="136">
        <v>44961</v>
      </c>
      <c r="C22" s="4" t="s">
        <v>1006</v>
      </c>
      <c r="D22" s="1" t="s">
        <v>163</v>
      </c>
      <c r="E22" t="s">
        <v>1092</v>
      </c>
      <c r="F22" s="6" t="s">
        <v>1127</v>
      </c>
      <c r="G22" s="6" t="s">
        <v>1154</v>
      </c>
      <c r="H22" s="235" t="str">
        <f t="shared" si="0"/>
        <v>General Merchandise Product</v>
      </c>
      <c r="I22" s="80" t="s">
        <v>1183</v>
      </c>
      <c r="J22" t="str">
        <f t="shared" si="1"/>
        <v>Platinum</v>
      </c>
      <c r="K22" s="6">
        <v>12</v>
      </c>
      <c r="L22" s="17">
        <f t="shared" si="2"/>
        <v>135500</v>
      </c>
      <c r="M22" s="116">
        <f t="shared" si="3"/>
        <v>0.03</v>
      </c>
      <c r="N22" s="47" t="str">
        <f t="shared" si="4"/>
        <v>25 Point</v>
      </c>
      <c r="O22" s="17">
        <f t="shared" si="5"/>
        <v>1621935</v>
      </c>
      <c r="R22" s="80" t="s">
        <v>1159</v>
      </c>
      <c r="S22" s="235" t="s">
        <v>1174</v>
      </c>
      <c r="T22" s="80" t="s">
        <v>1179</v>
      </c>
      <c r="U22" s="235" t="s">
        <v>1184</v>
      </c>
      <c r="AC22" s="237" t="s">
        <v>1196</v>
      </c>
      <c r="AD22" s="17">
        <v>582377</v>
      </c>
      <c r="AF22" t="s">
        <v>460</v>
      </c>
      <c r="AG22" s="17">
        <v>75000</v>
      </c>
      <c r="AJ22" s="14" t="s">
        <v>1238</v>
      </c>
      <c r="AK22" s="6">
        <v>0</v>
      </c>
      <c r="AL22" s="153">
        <v>495</v>
      </c>
      <c r="AM22" s="153">
        <v>155</v>
      </c>
      <c r="AN22" s="6">
        <v>0</v>
      </c>
      <c r="AO22" s="6">
        <f>SUM(AK22:AN22)</f>
        <v>650</v>
      </c>
      <c r="AP22" s="15">
        <v>650</v>
      </c>
      <c r="AY22" s="6" t="s">
        <v>1154</v>
      </c>
      <c r="AZ22" s="235" t="s">
        <v>1138</v>
      </c>
      <c r="BA22" s="80" t="s">
        <v>1183</v>
      </c>
      <c r="BB22" s="6">
        <v>12</v>
      </c>
      <c r="BC22" s="17">
        <f t="shared" si="6"/>
        <v>135500</v>
      </c>
      <c r="BD22" s="116">
        <f t="shared" si="7"/>
        <v>0.03</v>
      </c>
      <c r="BE22" s="17">
        <f t="shared" si="8"/>
        <v>1621935</v>
      </c>
      <c r="BF22" s="17"/>
      <c r="BG22" s="235" t="s">
        <v>1138</v>
      </c>
      <c r="BH22" s="250">
        <f t="shared" si="9"/>
        <v>855</v>
      </c>
      <c r="BI22" s="250">
        <f>SUMIF(Table13[Category],Table14[[#This Row],[Category]],Table13[[Quantity ]])</f>
        <v>215</v>
      </c>
      <c r="BJ22" s="250">
        <f>Table14[[#This Row],[Inventory]]-Table14[[#This Row],[Update ]]</f>
        <v>640</v>
      </c>
    </row>
    <row r="23" spans="1:62" ht="21" customHeight="1" x14ac:dyDescent="0.35">
      <c r="A23">
        <v>20</v>
      </c>
      <c r="B23" s="136">
        <v>44961</v>
      </c>
      <c r="C23" s="4" t="s">
        <v>92</v>
      </c>
      <c r="D23" s="1" t="s">
        <v>163</v>
      </c>
      <c r="E23" t="s">
        <v>1092</v>
      </c>
      <c r="F23" s="6" t="s">
        <v>1103</v>
      </c>
      <c r="G23" s="6" t="s">
        <v>1155</v>
      </c>
      <c r="H23" s="235" t="str">
        <f t="shared" si="0"/>
        <v>General Merchandise Product</v>
      </c>
      <c r="I23" s="80" t="s">
        <v>1183</v>
      </c>
      <c r="J23" t="str">
        <f t="shared" si="1"/>
        <v>Gold</v>
      </c>
      <c r="K23" s="6">
        <v>11</v>
      </c>
      <c r="L23" s="17">
        <f t="shared" si="2"/>
        <v>135500</v>
      </c>
      <c r="M23" s="116">
        <f t="shared" si="3"/>
        <v>0.03</v>
      </c>
      <c r="N23" s="47" t="str">
        <f t="shared" si="4"/>
        <v>5 Point</v>
      </c>
      <c r="O23" s="17">
        <f t="shared" si="5"/>
        <v>1486435</v>
      </c>
      <c r="R23" s="80" t="s">
        <v>1160</v>
      </c>
      <c r="S23" s="235" t="s">
        <v>1175</v>
      </c>
      <c r="T23" s="80" t="s">
        <v>1180</v>
      </c>
      <c r="U23" s="235" t="s">
        <v>1185</v>
      </c>
      <c r="AC23" s="237" t="s">
        <v>856</v>
      </c>
      <c r="AD23" s="109">
        <v>0.03</v>
      </c>
      <c r="AF23" s="14" t="s">
        <v>933</v>
      </c>
      <c r="AG23" s="14">
        <f>AG21*AG22</f>
        <v>350467289.71962619</v>
      </c>
      <c r="AJ23" s="14" t="s">
        <v>1239</v>
      </c>
      <c r="AK23" s="153">
        <v>700</v>
      </c>
      <c r="AL23" s="6">
        <v>0</v>
      </c>
      <c r="AM23" s="6">
        <v>0</v>
      </c>
      <c r="AN23" s="153">
        <v>50</v>
      </c>
      <c r="AO23" s="6">
        <f>SUM(AK23:AN23)</f>
        <v>750</v>
      </c>
      <c r="AP23" s="15">
        <v>750</v>
      </c>
      <c r="AY23" s="6" t="s">
        <v>1155</v>
      </c>
      <c r="AZ23" s="235" t="s">
        <v>1138</v>
      </c>
      <c r="BA23" s="80" t="s">
        <v>1183</v>
      </c>
      <c r="BB23" s="6">
        <v>11</v>
      </c>
      <c r="BC23" s="17">
        <f t="shared" si="6"/>
        <v>135500</v>
      </c>
      <c r="BD23" s="116">
        <f t="shared" si="7"/>
        <v>0.03</v>
      </c>
      <c r="BE23" s="17">
        <f t="shared" si="8"/>
        <v>1486435</v>
      </c>
      <c r="BF23" s="17"/>
      <c r="BG23" s="235" t="s">
        <v>1138</v>
      </c>
      <c r="BH23" s="250">
        <f t="shared" si="9"/>
        <v>855</v>
      </c>
      <c r="BI23" s="250">
        <f>SUMIF(Table13[Category],Table14[[#This Row],[Category]],Table13[[Quantity ]])</f>
        <v>215</v>
      </c>
      <c r="BJ23" s="250">
        <f>Table14[[#This Row],[Inventory]]-Table14[[#This Row],[Update ]]</f>
        <v>640</v>
      </c>
    </row>
    <row r="24" spans="1:62" ht="21" customHeight="1" x14ac:dyDescent="0.35">
      <c r="A24">
        <v>21</v>
      </c>
      <c r="B24" s="136">
        <v>44962</v>
      </c>
      <c r="C24" s="4" t="s">
        <v>93</v>
      </c>
      <c r="D24" s="1" t="s">
        <v>163</v>
      </c>
      <c r="E24" t="s">
        <v>1092</v>
      </c>
      <c r="F24" s="6" t="s">
        <v>1128</v>
      </c>
      <c r="G24" s="6" t="s">
        <v>1142</v>
      </c>
      <c r="H24" s="235" t="str">
        <f t="shared" si="0"/>
        <v>General Merchandise Product</v>
      </c>
      <c r="I24" s="80" t="s">
        <v>1181</v>
      </c>
      <c r="J24" t="str">
        <f t="shared" si="1"/>
        <v>Gold</v>
      </c>
      <c r="K24" s="6">
        <v>9</v>
      </c>
      <c r="L24" s="17">
        <f t="shared" si="2"/>
        <v>55500</v>
      </c>
      <c r="M24" s="116">
        <f t="shared" si="3"/>
        <v>0.03</v>
      </c>
      <c r="N24" s="47" t="str">
        <f t="shared" si="4"/>
        <v>25 Point</v>
      </c>
      <c r="O24" s="17">
        <f t="shared" si="5"/>
        <v>497835</v>
      </c>
      <c r="R24" s="80" t="s">
        <v>1161</v>
      </c>
      <c r="S24" s="235" t="s">
        <v>1176</v>
      </c>
      <c r="T24" s="80" t="s">
        <v>1181</v>
      </c>
      <c r="U24" s="235" t="s">
        <v>1186</v>
      </c>
      <c r="AC24" s="237" t="s">
        <v>612</v>
      </c>
      <c r="AD24" s="17">
        <f>AD21*AD22</f>
        <v>640614700</v>
      </c>
      <c r="AJ24" s="14" t="s">
        <v>1240</v>
      </c>
      <c r="AK24" s="6">
        <v>0</v>
      </c>
      <c r="AL24" s="153">
        <v>405</v>
      </c>
      <c r="AM24" s="6">
        <v>0</v>
      </c>
      <c r="AN24" s="153">
        <v>445</v>
      </c>
      <c r="AO24" s="6">
        <f>SUM(AK24:AN24)</f>
        <v>850</v>
      </c>
      <c r="AP24" s="15">
        <v>850</v>
      </c>
      <c r="AY24" s="6" t="s">
        <v>1142</v>
      </c>
      <c r="AZ24" s="235" t="s">
        <v>1138</v>
      </c>
      <c r="BA24" s="80" t="s">
        <v>1181</v>
      </c>
      <c r="BB24" s="6">
        <v>9</v>
      </c>
      <c r="BC24" s="17">
        <f t="shared" si="6"/>
        <v>55500</v>
      </c>
      <c r="BD24" s="116">
        <f t="shared" si="7"/>
        <v>0.03</v>
      </c>
      <c r="BE24" s="17">
        <f t="shared" si="8"/>
        <v>497835</v>
      </c>
      <c r="BF24" s="17"/>
      <c r="BG24" s="235" t="s">
        <v>1138</v>
      </c>
      <c r="BH24" s="250">
        <f t="shared" si="9"/>
        <v>855</v>
      </c>
      <c r="BI24" s="250">
        <f>SUMIF(Table13[Category],Table14[[#This Row],[Category]],Table13[[Quantity ]])</f>
        <v>215</v>
      </c>
      <c r="BJ24" s="250">
        <f>Table14[[#This Row],[Inventory]]-Table14[[#This Row],[Update ]]</f>
        <v>640</v>
      </c>
    </row>
    <row r="25" spans="1:62" ht="21" customHeight="1" x14ac:dyDescent="0.35">
      <c r="A25">
        <v>22</v>
      </c>
      <c r="B25" s="136">
        <v>44962</v>
      </c>
      <c r="C25" s="4" t="s">
        <v>110</v>
      </c>
      <c r="D25" s="1" t="s">
        <v>163</v>
      </c>
      <c r="E25" t="s">
        <v>1095</v>
      </c>
      <c r="F25" s="6" t="s">
        <v>1128</v>
      </c>
      <c r="G25" s="6" t="s">
        <v>1152</v>
      </c>
      <c r="H25" s="235" t="str">
        <f t="shared" si="0"/>
        <v>Food Product</v>
      </c>
      <c r="I25" s="80" t="s">
        <v>1162</v>
      </c>
      <c r="J25" t="str">
        <f t="shared" si="1"/>
        <v>Gold</v>
      </c>
      <c r="K25" s="6">
        <v>9</v>
      </c>
      <c r="L25" s="17">
        <f t="shared" si="2"/>
        <v>85000</v>
      </c>
      <c r="M25" s="116">
        <f t="shared" si="3"/>
        <v>0.03</v>
      </c>
      <c r="N25" s="47" t="str">
        <f t="shared" si="4"/>
        <v>25 Point</v>
      </c>
      <c r="O25" s="17">
        <f t="shared" si="5"/>
        <v>762450</v>
      </c>
      <c r="R25" s="80" t="s">
        <v>1162</v>
      </c>
      <c r="S25" s="235" t="s">
        <v>1177</v>
      </c>
      <c r="T25" s="80" t="s">
        <v>1182</v>
      </c>
      <c r="U25" s="235" t="s">
        <v>1187</v>
      </c>
      <c r="AC25" s="237" t="s">
        <v>1197</v>
      </c>
      <c r="AD25" s="17">
        <f>(AD24*AD23)+AD24</f>
        <v>659833141</v>
      </c>
      <c r="AF25" t="s">
        <v>1198</v>
      </c>
      <c r="AK25" s="6">
        <f>SUM(AK21:AK24)</f>
        <v>700</v>
      </c>
      <c r="AL25" s="6">
        <f>SUM(AL21:AL24)</f>
        <v>900</v>
      </c>
      <c r="AM25" s="6">
        <f>SUM(AM21:AM24)</f>
        <v>855</v>
      </c>
      <c r="AN25" s="6">
        <f>SUM(AN21:AN24)</f>
        <v>495</v>
      </c>
      <c r="AY25" s="6" t="s">
        <v>1152</v>
      </c>
      <c r="AZ25" s="235" t="s">
        <v>1135</v>
      </c>
      <c r="BA25" s="80" t="s">
        <v>1162</v>
      </c>
      <c r="BB25" s="6">
        <v>9</v>
      </c>
      <c r="BC25" s="17">
        <f t="shared" si="6"/>
        <v>85000</v>
      </c>
      <c r="BD25" s="116">
        <f t="shared" si="7"/>
        <v>0.03</v>
      </c>
      <c r="BE25" s="17">
        <f t="shared" si="8"/>
        <v>762450</v>
      </c>
      <c r="BF25" s="17"/>
      <c r="BG25" s="235" t="s">
        <v>1135</v>
      </c>
      <c r="BH25" s="250">
        <f t="shared" si="9"/>
        <v>700</v>
      </c>
      <c r="BI25" s="250">
        <f>SUMIF(Table13[Category],Table14[[#This Row],[Category]],Table13[[Quantity ]])</f>
        <v>345</v>
      </c>
      <c r="BJ25" s="250">
        <f>Table14[[#This Row],[Inventory]]-Table14[[#This Row],[Update ]]</f>
        <v>355</v>
      </c>
    </row>
    <row r="26" spans="1:62" ht="21" customHeight="1" x14ac:dyDescent="0.35">
      <c r="A26">
        <v>23</v>
      </c>
      <c r="B26" s="136">
        <v>44962</v>
      </c>
      <c r="C26" s="4" t="s">
        <v>111</v>
      </c>
      <c r="D26" s="1" t="s">
        <v>163</v>
      </c>
      <c r="E26" t="s">
        <v>1095</v>
      </c>
      <c r="F26" s="6" t="s">
        <v>1129</v>
      </c>
      <c r="G26" s="6" t="s">
        <v>1156</v>
      </c>
      <c r="H26" s="235" t="str">
        <f t="shared" si="0"/>
        <v>Food Product</v>
      </c>
      <c r="I26" s="80" t="s">
        <v>1161</v>
      </c>
      <c r="J26" t="str">
        <f t="shared" si="1"/>
        <v>Gold</v>
      </c>
      <c r="K26" s="6">
        <v>5</v>
      </c>
      <c r="L26" s="17">
        <f t="shared" si="2"/>
        <v>155000</v>
      </c>
      <c r="M26" s="116">
        <f t="shared" si="3"/>
        <v>0.02</v>
      </c>
      <c r="N26" s="47" t="str">
        <f t="shared" si="4"/>
        <v>25 Point</v>
      </c>
      <c r="O26" s="17">
        <f t="shared" si="5"/>
        <v>771900</v>
      </c>
      <c r="R26" s="80" t="s">
        <v>1163</v>
      </c>
      <c r="S26" s="235" t="s">
        <v>1178</v>
      </c>
      <c r="T26" s="80" t="s">
        <v>1183</v>
      </c>
      <c r="U26" s="235" t="s">
        <v>1188</v>
      </c>
      <c r="AF26" t="s">
        <v>1200</v>
      </c>
      <c r="AG26" s="17">
        <v>13000</v>
      </c>
      <c r="AK26" s="15">
        <v>700</v>
      </c>
      <c r="AL26" s="15">
        <v>900</v>
      </c>
      <c r="AM26" s="15">
        <v>855</v>
      </c>
      <c r="AN26" s="15">
        <v>755</v>
      </c>
      <c r="AY26" s="6" t="s">
        <v>1156</v>
      </c>
      <c r="AZ26" s="235" t="s">
        <v>1135</v>
      </c>
      <c r="BA26" s="80" t="s">
        <v>1161</v>
      </c>
      <c r="BB26" s="6">
        <v>5</v>
      </c>
      <c r="BC26" s="17">
        <f t="shared" si="6"/>
        <v>155000</v>
      </c>
      <c r="BD26" s="116">
        <f t="shared" si="7"/>
        <v>0.02</v>
      </c>
      <c r="BE26" s="17">
        <f t="shared" si="8"/>
        <v>771900</v>
      </c>
      <c r="BF26" s="17"/>
      <c r="BG26" s="235" t="s">
        <v>1135</v>
      </c>
      <c r="BH26" s="250">
        <f t="shared" si="9"/>
        <v>700</v>
      </c>
      <c r="BI26" s="250">
        <f>SUMIF(Table13[Category],Table14[[#This Row],[Category]],Table13[[Quantity ]])</f>
        <v>345</v>
      </c>
      <c r="BJ26" s="250">
        <f>Table14[[#This Row],[Inventory]]-Table14[[#This Row],[Update ]]</f>
        <v>355</v>
      </c>
    </row>
    <row r="27" spans="1:62" ht="21" customHeight="1" x14ac:dyDescent="0.35">
      <c r="A27">
        <v>24</v>
      </c>
      <c r="B27" s="136">
        <v>44962</v>
      </c>
      <c r="C27" s="4" t="s">
        <v>112</v>
      </c>
      <c r="D27" s="1" t="s">
        <v>162</v>
      </c>
      <c r="E27" t="s">
        <v>1092</v>
      </c>
      <c r="F27" s="6" t="s">
        <v>1130</v>
      </c>
      <c r="G27" s="6" t="s">
        <v>1151</v>
      </c>
      <c r="H27" s="235" t="str">
        <f t="shared" si="0"/>
        <v>Food Product</v>
      </c>
      <c r="I27" s="80" t="s">
        <v>1170</v>
      </c>
      <c r="J27" t="str">
        <f t="shared" si="1"/>
        <v>Gold</v>
      </c>
      <c r="K27" s="6">
        <v>4</v>
      </c>
      <c r="L27" s="17">
        <f t="shared" si="2"/>
        <v>55000</v>
      </c>
      <c r="M27" s="116">
        <f t="shared" si="3"/>
        <v>0.02</v>
      </c>
      <c r="N27" s="47" t="str">
        <f t="shared" si="4"/>
        <v>10 Point</v>
      </c>
      <c r="O27" s="17">
        <f t="shared" si="5"/>
        <v>218900</v>
      </c>
      <c r="R27" s="80" t="s">
        <v>1164</v>
      </c>
      <c r="AC27" s="237" t="s">
        <v>1198</v>
      </c>
      <c r="AF27" t="s">
        <v>1201</v>
      </c>
      <c r="AG27" s="17">
        <v>8500</v>
      </c>
      <c r="AJ27" s="97" t="s">
        <v>1242</v>
      </c>
      <c r="AK27" s="240">
        <f>SUMPRODUCT(AK21:AN24,AK13:AN16)</f>
        <v>585400</v>
      </c>
      <c r="AY27" s="6" t="s">
        <v>1151</v>
      </c>
      <c r="AZ27" s="235" t="s">
        <v>1135</v>
      </c>
      <c r="BA27" s="80" t="s">
        <v>1170</v>
      </c>
      <c r="BB27" s="6">
        <v>4</v>
      </c>
      <c r="BC27" s="17">
        <f t="shared" si="6"/>
        <v>55000</v>
      </c>
      <c r="BD27" s="116">
        <f t="shared" si="7"/>
        <v>0.02</v>
      </c>
      <c r="BE27" s="17">
        <f t="shared" si="8"/>
        <v>218900</v>
      </c>
      <c r="BF27" s="17"/>
      <c r="BG27" s="235" t="s">
        <v>1135</v>
      </c>
      <c r="BH27" s="250">
        <f t="shared" si="9"/>
        <v>700</v>
      </c>
      <c r="BI27" s="250">
        <f>SUMIF(Table13[Category],Table14[[#This Row],[Category]],Table13[[Quantity ]])</f>
        <v>345</v>
      </c>
      <c r="BJ27" s="250">
        <f>Table14[[#This Row],[Inventory]]-Table14[[#This Row],[Update ]]</f>
        <v>355</v>
      </c>
    </row>
    <row r="28" spans="1:62" ht="21" customHeight="1" x14ac:dyDescent="0.35">
      <c r="A28">
        <v>25</v>
      </c>
      <c r="B28" s="136">
        <v>44962</v>
      </c>
      <c r="C28" s="4" t="s">
        <v>113</v>
      </c>
      <c r="D28" s="1" t="s">
        <v>163</v>
      </c>
      <c r="E28" t="s">
        <v>1092</v>
      </c>
      <c r="F28" s="6" t="s">
        <v>1131</v>
      </c>
      <c r="G28" s="6" t="s">
        <v>1151</v>
      </c>
      <c r="H28" s="235" t="str">
        <f t="shared" si="0"/>
        <v>Food Product</v>
      </c>
      <c r="I28" s="80" t="s">
        <v>1161</v>
      </c>
      <c r="J28" t="str">
        <f t="shared" si="1"/>
        <v>Gold</v>
      </c>
      <c r="K28" s="6">
        <v>3</v>
      </c>
      <c r="L28" s="17">
        <f t="shared" si="2"/>
        <v>155000</v>
      </c>
      <c r="M28" s="116">
        <f t="shared" si="3"/>
        <v>0.02</v>
      </c>
      <c r="N28" s="47" t="str">
        <f t="shared" si="4"/>
        <v>10 Point</v>
      </c>
      <c r="O28" s="17">
        <f t="shared" si="5"/>
        <v>461900</v>
      </c>
      <c r="R28" s="80" t="s">
        <v>1165</v>
      </c>
      <c r="AC28" s="237" t="s">
        <v>960</v>
      </c>
      <c r="AD28" s="17">
        <v>8000</v>
      </c>
      <c r="AF28" s="14" t="s">
        <v>1199</v>
      </c>
      <c r="AG28" s="239">
        <f>(AG21*AG26)+(AG27*AG21)</f>
        <v>100467289.71962616</v>
      </c>
      <c r="AY28" s="6" t="s">
        <v>1151</v>
      </c>
      <c r="AZ28" s="235" t="s">
        <v>1135</v>
      </c>
      <c r="BA28" s="80" t="s">
        <v>1161</v>
      </c>
      <c r="BB28" s="6">
        <v>3</v>
      </c>
      <c r="BC28" s="17">
        <f t="shared" si="6"/>
        <v>155000</v>
      </c>
      <c r="BD28" s="116">
        <f t="shared" si="7"/>
        <v>0.02</v>
      </c>
      <c r="BE28" s="17">
        <f t="shared" si="8"/>
        <v>461900</v>
      </c>
      <c r="BF28" s="17"/>
      <c r="BG28" s="235" t="s">
        <v>1135</v>
      </c>
      <c r="BH28" s="250">
        <f t="shared" si="9"/>
        <v>700</v>
      </c>
      <c r="BI28" s="250">
        <f>SUMIF(Table13[Category],Table14[[#This Row],[Category]],Table13[[Quantity ]])</f>
        <v>345</v>
      </c>
      <c r="BJ28" s="250">
        <f>Table14[[#This Row],[Inventory]]-Table14[[#This Row],[Update ]]</f>
        <v>355</v>
      </c>
    </row>
    <row r="29" spans="1:62" ht="21" customHeight="1" x14ac:dyDescent="0.35">
      <c r="A29">
        <v>26</v>
      </c>
      <c r="B29" s="136">
        <v>44962</v>
      </c>
      <c r="C29" s="4" t="s">
        <v>114</v>
      </c>
      <c r="D29" s="1" t="s">
        <v>163</v>
      </c>
      <c r="E29" t="s">
        <v>1092</v>
      </c>
      <c r="F29" s="6" t="s">
        <v>1132</v>
      </c>
      <c r="G29" s="6" t="s">
        <v>1151</v>
      </c>
      <c r="H29" s="235" t="str">
        <f t="shared" si="0"/>
        <v>Food Product</v>
      </c>
      <c r="I29" s="80" t="s">
        <v>1170</v>
      </c>
      <c r="J29" t="str">
        <f t="shared" si="1"/>
        <v>Gold</v>
      </c>
      <c r="K29" s="6">
        <v>2</v>
      </c>
      <c r="L29" s="17">
        <f t="shared" si="2"/>
        <v>55000</v>
      </c>
      <c r="M29" s="116">
        <f t="shared" si="3"/>
        <v>0.02</v>
      </c>
      <c r="N29" s="47" t="str">
        <f t="shared" si="4"/>
        <v>15 Point</v>
      </c>
      <c r="O29" s="17">
        <f t="shared" si="5"/>
        <v>108900</v>
      </c>
      <c r="R29" s="80" t="s">
        <v>1166</v>
      </c>
      <c r="AC29" s="237" t="s">
        <v>959</v>
      </c>
      <c r="AD29" s="17">
        <v>11000</v>
      </c>
      <c r="AY29" s="6" t="s">
        <v>1151</v>
      </c>
      <c r="AZ29" s="235" t="s">
        <v>1135</v>
      </c>
      <c r="BA29" s="80" t="s">
        <v>1170</v>
      </c>
      <c r="BB29" s="6">
        <v>2</v>
      </c>
      <c r="BC29" s="17">
        <f t="shared" si="6"/>
        <v>55000</v>
      </c>
      <c r="BD29" s="116">
        <f t="shared" si="7"/>
        <v>0.02</v>
      </c>
      <c r="BE29" s="17">
        <f t="shared" si="8"/>
        <v>108900</v>
      </c>
      <c r="BF29" s="17"/>
      <c r="BG29" s="235" t="s">
        <v>1135</v>
      </c>
      <c r="BH29" s="250">
        <f t="shared" si="9"/>
        <v>700</v>
      </c>
      <c r="BI29" s="250">
        <f>SUMIF(Table13[Category],Table14[[#This Row],[Category]],Table13[[Quantity ]])</f>
        <v>345</v>
      </c>
      <c r="BJ29" s="250">
        <f>Table14[[#This Row],[Inventory]]-Table14[[#This Row],[Update ]]</f>
        <v>355</v>
      </c>
    </row>
    <row r="30" spans="1:62" ht="21" customHeight="1" x14ac:dyDescent="0.35">
      <c r="A30">
        <v>27</v>
      </c>
      <c r="B30" s="136">
        <v>44962</v>
      </c>
      <c r="C30" s="4" t="s">
        <v>115</v>
      </c>
      <c r="D30" s="1" t="s">
        <v>162</v>
      </c>
      <c r="E30" t="s">
        <v>1092</v>
      </c>
      <c r="F30" s="6" t="s">
        <v>1133</v>
      </c>
      <c r="G30" s="6" t="s">
        <v>1139</v>
      </c>
      <c r="H30" s="235" t="str">
        <f t="shared" si="0"/>
        <v>Food Product</v>
      </c>
      <c r="I30" s="80" t="s">
        <v>1173</v>
      </c>
      <c r="J30" t="str">
        <f t="shared" si="1"/>
        <v>Gold</v>
      </c>
      <c r="K30" s="6">
        <v>3</v>
      </c>
      <c r="L30" s="17">
        <f t="shared" si="2"/>
        <v>185000</v>
      </c>
      <c r="M30" s="116">
        <f t="shared" si="3"/>
        <v>0.02</v>
      </c>
      <c r="N30" s="47" t="str">
        <f t="shared" si="4"/>
        <v>25 Point</v>
      </c>
      <c r="O30" s="17">
        <f t="shared" si="5"/>
        <v>551300</v>
      </c>
      <c r="R30" s="80" t="s">
        <v>1167</v>
      </c>
      <c r="AC30" s="237" t="s">
        <v>1199</v>
      </c>
      <c r="AD30" s="17">
        <f>(AD28*AD21)+(AD29*AD21)</f>
        <v>20900000</v>
      </c>
      <c r="AF30" s="14" t="s">
        <v>1202</v>
      </c>
      <c r="AG30" s="239">
        <f>AG23-AG28</f>
        <v>250000000.00000003</v>
      </c>
      <c r="AJ30" s="81" t="s">
        <v>1243</v>
      </c>
      <c r="AY30" s="6" t="s">
        <v>1139</v>
      </c>
      <c r="AZ30" s="235" t="s">
        <v>1135</v>
      </c>
      <c r="BA30" s="80" t="s">
        <v>1173</v>
      </c>
      <c r="BB30" s="6">
        <v>3</v>
      </c>
      <c r="BC30" s="17">
        <f t="shared" si="6"/>
        <v>185000</v>
      </c>
      <c r="BD30" s="116">
        <f t="shared" si="7"/>
        <v>0.02</v>
      </c>
      <c r="BE30" s="17">
        <f t="shared" si="8"/>
        <v>551300</v>
      </c>
      <c r="BF30" s="17"/>
      <c r="BG30" s="235" t="s">
        <v>1135</v>
      </c>
      <c r="BH30" s="250">
        <f t="shared" si="9"/>
        <v>700</v>
      </c>
      <c r="BI30" s="250">
        <f>SUMIF(Table13[Category],Table14[[#This Row],[Category]],Table13[[Quantity ]])</f>
        <v>345</v>
      </c>
      <c r="BJ30" s="250">
        <f>Table14[[#This Row],[Inventory]]-Table14[[#This Row],[Update ]]</f>
        <v>355</v>
      </c>
    </row>
    <row r="31" spans="1:62" ht="21" customHeight="1" x14ac:dyDescent="0.35">
      <c r="A31">
        <v>28</v>
      </c>
      <c r="B31" s="136">
        <v>44962</v>
      </c>
      <c r="C31" s="4" t="s">
        <v>116</v>
      </c>
      <c r="D31" s="1" t="s">
        <v>162</v>
      </c>
      <c r="E31" t="s">
        <v>1092</v>
      </c>
      <c r="F31" s="6" t="s">
        <v>1113</v>
      </c>
      <c r="G31" s="6" t="s">
        <v>1139</v>
      </c>
      <c r="H31" s="235" t="str">
        <f t="shared" si="0"/>
        <v>Food Product</v>
      </c>
      <c r="I31" s="80" t="s">
        <v>1172</v>
      </c>
      <c r="J31" t="str">
        <f t="shared" si="1"/>
        <v>Platinum</v>
      </c>
      <c r="K31" s="6">
        <v>3</v>
      </c>
      <c r="L31" s="17">
        <f t="shared" si="2"/>
        <v>170000</v>
      </c>
      <c r="M31" s="116">
        <f t="shared" si="3"/>
        <v>0.02</v>
      </c>
      <c r="N31" s="47" t="str">
        <f t="shared" si="4"/>
        <v>20 Point</v>
      </c>
      <c r="O31" s="17">
        <f t="shared" si="5"/>
        <v>506600</v>
      </c>
      <c r="R31" s="80" t="s">
        <v>1168</v>
      </c>
      <c r="AY31" s="6" t="s">
        <v>1139</v>
      </c>
      <c r="AZ31" s="235" t="s">
        <v>1135</v>
      </c>
      <c r="BA31" s="80" t="s">
        <v>1172</v>
      </c>
      <c r="BB31" s="6">
        <v>3</v>
      </c>
      <c r="BC31" s="17">
        <f t="shared" si="6"/>
        <v>170000</v>
      </c>
      <c r="BD31" s="116">
        <f t="shared" si="7"/>
        <v>0.02</v>
      </c>
      <c r="BE31" s="17">
        <f t="shared" si="8"/>
        <v>506600</v>
      </c>
      <c r="BF31" s="17"/>
      <c r="BG31" s="235" t="s">
        <v>1135</v>
      </c>
      <c r="BH31" s="250">
        <f t="shared" si="9"/>
        <v>700</v>
      </c>
      <c r="BI31" s="250">
        <f>SUMIF(Table13[Category],Table14[[#This Row],[Category]],Table13[[Quantity ]])</f>
        <v>345</v>
      </c>
      <c r="BJ31" s="250">
        <f>Table14[[#This Row],[Inventory]]-Table14[[#This Row],[Update ]]</f>
        <v>355</v>
      </c>
    </row>
    <row r="32" spans="1:62" ht="21" customHeight="1" x14ac:dyDescent="0.35">
      <c r="A32">
        <v>29</v>
      </c>
      <c r="B32" s="136">
        <v>44962</v>
      </c>
      <c r="C32" s="4" t="s">
        <v>117</v>
      </c>
      <c r="D32" s="1" t="s">
        <v>162</v>
      </c>
      <c r="E32" t="s">
        <v>1092</v>
      </c>
      <c r="F32" s="6" t="s">
        <v>1114</v>
      </c>
      <c r="G32" s="6" t="s">
        <v>1157</v>
      </c>
      <c r="H32" s="235" t="str">
        <f t="shared" si="0"/>
        <v>Non Food Product</v>
      </c>
      <c r="I32" s="235" t="s">
        <v>1178</v>
      </c>
      <c r="J32" t="str">
        <f t="shared" si="1"/>
        <v>Platinum</v>
      </c>
      <c r="K32" s="6">
        <v>3</v>
      </c>
      <c r="L32" s="17">
        <f t="shared" si="2"/>
        <v>225000</v>
      </c>
      <c r="M32" s="116">
        <f t="shared" si="3"/>
        <v>0.02</v>
      </c>
      <c r="N32" s="47" t="str">
        <f t="shared" si="4"/>
        <v>20 Point</v>
      </c>
      <c r="O32" s="17">
        <f t="shared" si="5"/>
        <v>670500</v>
      </c>
      <c r="R32" s="80" t="s">
        <v>1169</v>
      </c>
      <c r="AC32" s="237" t="s">
        <v>485</v>
      </c>
      <c r="AD32" s="17">
        <f>AD25-AD30</f>
        <v>638933141</v>
      </c>
      <c r="AJ32" s="10" t="s">
        <v>993</v>
      </c>
      <c r="AL32" s="15" t="s">
        <v>993</v>
      </c>
      <c r="AP32" s="13" t="s">
        <v>992</v>
      </c>
      <c r="AQ32" s="13" t="s">
        <v>993</v>
      </c>
      <c r="AR32" s="13" t="s">
        <v>991</v>
      </c>
      <c r="AS32" s="13" t="s">
        <v>994</v>
      </c>
      <c r="AT32" s="13" t="s">
        <v>996</v>
      </c>
      <c r="AU32" s="236" t="s">
        <v>998</v>
      </c>
      <c r="AY32" s="6" t="s">
        <v>1157</v>
      </c>
      <c r="AZ32" s="235" t="s">
        <v>1136</v>
      </c>
      <c r="BA32" s="235" t="s">
        <v>1178</v>
      </c>
      <c r="BB32" s="6">
        <v>3</v>
      </c>
      <c r="BC32" s="17">
        <f t="shared" si="6"/>
        <v>225000</v>
      </c>
      <c r="BD32" s="116">
        <f t="shared" si="7"/>
        <v>0.02</v>
      </c>
      <c r="BE32" s="17">
        <f t="shared" si="8"/>
        <v>670500</v>
      </c>
      <c r="BF32" s="17"/>
      <c r="BG32" s="235" t="s">
        <v>1136</v>
      </c>
      <c r="BH32" s="250">
        <f t="shared" si="9"/>
        <v>900</v>
      </c>
      <c r="BI32" s="250">
        <f>SUMIF(Table13[Category],Table14[[#This Row],[Category]],Table13[[Quantity ]])</f>
        <v>299</v>
      </c>
      <c r="BJ32" s="250">
        <f>Table14[[#This Row],[Inventory]]-Table14[[#This Row],[Update ]]</f>
        <v>601</v>
      </c>
    </row>
    <row r="33" spans="1:62" ht="21" customHeight="1" x14ac:dyDescent="0.35">
      <c r="A33">
        <v>30</v>
      </c>
      <c r="B33" s="136">
        <v>44962</v>
      </c>
      <c r="C33" s="4" t="s">
        <v>118</v>
      </c>
      <c r="D33" s="1" t="s">
        <v>162</v>
      </c>
      <c r="E33" t="s">
        <v>1095</v>
      </c>
      <c r="F33" s="6" t="s">
        <v>1103</v>
      </c>
      <c r="G33" s="6" t="s">
        <v>1157</v>
      </c>
      <c r="H33" s="235" t="str">
        <f t="shared" si="0"/>
        <v>Non Food Product</v>
      </c>
      <c r="I33" s="235" t="s">
        <v>1176</v>
      </c>
      <c r="J33" t="str">
        <f t="shared" si="1"/>
        <v>Gold</v>
      </c>
      <c r="K33" s="6">
        <v>2</v>
      </c>
      <c r="L33" s="17">
        <f t="shared" si="2"/>
        <v>45500</v>
      </c>
      <c r="M33" s="116">
        <f t="shared" si="3"/>
        <v>0.02</v>
      </c>
      <c r="N33" s="47" t="str">
        <f t="shared" si="4"/>
        <v>5 Point</v>
      </c>
      <c r="O33" s="17">
        <f t="shared" si="5"/>
        <v>90090</v>
      </c>
      <c r="R33" s="80" t="s">
        <v>1170</v>
      </c>
      <c r="AJ33" s="249" t="s">
        <v>1135</v>
      </c>
      <c r="AL33" s="81" t="s">
        <v>1135</v>
      </c>
      <c r="AP33" s="6" t="s">
        <v>1139</v>
      </c>
      <c r="AQ33" s="235" t="s">
        <v>1135</v>
      </c>
      <c r="AR33" s="80" t="s">
        <v>1167</v>
      </c>
      <c r="AS33" t="s">
        <v>1101</v>
      </c>
      <c r="AT33" s="6">
        <v>2</v>
      </c>
      <c r="AU33" s="17">
        <v>85000</v>
      </c>
      <c r="AY33" s="6" t="s">
        <v>1157</v>
      </c>
      <c r="AZ33" s="235" t="s">
        <v>1136</v>
      </c>
      <c r="BA33" s="235" t="s">
        <v>1176</v>
      </c>
      <c r="BB33" s="6">
        <v>2</v>
      </c>
      <c r="BC33" s="17">
        <f t="shared" si="6"/>
        <v>45500</v>
      </c>
      <c r="BD33" s="116">
        <f t="shared" si="7"/>
        <v>0.02</v>
      </c>
      <c r="BE33" s="17">
        <f t="shared" si="8"/>
        <v>90090</v>
      </c>
      <c r="BF33" s="17"/>
      <c r="BG33" s="235" t="s">
        <v>1136</v>
      </c>
      <c r="BH33" s="250">
        <f t="shared" si="9"/>
        <v>900</v>
      </c>
      <c r="BI33" s="250">
        <f>SUMIF(Table13[Category],Table14[[#This Row],[Category]],Table13[[Quantity ]])</f>
        <v>299</v>
      </c>
      <c r="BJ33" s="250">
        <f>Table14[[#This Row],[Inventory]]-Table14[[#This Row],[Update ]]</f>
        <v>601</v>
      </c>
    </row>
    <row r="34" spans="1:62" ht="21" customHeight="1" x14ac:dyDescent="0.35">
      <c r="A34">
        <v>31</v>
      </c>
      <c r="B34" s="136">
        <v>44962</v>
      </c>
      <c r="C34" s="4" t="s">
        <v>119</v>
      </c>
      <c r="D34" s="1" t="s">
        <v>162</v>
      </c>
      <c r="E34" t="s">
        <v>1093</v>
      </c>
      <c r="F34" s="6" t="s">
        <v>1115</v>
      </c>
      <c r="G34" s="6" t="s">
        <v>1150</v>
      </c>
      <c r="H34" s="235" t="str">
        <f t="shared" si="0"/>
        <v>Non Food Product</v>
      </c>
      <c r="I34" s="235" t="s">
        <v>1178</v>
      </c>
      <c r="J34" t="str">
        <f t="shared" si="1"/>
        <v>Gold</v>
      </c>
      <c r="K34" s="6">
        <v>2</v>
      </c>
      <c r="L34" s="17">
        <f t="shared" si="2"/>
        <v>225000</v>
      </c>
      <c r="M34" s="116">
        <f t="shared" si="3"/>
        <v>0.02</v>
      </c>
      <c r="N34" s="47" t="str">
        <f t="shared" si="4"/>
        <v>10 Point</v>
      </c>
      <c r="O34" s="17">
        <f t="shared" si="5"/>
        <v>445500</v>
      </c>
      <c r="R34" s="80" t="s">
        <v>1171</v>
      </c>
      <c r="AC34" s="238" t="s">
        <v>1235</v>
      </c>
      <c r="AL34" s="81" t="s">
        <v>1136</v>
      </c>
      <c r="AP34" s="6" t="s">
        <v>1151</v>
      </c>
      <c r="AQ34" s="235" t="s">
        <v>1135</v>
      </c>
      <c r="AR34" s="80" t="s">
        <v>1167</v>
      </c>
      <c r="AS34" t="s">
        <v>1101</v>
      </c>
      <c r="AT34" s="6">
        <v>3</v>
      </c>
      <c r="AU34" s="17">
        <v>85000</v>
      </c>
      <c r="AY34" s="6" t="s">
        <v>1150</v>
      </c>
      <c r="AZ34" s="235" t="s">
        <v>1136</v>
      </c>
      <c r="BA34" s="235" t="s">
        <v>1178</v>
      </c>
      <c r="BB34" s="6">
        <v>2</v>
      </c>
      <c r="BC34" s="17">
        <f t="shared" si="6"/>
        <v>225000</v>
      </c>
      <c r="BD34" s="116">
        <f t="shared" si="7"/>
        <v>0.02</v>
      </c>
      <c r="BE34" s="17">
        <f t="shared" si="8"/>
        <v>445500</v>
      </c>
      <c r="BF34" s="17"/>
      <c r="BG34" s="235" t="s">
        <v>1136</v>
      </c>
      <c r="BH34" s="250">
        <f t="shared" si="9"/>
        <v>900</v>
      </c>
      <c r="BI34" s="250">
        <f>SUMIF(Table13[Category],Table14[[#This Row],[Category]],Table13[[Quantity ]])</f>
        <v>299</v>
      </c>
      <c r="BJ34" s="250">
        <f>Table14[[#This Row],[Inventory]]-Table14[[#This Row],[Update ]]</f>
        <v>601</v>
      </c>
    </row>
    <row r="35" spans="1:62" ht="21" customHeight="1" x14ac:dyDescent="0.35">
      <c r="A35">
        <v>32</v>
      </c>
      <c r="B35" s="136">
        <v>44962</v>
      </c>
      <c r="C35" s="4" t="s">
        <v>120</v>
      </c>
      <c r="D35" s="1" t="s">
        <v>162</v>
      </c>
      <c r="E35" t="s">
        <v>1093</v>
      </c>
      <c r="F35" s="6" t="s">
        <v>1116</v>
      </c>
      <c r="G35" s="6" t="s">
        <v>1140</v>
      </c>
      <c r="H35" s="235" t="str">
        <f t="shared" si="0"/>
        <v>Non Food Product</v>
      </c>
      <c r="I35" s="235" t="s">
        <v>1176</v>
      </c>
      <c r="J35" t="str">
        <f t="shared" si="1"/>
        <v>Gold</v>
      </c>
      <c r="K35" s="6">
        <v>4</v>
      </c>
      <c r="L35" s="17">
        <f t="shared" si="2"/>
        <v>45500</v>
      </c>
      <c r="M35" s="116">
        <f t="shared" si="3"/>
        <v>0.02</v>
      </c>
      <c r="N35" s="47" t="str">
        <f t="shared" si="4"/>
        <v>5 Point</v>
      </c>
      <c r="O35" s="17">
        <f t="shared" si="5"/>
        <v>181090</v>
      </c>
      <c r="R35" s="80" t="s">
        <v>1172</v>
      </c>
      <c r="AD35" s="15" t="s">
        <v>1135</v>
      </c>
      <c r="AE35" s="15" t="s">
        <v>1136</v>
      </c>
      <c r="AF35" s="15" t="s">
        <v>1138</v>
      </c>
      <c r="AG35" s="15" t="s">
        <v>1137</v>
      </c>
      <c r="AJ35" s="15"/>
      <c r="AL35" s="81" t="s">
        <v>1138</v>
      </c>
      <c r="AP35" s="6" t="s">
        <v>1152</v>
      </c>
      <c r="AQ35" s="235" t="s">
        <v>1135</v>
      </c>
      <c r="AR35" s="80" t="s">
        <v>1167</v>
      </c>
      <c r="AS35" t="s">
        <v>1101</v>
      </c>
      <c r="AT35" s="6">
        <v>2</v>
      </c>
      <c r="AU35" s="17">
        <v>85000</v>
      </c>
      <c r="AY35" s="6" t="s">
        <v>1140</v>
      </c>
      <c r="AZ35" s="235" t="s">
        <v>1136</v>
      </c>
      <c r="BA35" s="235" t="s">
        <v>1176</v>
      </c>
      <c r="BB35" s="6">
        <v>4</v>
      </c>
      <c r="BC35" s="17">
        <f t="shared" si="6"/>
        <v>45500</v>
      </c>
      <c r="BD35" s="116">
        <f t="shared" si="7"/>
        <v>0.02</v>
      </c>
      <c r="BE35" s="17">
        <f t="shared" si="8"/>
        <v>181090</v>
      </c>
      <c r="BF35" s="17"/>
      <c r="BG35" s="235" t="s">
        <v>1136</v>
      </c>
      <c r="BH35" s="250">
        <f t="shared" si="9"/>
        <v>900</v>
      </c>
      <c r="BI35" s="250">
        <f>SUMIF(Table13[Category],Table14[[#This Row],[Category]],Table13[[Quantity ]])</f>
        <v>299</v>
      </c>
      <c r="BJ35" s="250">
        <f>Table14[[#This Row],[Inventory]]-Table14[[#This Row],[Update ]]</f>
        <v>601</v>
      </c>
    </row>
    <row r="36" spans="1:62" ht="21" customHeight="1" x14ac:dyDescent="0.35">
      <c r="A36">
        <v>33</v>
      </c>
      <c r="B36" s="136">
        <v>44962</v>
      </c>
      <c r="C36" s="4" t="s">
        <v>121</v>
      </c>
      <c r="D36" s="1" t="s">
        <v>162</v>
      </c>
      <c r="E36" t="s">
        <v>1093</v>
      </c>
      <c r="F36" s="6" t="s">
        <v>1117</v>
      </c>
      <c r="G36" s="6" t="s">
        <v>1158</v>
      </c>
      <c r="H36" s="235" t="str">
        <f t="shared" ref="H36:H67" si="10">VLOOKUP(LEFT(G36,2),Category,2,0)</f>
        <v>Perishable</v>
      </c>
      <c r="I36" s="235" t="s">
        <v>1188</v>
      </c>
      <c r="J36" t="str">
        <f t="shared" ref="J36:J67" si="11">VLOOKUP(LEFT(F36,1),Barcode,2,0)</f>
        <v>Gold</v>
      </c>
      <c r="K36" s="6">
        <v>4</v>
      </c>
      <c r="L36" s="17">
        <f t="shared" ref="L36:L67" si="12">INDEX($S$40:$S$69,MATCH(I36,$R$40:$R$69,0))</f>
        <v>45555</v>
      </c>
      <c r="M36" s="116">
        <f t="shared" ref="M36:M67" si="13">IF(K36&gt;8,3%,2%)</f>
        <v>0.02</v>
      </c>
      <c r="N36" s="47" t="str">
        <f t="shared" ref="N36:N67" si="14">HLOOKUP(VALUE(RIGHT(F36,2)),Point,2,0)</f>
        <v>15 Point</v>
      </c>
      <c r="O36" s="17">
        <f t="shared" ref="O36:O67" si="15">(K36*L36)-(L36*M36)</f>
        <v>181308.9</v>
      </c>
      <c r="R36" s="80" t="s">
        <v>1173</v>
      </c>
      <c r="AC36" t="s">
        <v>1193</v>
      </c>
      <c r="AD36" s="17">
        <v>94245</v>
      </c>
      <c r="AE36" s="17">
        <v>135628</v>
      </c>
      <c r="AF36" s="17">
        <v>92559</v>
      </c>
      <c r="AG36" s="17">
        <v>52731</v>
      </c>
      <c r="AL36" s="81" t="s">
        <v>1137</v>
      </c>
      <c r="AP36" s="6" t="s">
        <v>1152</v>
      </c>
      <c r="AQ36" s="235" t="s">
        <v>1135</v>
      </c>
      <c r="AR36" s="80" t="s">
        <v>1162</v>
      </c>
      <c r="AS36" t="s">
        <v>1100</v>
      </c>
      <c r="AT36" s="6">
        <v>9</v>
      </c>
      <c r="AU36" s="17">
        <v>85000</v>
      </c>
      <c r="AY36" s="6" t="s">
        <v>1158</v>
      </c>
      <c r="AZ36" s="235" t="s">
        <v>1137</v>
      </c>
      <c r="BA36" s="235" t="s">
        <v>1188</v>
      </c>
      <c r="BB36" s="6">
        <v>4</v>
      </c>
      <c r="BC36" s="17">
        <f t="shared" ref="BC36:BC67" si="16">INDEX($S$40:$S$69,MATCH(BA36,$R$40:$R$69,0))</f>
        <v>45555</v>
      </c>
      <c r="BD36" s="116">
        <f t="shared" ref="BD36:BD67" si="17">IF(BB36&gt;8,3%,2%)</f>
        <v>0.02</v>
      </c>
      <c r="BE36" s="17">
        <f t="shared" ref="BE36:BE67" si="18">(BB36*BC36)-(BC36*BD36)</f>
        <v>181308.9</v>
      </c>
      <c r="BF36" s="17"/>
      <c r="BG36" s="235" t="s">
        <v>1137</v>
      </c>
      <c r="BH36" s="250">
        <f t="shared" ref="BH36:BH67" si="19">IF(AZ36="Food Product",700,IF(AZ36="Non Food Product",900,IF(AZ36="General Merchandise Product",855,755)))</f>
        <v>755</v>
      </c>
      <c r="BI36" s="250">
        <f>SUMIF(Table13[Category],Table14[[#This Row],[Category]],Table13[[Quantity ]])</f>
        <v>241</v>
      </c>
      <c r="BJ36" s="250">
        <f>Table14[[#This Row],[Inventory]]-Table14[[#This Row],[Update ]]</f>
        <v>514</v>
      </c>
    </row>
    <row r="37" spans="1:62" ht="21" customHeight="1" x14ac:dyDescent="0.35">
      <c r="A37">
        <v>34</v>
      </c>
      <c r="B37" s="136">
        <v>44962</v>
      </c>
      <c r="C37" s="4" t="s">
        <v>122</v>
      </c>
      <c r="D37" s="1" t="s">
        <v>162</v>
      </c>
      <c r="E37" t="s">
        <v>1093</v>
      </c>
      <c r="F37" s="6" t="s">
        <v>1118</v>
      </c>
      <c r="G37" s="6" t="s">
        <v>1158</v>
      </c>
      <c r="H37" s="235" t="str">
        <f t="shared" si="10"/>
        <v>Perishable</v>
      </c>
      <c r="I37" s="235" t="s">
        <v>1184</v>
      </c>
      <c r="J37" t="str">
        <f t="shared" si="11"/>
        <v>Silver</v>
      </c>
      <c r="K37" s="6">
        <v>5</v>
      </c>
      <c r="L37" s="17">
        <f t="shared" si="12"/>
        <v>25500</v>
      </c>
      <c r="M37" s="116">
        <f t="shared" si="13"/>
        <v>0.02</v>
      </c>
      <c r="N37" s="47" t="str">
        <f t="shared" si="14"/>
        <v>15 Point</v>
      </c>
      <c r="O37" s="17">
        <f t="shared" si="15"/>
        <v>126990</v>
      </c>
      <c r="AC37" t="s">
        <v>1204</v>
      </c>
      <c r="AD37">
        <v>100</v>
      </c>
      <c r="AE37">
        <v>150</v>
      </c>
      <c r="AF37">
        <v>200</v>
      </c>
      <c r="AG37">
        <v>250</v>
      </c>
      <c r="AP37" s="6" t="s">
        <v>1156</v>
      </c>
      <c r="AQ37" s="235" t="s">
        <v>1135</v>
      </c>
      <c r="AR37" s="80" t="s">
        <v>1161</v>
      </c>
      <c r="AS37" t="s">
        <v>1100</v>
      </c>
      <c r="AT37" s="6">
        <v>5</v>
      </c>
      <c r="AU37" s="17">
        <v>155000</v>
      </c>
      <c r="AY37" s="6" t="s">
        <v>1158</v>
      </c>
      <c r="AZ37" s="235" t="s">
        <v>1137</v>
      </c>
      <c r="BA37" s="235" t="s">
        <v>1184</v>
      </c>
      <c r="BB37" s="6">
        <v>5</v>
      </c>
      <c r="BC37" s="17">
        <f t="shared" si="16"/>
        <v>25500</v>
      </c>
      <c r="BD37" s="116">
        <f t="shared" si="17"/>
        <v>0.02</v>
      </c>
      <c r="BE37" s="17">
        <f t="shared" si="18"/>
        <v>126990</v>
      </c>
      <c r="BF37" s="17"/>
      <c r="BG37" s="235" t="s">
        <v>1137</v>
      </c>
      <c r="BH37" s="250">
        <f t="shared" si="19"/>
        <v>755</v>
      </c>
      <c r="BI37" s="250">
        <f>SUMIF(Table13[Category],Table14[[#This Row],[Category]],Table13[[Quantity ]])</f>
        <v>241</v>
      </c>
      <c r="BJ37" s="250">
        <f>Table14[[#This Row],[Inventory]]-Table14[[#This Row],[Update ]]</f>
        <v>514</v>
      </c>
    </row>
    <row r="38" spans="1:62" ht="21" customHeight="1" x14ac:dyDescent="0.35">
      <c r="A38">
        <v>35</v>
      </c>
      <c r="B38" s="136">
        <v>44962</v>
      </c>
      <c r="C38" s="4" t="s">
        <v>123</v>
      </c>
      <c r="D38" s="1" t="s">
        <v>163</v>
      </c>
      <c r="E38" t="s">
        <v>1093</v>
      </c>
      <c r="F38" s="6" t="s">
        <v>1119</v>
      </c>
      <c r="G38" s="6" t="s">
        <v>1141</v>
      </c>
      <c r="H38" s="235" t="str">
        <f t="shared" si="10"/>
        <v>Perishable</v>
      </c>
      <c r="I38" s="235" t="s">
        <v>1184</v>
      </c>
      <c r="J38" t="str">
        <f t="shared" si="11"/>
        <v>Silver</v>
      </c>
      <c r="K38" s="6">
        <v>5</v>
      </c>
      <c r="L38" s="17">
        <f t="shared" si="12"/>
        <v>25500</v>
      </c>
      <c r="M38" s="116">
        <f t="shared" si="13"/>
        <v>0.02</v>
      </c>
      <c r="N38" s="47" t="str">
        <f t="shared" si="14"/>
        <v>5 Point</v>
      </c>
      <c r="O38" s="17">
        <f t="shared" si="15"/>
        <v>126990</v>
      </c>
      <c r="AJ38" s="97" t="s">
        <v>883</v>
      </c>
      <c r="AK38" s="17">
        <v>200000000</v>
      </c>
      <c r="AP38" s="6" t="s">
        <v>1151</v>
      </c>
      <c r="AQ38" s="235" t="s">
        <v>1135</v>
      </c>
      <c r="AR38" s="80" t="s">
        <v>1170</v>
      </c>
      <c r="AS38" t="s">
        <v>1100</v>
      </c>
      <c r="AT38" s="6">
        <v>4</v>
      </c>
      <c r="AU38" s="17">
        <v>55000</v>
      </c>
      <c r="AY38" s="6" t="s">
        <v>1141</v>
      </c>
      <c r="AZ38" s="235" t="s">
        <v>1137</v>
      </c>
      <c r="BA38" s="235" t="s">
        <v>1184</v>
      </c>
      <c r="BB38" s="6">
        <v>5</v>
      </c>
      <c r="BC38" s="17">
        <f t="shared" si="16"/>
        <v>25500</v>
      </c>
      <c r="BD38" s="116">
        <f t="shared" si="17"/>
        <v>0.02</v>
      </c>
      <c r="BE38" s="17">
        <f t="shared" si="18"/>
        <v>126990</v>
      </c>
      <c r="BF38" s="17"/>
      <c r="BG38" s="235" t="s">
        <v>1137</v>
      </c>
      <c r="BH38" s="250">
        <f t="shared" si="19"/>
        <v>755</v>
      </c>
      <c r="BI38" s="250">
        <f>SUMIF(Table13[Category],Table14[[#This Row],[Category]],Table13[[Quantity ]])</f>
        <v>241</v>
      </c>
      <c r="BJ38" s="250">
        <f>Table14[[#This Row],[Inventory]]-Table14[[#This Row],[Update ]]</f>
        <v>514</v>
      </c>
    </row>
    <row r="39" spans="1:62" ht="21" customHeight="1" x14ac:dyDescent="0.35">
      <c r="A39">
        <v>36</v>
      </c>
      <c r="B39" s="136">
        <v>44962</v>
      </c>
      <c r="C39" s="4" t="s">
        <v>124</v>
      </c>
      <c r="D39" s="1" t="s">
        <v>163</v>
      </c>
      <c r="E39" t="s">
        <v>1093</v>
      </c>
      <c r="F39" s="6" t="s">
        <v>1120</v>
      </c>
      <c r="G39" s="6" t="s">
        <v>1143</v>
      </c>
      <c r="H39" s="235" t="str">
        <f t="shared" si="10"/>
        <v>Perishable</v>
      </c>
      <c r="I39" s="235" t="s">
        <v>1187</v>
      </c>
      <c r="J39" t="str">
        <f t="shared" si="11"/>
        <v>Silver</v>
      </c>
      <c r="K39" s="6">
        <v>7</v>
      </c>
      <c r="L39" s="17">
        <f t="shared" si="12"/>
        <v>89999</v>
      </c>
      <c r="M39" s="116">
        <f t="shared" si="13"/>
        <v>0.02</v>
      </c>
      <c r="N39" s="47" t="str">
        <f t="shared" si="14"/>
        <v>20 Point</v>
      </c>
      <c r="O39" s="17">
        <f t="shared" si="15"/>
        <v>628193.02</v>
      </c>
      <c r="R39" s="81" t="s">
        <v>1190</v>
      </c>
      <c r="S39" s="15" t="s">
        <v>1189</v>
      </c>
      <c r="U39" s="81" t="s">
        <v>1135</v>
      </c>
      <c r="V39" s="78">
        <f>AVERAGEIF($H$4:$H$183,H13,$L$4:$L$183)</f>
        <v>94245.283018867922</v>
      </c>
      <c r="AC39" t="s">
        <v>1205</v>
      </c>
      <c r="AD39" s="17">
        <v>500000</v>
      </c>
      <c r="AE39" s="17">
        <v>930000</v>
      </c>
      <c r="AF39" s="17">
        <v>1400000</v>
      </c>
      <c r="AG39" s="17">
        <v>875000</v>
      </c>
      <c r="AJ39" s="97" t="s">
        <v>1244</v>
      </c>
      <c r="AK39">
        <v>20</v>
      </c>
      <c r="AL39">
        <f>AK39/AK41</f>
        <v>1.6666666666666667</v>
      </c>
      <c r="AP39" s="6" t="s">
        <v>1151</v>
      </c>
      <c r="AQ39" s="235" t="s">
        <v>1135</v>
      </c>
      <c r="AR39" s="80" t="s">
        <v>1161</v>
      </c>
      <c r="AS39" t="s">
        <v>1100</v>
      </c>
      <c r="AT39" s="6">
        <v>3</v>
      </c>
      <c r="AU39" s="17">
        <v>155000</v>
      </c>
      <c r="AY39" s="6" t="s">
        <v>1143</v>
      </c>
      <c r="AZ39" s="235" t="s">
        <v>1137</v>
      </c>
      <c r="BA39" s="235" t="s">
        <v>1187</v>
      </c>
      <c r="BB39" s="6">
        <v>7</v>
      </c>
      <c r="BC39" s="17">
        <f t="shared" si="16"/>
        <v>89999</v>
      </c>
      <c r="BD39" s="116">
        <f t="shared" si="17"/>
        <v>0.02</v>
      </c>
      <c r="BE39" s="17">
        <f t="shared" si="18"/>
        <v>628193.02</v>
      </c>
      <c r="BF39" s="17"/>
      <c r="BG39" s="235" t="s">
        <v>1137</v>
      </c>
      <c r="BH39" s="250">
        <f t="shared" si="19"/>
        <v>755</v>
      </c>
      <c r="BI39" s="250">
        <f>SUMIF(Table13[Category],Table14[[#This Row],[Category]],Table13[[Quantity ]])</f>
        <v>241</v>
      </c>
      <c r="BJ39" s="250">
        <f>Table14[[#This Row],[Inventory]]-Table14[[#This Row],[Update ]]</f>
        <v>514</v>
      </c>
    </row>
    <row r="40" spans="1:62" ht="21" customHeight="1" x14ac:dyDescent="0.35">
      <c r="A40">
        <v>37</v>
      </c>
      <c r="B40" s="136">
        <v>44963</v>
      </c>
      <c r="C40" s="4" t="s">
        <v>125</v>
      </c>
      <c r="D40" s="1" t="s">
        <v>163</v>
      </c>
      <c r="E40" t="s">
        <v>1093</v>
      </c>
      <c r="F40" s="6" t="s">
        <v>1121</v>
      </c>
      <c r="G40" s="6" t="s">
        <v>1143</v>
      </c>
      <c r="H40" s="235" t="str">
        <f t="shared" si="10"/>
        <v>Perishable</v>
      </c>
      <c r="I40" s="235" t="s">
        <v>1187</v>
      </c>
      <c r="J40" t="str">
        <f t="shared" si="11"/>
        <v>Silver</v>
      </c>
      <c r="K40" s="6">
        <v>8</v>
      </c>
      <c r="L40" s="17">
        <f t="shared" si="12"/>
        <v>89999</v>
      </c>
      <c r="M40" s="116">
        <f t="shared" si="13"/>
        <v>0.02</v>
      </c>
      <c r="N40" s="47" t="str">
        <f t="shared" si="14"/>
        <v>5 Point</v>
      </c>
      <c r="O40" s="17">
        <f t="shared" si="15"/>
        <v>718192.02</v>
      </c>
      <c r="R40" s="80" t="s">
        <v>1159</v>
      </c>
      <c r="S40" s="17">
        <v>75000</v>
      </c>
      <c r="U40" s="81" t="s">
        <v>1136</v>
      </c>
      <c r="V40" s="78">
        <f>AVERAGEIF($H$4:$H$183,H32,$L$4:$L$183)</f>
        <v>135627.6595744681</v>
      </c>
      <c r="AC40" t="s">
        <v>1201</v>
      </c>
      <c r="AD40" s="17">
        <v>850000</v>
      </c>
      <c r="AE40" s="17">
        <v>1162500</v>
      </c>
      <c r="AF40" s="17">
        <v>1600000</v>
      </c>
      <c r="AG40" s="17">
        <v>1950000</v>
      </c>
      <c r="AJ40" s="97" t="s">
        <v>1245</v>
      </c>
      <c r="AK40" s="244">
        <v>12</v>
      </c>
      <c r="AL40" s="246">
        <f>AK40/12</f>
        <v>1</v>
      </c>
      <c r="AP40" s="6" t="s">
        <v>1151</v>
      </c>
      <c r="AQ40" s="235" t="s">
        <v>1135</v>
      </c>
      <c r="AR40" s="80" t="s">
        <v>1170</v>
      </c>
      <c r="AS40" t="s">
        <v>1100</v>
      </c>
      <c r="AT40" s="6">
        <v>2</v>
      </c>
      <c r="AU40" s="17">
        <v>55000</v>
      </c>
      <c r="AY40" s="6" t="s">
        <v>1143</v>
      </c>
      <c r="AZ40" s="235" t="s">
        <v>1137</v>
      </c>
      <c r="BA40" s="235" t="s">
        <v>1187</v>
      </c>
      <c r="BB40" s="6">
        <v>8</v>
      </c>
      <c r="BC40" s="17">
        <f t="shared" si="16"/>
        <v>89999</v>
      </c>
      <c r="BD40" s="116">
        <f t="shared" si="17"/>
        <v>0.02</v>
      </c>
      <c r="BE40" s="17">
        <f t="shared" si="18"/>
        <v>718192.02</v>
      </c>
      <c r="BF40" s="17"/>
      <c r="BG40" s="235" t="s">
        <v>1137</v>
      </c>
      <c r="BH40" s="250">
        <f t="shared" si="19"/>
        <v>755</v>
      </c>
      <c r="BI40" s="250">
        <f>SUMIF(Table13[Category],Table14[[#This Row],[Category]],Table13[[Quantity ]])</f>
        <v>241</v>
      </c>
      <c r="BJ40" s="250">
        <f>Table14[[#This Row],[Inventory]]-Table14[[#This Row],[Update ]]</f>
        <v>514</v>
      </c>
    </row>
    <row r="41" spans="1:62" ht="21" customHeight="1" x14ac:dyDescent="0.35">
      <c r="A41">
        <v>38</v>
      </c>
      <c r="B41" s="136">
        <v>44963</v>
      </c>
      <c r="C41" s="4" t="s">
        <v>126</v>
      </c>
      <c r="D41" s="1" t="s">
        <v>163</v>
      </c>
      <c r="E41" t="s">
        <v>1093</v>
      </c>
      <c r="F41" s="6" t="s">
        <v>1126</v>
      </c>
      <c r="G41" s="6" t="s">
        <v>1143</v>
      </c>
      <c r="H41" s="235" t="str">
        <f t="shared" si="10"/>
        <v>Perishable</v>
      </c>
      <c r="I41" s="235" t="s">
        <v>1187</v>
      </c>
      <c r="J41" t="str">
        <f t="shared" si="11"/>
        <v>Platinum</v>
      </c>
      <c r="K41" s="6">
        <v>8</v>
      </c>
      <c r="L41" s="17">
        <f t="shared" si="12"/>
        <v>89999</v>
      </c>
      <c r="M41" s="116">
        <f t="shared" si="13"/>
        <v>0.02</v>
      </c>
      <c r="N41" s="47" t="str">
        <f t="shared" si="14"/>
        <v>25 Point</v>
      </c>
      <c r="O41" s="17">
        <f t="shared" si="15"/>
        <v>718192.02</v>
      </c>
      <c r="R41" s="80" t="s">
        <v>1160</v>
      </c>
      <c r="S41" s="17">
        <v>120000</v>
      </c>
      <c r="U41" s="81" t="s">
        <v>1138</v>
      </c>
      <c r="V41" s="78">
        <f>AVERAGEIF($H$4:$H$183,H46,$L$4:$L$183)</f>
        <v>92558.823529411762</v>
      </c>
      <c r="AC41" t="s">
        <v>1206</v>
      </c>
      <c r="AD41" s="17">
        <v>350000</v>
      </c>
      <c r="AE41" s="17">
        <v>675000</v>
      </c>
      <c r="AF41" s="17">
        <v>2300000</v>
      </c>
      <c r="AG41" s="17">
        <v>1750000</v>
      </c>
      <c r="AJ41" s="97" t="s">
        <v>1246</v>
      </c>
      <c r="AK41">
        <v>12</v>
      </c>
      <c r="AL41" s="243"/>
      <c r="AP41" s="6" t="s">
        <v>1139</v>
      </c>
      <c r="AQ41" s="235" t="s">
        <v>1135</v>
      </c>
      <c r="AR41" s="80" t="s">
        <v>1173</v>
      </c>
      <c r="AS41" t="s">
        <v>1100</v>
      </c>
      <c r="AT41" s="6">
        <v>3</v>
      </c>
      <c r="AU41" s="17">
        <v>185000</v>
      </c>
      <c r="AY41" s="6" t="s">
        <v>1143</v>
      </c>
      <c r="AZ41" s="235" t="s">
        <v>1137</v>
      </c>
      <c r="BA41" s="235" t="s">
        <v>1187</v>
      </c>
      <c r="BB41" s="6">
        <v>8</v>
      </c>
      <c r="BC41" s="17">
        <f t="shared" si="16"/>
        <v>89999</v>
      </c>
      <c r="BD41" s="116">
        <f t="shared" si="17"/>
        <v>0.02</v>
      </c>
      <c r="BE41" s="17">
        <f t="shared" si="18"/>
        <v>718192.02</v>
      </c>
      <c r="BF41" s="17"/>
      <c r="BG41" s="235" t="s">
        <v>1137</v>
      </c>
      <c r="BH41" s="250">
        <f t="shared" si="19"/>
        <v>755</v>
      </c>
      <c r="BI41" s="250">
        <f>SUMIF(Table13[Category],Table14[[#This Row],[Category]],Table13[[Quantity ]])</f>
        <v>241</v>
      </c>
      <c r="BJ41" s="250">
        <f>Table14[[#This Row],[Inventory]]-Table14[[#This Row],[Update ]]</f>
        <v>514</v>
      </c>
    </row>
    <row r="42" spans="1:62" ht="21" customHeight="1" x14ac:dyDescent="0.35">
      <c r="A42">
        <v>39</v>
      </c>
      <c r="B42" s="136">
        <v>44963</v>
      </c>
      <c r="C42" s="4" t="s">
        <v>127</v>
      </c>
      <c r="D42" s="1" t="s">
        <v>162</v>
      </c>
      <c r="E42" t="s">
        <v>1093</v>
      </c>
      <c r="F42" s="6" t="s">
        <v>1121</v>
      </c>
      <c r="G42" s="6" t="s">
        <v>1158</v>
      </c>
      <c r="H42" s="235" t="str">
        <f t="shared" si="10"/>
        <v>Perishable</v>
      </c>
      <c r="I42" s="235" t="s">
        <v>1184</v>
      </c>
      <c r="J42" t="str">
        <f t="shared" si="11"/>
        <v>Silver</v>
      </c>
      <c r="K42" s="6">
        <v>7</v>
      </c>
      <c r="L42" s="17">
        <f t="shared" si="12"/>
        <v>25500</v>
      </c>
      <c r="M42" s="116">
        <f t="shared" si="13"/>
        <v>0.02</v>
      </c>
      <c r="N42" s="47" t="str">
        <f t="shared" si="14"/>
        <v>5 Point</v>
      </c>
      <c r="O42" s="17">
        <f t="shared" si="15"/>
        <v>177990</v>
      </c>
      <c r="R42" s="80" t="s">
        <v>1161</v>
      </c>
      <c r="S42" s="17">
        <v>155000</v>
      </c>
      <c r="U42" s="81" t="s">
        <v>1137</v>
      </c>
      <c r="V42" s="78">
        <f>AVERAGEIF($H$4:$H$183,H36,$L$4:$L$183)</f>
        <v>52731.304347826088</v>
      </c>
      <c r="AC42" t="s">
        <v>1199</v>
      </c>
      <c r="AD42" s="17">
        <v>1700000</v>
      </c>
      <c r="AE42" s="17">
        <v>2767500</v>
      </c>
      <c r="AF42" s="17">
        <v>5300000</v>
      </c>
      <c r="AG42" s="17">
        <v>4575000</v>
      </c>
      <c r="AJ42" s="97"/>
      <c r="AP42" s="6" t="s">
        <v>1139</v>
      </c>
      <c r="AQ42" s="235" t="s">
        <v>1135</v>
      </c>
      <c r="AR42" s="80" t="s">
        <v>1172</v>
      </c>
      <c r="AS42" t="s">
        <v>1102</v>
      </c>
      <c r="AT42" s="6">
        <v>3</v>
      </c>
      <c r="AU42" s="17">
        <v>170000</v>
      </c>
      <c r="AY42" s="6" t="s">
        <v>1158</v>
      </c>
      <c r="AZ42" s="235" t="s">
        <v>1137</v>
      </c>
      <c r="BA42" s="235" t="s">
        <v>1184</v>
      </c>
      <c r="BB42" s="6">
        <v>7</v>
      </c>
      <c r="BC42" s="17">
        <f t="shared" si="16"/>
        <v>25500</v>
      </c>
      <c r="BD42" s="116">
        <f t="shared" si="17"/>
        <v>0.02</v>
      </c>
      <c r="BE42" s="17">
        <f t="shared" si="18"/>
        <v>177990</v>
      </c>
      <c r="BF42" s="17"/>
      <c r="BG42" s="235" t="s">
        <v>1137</v>
      </c>
      <c r="BH42" s="250">
        <f t="shared" si="19"/>
        <v>755</v>
      </c>
      <c r="BI42" s="250">
        <f>SUMIF(Table13[Category],Table14[[#This Row],[Category]],Table13[[Quantity ]])</f>
        <v>241</v>
      </c>
      <c r="BJ42" s="250">
        <f>Table14[[#This Row],[Inventory]]-Table14[[#This Row],[Update ]]</f>
        <v>514</v>
      </c>
    </row>
    <row r="43" spans="1:62" ht="21" customHeight="1" x14ac:dyDescent="0.35">
      <c r="A43">
        <v>40</v>
      </c>
      <c r="B43" s="136">
        <v>44963</v>
      </c>
      <c r="C43" s="4" t="s">
        <v>128</v>
      </c>
      <c r="D43" s="1" t="s">
        <v>162</v>
      </c>
      <c r="E43" t="s">
        <v>1093</v>
      </c>
      <c r="F43" s="6" t="s">
        <v>1126</v>
      </c>
      <c r="G43" s="6" t="s">
        <v>1158</v>
      </c>
      <c r="H43" s="235" t="str">
        <f t="shared" si="10"/>
        <v>Perishable</v>
      </c>
      <c r="I43" s="235" t="s">
        <v>1184</v>
      </c>
      <c r="J43" t="str">
        <f t="shared" si="11"/>
        <v>Platinum</v>
      </c>
      <c r="K43" s="6">
        <v>7</v>
      </c>
      <c r="L43" s="17">
        <f t="shared" si="12"/>
        <v>25500</v>
      </c>
      <c r="M43" s="116">
        <f t="shared" si="13"/>
        <v>0.02</v>
      </c>
      <c r="N43" s="47" t="str">
        <f t="shared" si="14"/>
        <v>25 Point</v>
      </c>
      <c r="O43" s="17">
        <f t="shared" si="15"/>
        <v>177990</v>
      </c>
      <c r="R43" s="80" t="s">
        <v>1162</v>
      </c>
      <c r="S43" s="17">
        <v>85000</v>
      </c>
      <c r="AJ43" s="15" t="s">
        <v>1247</v>
      </c>
      <c r="AK43" s="15" t="s">
        <v>1248</v>
      </c>
      <c r="AL43" s="15" t="s">
        <v>1249</v>
      </c>
      <c r="AM43" s="15" t="s">
        <v>1250</v>
      </c>
      <c r="AP43" s="6" t="s">
        <v>1152</v>
      </c>
      <c r="AQ43" s="235" t="s">
        <v>1135</v>
      </c>
      <c r="AR43" s="80" t="s">
        <v>1169</v>
      </c>
      <c r="AS43" t="s">
        <v>1102</v>
      </c>
      <c r="AT43" s="6">
        <v>8</v>
      </c>
      <c r="AU43" s="17">
        <v>175000</v>
      </c>
      <c r="AY43" s="6" t="s">
        <v>1158</v>
      </c>
      <c r="AZ43" s="235" t="s">
        <v>1137</v>
      </c>
      <c r="BA43" s="235" t="s">
        <v>1184</v>
      </c>
      <c r="BB43" s="6">
        <v>7</v>
      </c>
      <c r="BC43" s="17">
        <f t="shared" si="16"/>
        <v>25500</v>
      </c>
      <c r="BD43" s="116">
        <f t="shared" si="17"/>
        <v>0.02</v>
      </c>
      <c r="BE43" s="17">
        <f t="shared" si="18"/>
        <v>177990</v>
      </c>
      <c r="BF43" s="17"/>
      <c r="BG43" s="235" t="s">
        <v>1137</v>
      </c>
      <c r="BH43" s="250">
        <f t="shared" si="19"/>
        <v>755</v>
      </c>
      <c r="BI43" s="250">
        <f>SUMIF(Table13[Category],Table14[[#This Row],[Category]],Table13[[Quantity ]])</f>
        <v>241</v>
      </c>
      <c r="BJ43" s="250">
        <f>Table14[[#This Row],[Inventory]]-Table14[[#This Row],[Update ]]</f>
        <v>514</v>
      </c>
    </row>
    <row r="44" spans="1:62" ht="21" customHeight="1" x14ac:dyDescent="0.35">
      <c r="A44">
        <v>41</v>
      </c>
      <c r="B44" s="136">
        <v>44963</v>
      </c>
      <c r="C44" s="4" t="s">
        <v>1007</v>
      </c>
      <c r="D44" s="1" t="s">
        <v>162</v>
      </c>
      <c r="E44" t="s">
        <v>1095</v>
      </c>
      <c r="F44" s="6" t="s">
        <v>1127</v>
      </c>
      <c r="G44" s="6" t="s">
        <v>1141</v>
      </c>
      <c r="H44" s="235" t="str">
        <f t="shared" si="10"/>
        <v>Perishable</v>
      </c>
      <c r="I44" s="235" t="s">
        <v>1184</v>
      </c>
      <c r="J44" t="str">
        <f t="shared" si="11"/>
        <v>Platinum</v>
      </c>
      <c r="K44" s="6">
        <v>5</v>
      </c>
      <c r="L44" s="17">
        <f t="shared" si="12"/>
        <v>25500</v>
      </c>
      <c r="M44" s="116">
        <f t="shared" si="13"/>
        <v>0.02</v>
      </c>
      <c r="N44" s="47" t="str">
        <f t="shared" si="14"/>
        <v>25 Point</v>
      </c>
      <c r="O44" s="17">
        <f t="shared" si="15"/>
        <v>126990</v>
      </c>
      <c r="R44" s="80" t="s">
        <v>1163</v>
      </c>
      <c r="S44" s="17">
        <v>55000</v>
      </c>
      <c r="AC44" s="97" t="s">
        <v>420</v>
      </c>
      <c r="AD44" s="240">
        <v>7724500</v>
      </c>
      <c r="AE44" s="240">
        <v>17576700</v>
      </c>
      <c r="AF44" s="240">
        <v>13211800</v>
      </c>
      <c r="AG44" s="240">
        <v>8607750</v>
      </c>
      <c r="AM44" s="17">
        <f>AK38</f>
        <v>200000000</v>
      </c>
      <c r="AP44" s="6" t="s">
        <v>1156</v>
      </c>
      <c r="AQ44" s="235" t="s">
        <v>1135</v>
      </c>
      <c r="AR44" s="80" t="s">
        <v>1171</v>
      </c>
      <c r="AS44" t="s">
        <v>1100</v>
      </c>
      <c r="AT44" s="6">
        <v>9</v>
      </c>
      <c r="AU44" s="17">
        <v>65000</v>
      </c>
      <c r="AY44" s="6" t="s">
        <v>1141</v>
      </c>
      <c r="AZ44" s="235" t="s">
        <v>1137</v>
      </c>
      <c r="BA44" s="235" t="s">
        <v>1184</v>
      </c>
      <c r="BB44" s="6">
        <v>5</v>
      </c>
      <c r="BC44" s="17">
        <f t="shared" si="16"/>
        <v>25500</v>
      </c>
      <c r="BD44" s="116">
        <f t="shared" si="17"/>
        <v>0.02</v>
      </c>
      <c r="BE44" s="17">
        <f t="shared" si="18"/>
        <v>126990</v>
      </c>
      <c r="BF44" s="17"/>
      <c r="BG44" s="235" t="s">
        <v>1137</v>
      </c>
      <c r="BH44" s="250">
        <f t="shared" si="19"/>
        <v>755</v>
      </c>
      <c r="BI44" s="250">
        <f>SUMIF(Table13[Category],Table14[[#This Row],[Category]],Table13[[Quantity ]])</f>
        <v>241</v>
      </c>
      <c r="BJ44" s="250">
        <f>Table14[[#This Row],[Inventory]]-Table14[[#This Row],[Update ]]</f>
        <v>514</v>
      </c>
    </row>
    <row r="45" spans="1:62" ht="21" customHeight="1" x14ac:dyDescent="0.35">
      <c r="A45">
        <v>42</v>
      </c>
      <c r="B45" s="136">
        <v>44963</v>
      </c>
      <c r="C45" s="4" t="s">
        <v>130</v>
      </c>
      <c r="D45" s="1" t="s">
        <v>162</v>
      </c>
      <c r="E45" t="s">
        <v>1095</v>
      </c>
      <c r="F45" s="6" t="s">
        <v>1126</v>
      </c>
      <c r="G45" s="6" t="s">
        <v>1141</v>
      </c>
      <c r="H45" s="235" t="str">
        <f t="shared" si="10"/>
        <v>Perishable</v>
      </c>
      <c r="I45" s="235" t="s">
        <v>1184</v>
      </c>
      <c r="J45" t="str">
        <f t="shared" si="11"/>
        <v>Platinum</v>
      </c>
      <c r="K45" s="6">
        <v>4</v>
      </c>
      <c r="L45" s="17">
        <f t="shared" si="12"/>
        <v>25500</v>
      </c>
      <c r="M45" s="116">
        <f t="shared" si="13"/>
        <v>0.02</v>
      </c>
      <c r="N45" s="47" t="str">
        <f t="shared" si="14"/>
        <v>25 Point</v>
      </c>
      <c r="O45" s="17">
        <f t="shared" si="15"/>
        <v>101490</v>
      </c>
      <c r="R45" s="80" t="s">
        <v>1164</v>
      </c>
      <c r="S45" s="17">
        <v>125000</v>
      </c>
      <c r="AJ45" s="245">
        <v>1</v>
      </c>
      <c r="AK45" s="17">
        <f t="shared" ref="AK45:AK64" si="20">IPMT($AL$40%,AJ45,$AK$39,$AM$44)</f>
        <v>-2000000.0000000002</v>
      </c>
      <c r="AL45" s="17">
        <f t="shared" ref="AL45:AL64" si="21">PPMT($AL$40%,AJ45,$AK$39,-$AM$44)</f>
        <v>9083062.9781102724</v>
      </c>
      <c r="AM45" s="248">
        <f t="shared" ref="AM45:AM64" si="22">AM44-AL45</f>
        <v>190916937.02188972</v>
      </c>
      <c r="AP45" s="6" t="s">
        <v>1151</v>
      </c>
      <c r="AQ45" s="235" t="s">
        <v>1135</v>
      </c>
      <c r="AR45" s="80" t="s">
        <v>1171</v>
      </c>
      <c r="AS45" t="s">
        <v>1101</v>
      </c>
      <c r="AT45" s="6">
        <v>11</v>
      </c>
      <c r="AU45" s="17">
        <v>65000</v>
      </c>
      <c r="AY45" s="6" t="s">
        <v>1141</v>
      </c>
      <c r="AZ45" s="235" t="s">
        <v>1137</v>
      </c>
      <c r="BA45" s="235" t="s">
        <v>1184</v>
      </c>
      <c r="BB45" s="6">
        <v>4</v>
      </c>
      <c r="BC45" s="17">
        <f t="shared" si="16"/>
        <v>25500</v>
      </c>
      <c r="BD45" s="116">
        <f t="shared" si="17"/>
        <v>0.02</v>
      </c>
      <c r="BE45" s="17">
        <f t="shared" si="18"/>
        <v>101490</v>
      </c>
      <c r="BF45" s="17"/>
      <c r="BG45" s="235" t="s">
        <v>1137</v>
      </c>
      <c r="BH45" s="250">
        <f t="shared" si="19"/>
        <v>755</v>
      </c>
      <c r="BI45" s="250">
        <f>SUMIF(Table13[Category],Table14[[#This Row],[Category]],Table13[[Quantity ]])</f>
        <v>241</v>
      </c>
      <c r="BJ45" s="250">
        <f>Table14[[#This Row],[Inventory]]-Table14[[#This Row],[Update ]]</f>
        <v>514</v>
      </c>
    </row>
    <row r="46" spans="1:62" ht="21" customHeight="1" x14ac:dyDescent="0.35">
      <c r="A46">
        <v>43</v>
      </c>
      <c r="B46" s="136">
        <v>44964</v>
      </c>
      <c r="C46" s="4" t="s">
        <v>131</v>
      </c>
      <c r="D46" s="1" t="s">
        <v>163</v>
      </c>
      <c r="E46" t="s">
        <v>1095</v>
      </c>
      <c r="F46" s="6" t="s">
        <v>1127</v>
      </c>
      <c r="G46" s="6" t="s">
        <v>1155</v>
      </c>
      <c r="H46" s="235" t="str">
        <f t="shared" si="10"/>
        <v>General Merchandise Product</v>
      </c>
      <c r="I46" s="80" t="s">
        <v>1182</v>
      </c>
      <c r="J46" t="str">
        <f t="shared" si="11"/>
        <v>Platinum</v>
      </c>
      <c r="K46" s="6">
        <v>6</v>
      </c>
      <c r="L46" s="17">
        <f t="shared" si="12"/>
        <v>110500</v>
      </c>
      <c r="M46" s="116">
        <f t="shared" si="13"/>
        <v>0.02</v>
      </c>
      <c r="N46" s="47" t="str">
        <f t="shared" si="14"/>
        <v>25 Point</v>
      </c>
      <c r="O46" s="17">
        <f t="shared" si="15"/>
        <v>660790</v>
      </c>
      <c r="R46" s="80" t="s">
        <v>1165</v>
      </c>
      <c r="S46" s="17">
        <v>95000</v>
      </c>
      <c r="AJ46" s="245">
        <v>2</v>
      </c>
      <c r="AK46" s="17">
        <f t="shared" si="20"/>
        <v>-1909169.3702188975</v>
      </c>
      <c r="AL46" s="17">
        <f t="shared" si="21"/>
        <v>9173893.6078913752</v>
      </c>
      <c r="AM46" s="248">
        <f t="shared" si="22"/>
        <v>181743043.41399834</v>
      </c>
      <c r="AP46" s="6" t="s">
        <v>1151</v>
      </c>
      <c r="AQ46" s="235" t="s">
        <v>1135</v>
      </c>
      <c r="AR46" s="80" t="s">
        <v>1166</v>
      </c>
      <c r="AS46" t="s">
        <v>1100</v>
      </c>
      <c r="AT46" s="6">
        <v>10</v>
      </c>
      <c r="AU46" s="17">
        <v>90000</v>
      </c>
      <c r="AY46" s="6" t="s">
        <v>1155</v>
      </c>
      <c r="AZ46" s="235" t="s">
        <v>1138</v>
      </c>
      <c r="BA46" s="80" t="s">
        <v>1182</v>
      </c>
      <c r="BB46" s="6">
        <v>6</v>
      </c>
      <c r="BC46" s="17">
        <f t="shared" si="16"/>
        <v>110500</v>
      </c>
      <c r="BD46" s="116">
        <f t="shared" si="17"/>
        <v>0.02</v>
      </c>
      <c r="BE46" s="17">
        <f t="shared" si="18"/>
        <v>660790</v>
      </c>
      <c r="BF46" s="17"/>
      <c r="BG46" s="235" t="s">
        <v>1138</v>
      </c>
      <c r="BH46" s="250">
        <f t="shared" si="19"/>
        <v>855</v>
      </c>
      <c r="BI46" s="250">
        <f>SUMIF(Table13[Category],Table14[[#This Row],[Category]],Table13[[Quantity ]])</f>
        <v>215</v>
      </c>
      <c r="BJ46" s="250">
        <f>Table14[[#This Row],[Inventory]]-Table14[[#This Row],[Update ]]</f>
        <v>640</v>
      </c>
    </row>
    <row r="47" spans="1:62" ht="21" customHeight="1" x14ac:dyDescent="0.35">
      <c r="A47">
        <v>44</v>
      </c>
      <c r="B47" s="136">
        <v>44964</v>
      </c>
      <c r="C47" s="4" t="s">
        <v>96</v>
      </c>
      <c r="D47" s="1" t="s">
        <v>162</v>
      </c>
      <c r="E47" t="s">
        <v>1095</v>
      </c>
      <c r="F47" s="6" t="s">
        <v>1126</v>
      </c>
      <c r="G47" s="6" t="s">
        <v>1142</v>
      </c>
      <c r="H47" s="235" t="str">
        <f t="shared" si="10"/>
        <v>General Merchandise Product</v>
      </c>
      <c r="I47" s="80" t="s">
        <v>1183</v>
      </c>
      <c r="J47" t="str">
        <f t="shared" si="11"/>
        <v>Platinum</v>
      </c>
      <c r="K47" s="6">
        <v>8</v>
      </c>
      <c r="L47" s="17">
        <f t="shared" si="12"/>
        <v>135500</v>
      </c>
      <c r="M47" s="116">
        <f t="shared" si="13"/>
        <v>0.02</v>
      </c>
      <c r="N47" s="47" t="str">
        <f t="shared" si="14"/>
        <v>25 Point</v>
      </c>
      <c r="O47" s="17">
        <f t="shared" si="15"/>
        <v>1081290</v>
      </c>
      <c r="R47" s="80" t="s">
        <v>1166</v>
      </c>
      <c r="S47" s="17">
        <v>90000</v>
      </c>
      <c r="AJ47" s="245">
        <v>3</v>
      </c>
      <c r="AK47" s="17">
        <f t="shared" si="20"/>
        <v>-1817430.4341399835</v>
      </c>
      <c r="AL47" s="17">
        <f t="shared" si="21"/>
        <v>9265632.5439702887</v>
      </c>
      <c r="AM47" s="248">
        <f t="shared" si="22"/>
        <v>172477410.87002805</v>
      </c>
      <c r="AP47" s="6" t="s">
        <v>1151</v>
      </c>
      <c r="AQ47" s="235" t="s">
        <v>1135</v>
      </c>
      <c r="AR47" s="80" t="s">
        <v>1165</v>
      </c>
      <c r="AS47" t="s">
        <v>1101</v>
      </c>
      <c r="AT47" s="6">
        <v>9</v>
      </c>
      <c r="AU47" s="17">
        <v>95000</v>
      </c>
      <c r="AY47" s="6" t="s">
        <v>1142</v>
      </c>
      <c r="AZ47" s="235" t="s">
        <v>1138</v>
      </c>
      <c r="BA47" s="80" t="s">
        <v>1183</v>
      </c>
      <c r="BB47" s="6">
        <v>8</v>
      </c>
      <c r="BC47" s="17">
        <f t="shared" si="16"/>
        <v>135500</v>
      </c>
      <c r="BD47" s="116">
        <f t="shared" si="17"/>
        <v>0.02</v>
      </c>
      <c r="BE47" s="17">
        <f t="shared" si="18"/>
        <v>1081290</v>
      </c>
      <c r="BF47" s="17"/>
      <c r="BG47" s="235" t="s">
        <v>1138</v>
      </c>
      <c r="BH47" s="250">
        <f t="shared" si="19"/>
        <v>855</v>
      </c>
      <c r="BI47" s="250">
        <f>SUMIF(Table13[Category],Table14[[#This Row],[Category]],Table13[[Quantity ]])</f>
        <v>215</v>
      </c>
      <c r="BJ47" s="250">
        <f>Table14[[#This Row],[Inventory]]-Table14[[#This Row],[Update ]]</f>
        <v>640</v>
      </c>
    </row>
    <row r="48" spans="1:62" ht="21" customHeight="1" x14ac:dyDescent="0.35">
      <c r="A48">
        <v>45</v>
      </c>
      <c r="B48" s="136">
        <v>44964</v>
      </c>
      <c r="C48" s="4" t="s">
        <v>97</v>
      </c>
      <c r="D48" s="1" t="s">
        <v>162</v>
      </c>
      <c r="E48" t="s">
        <v>1095</v>
      </c>
      <c r="F48" s="6" t="s">
        <v>1127</v>
      </c>
      <c r="G48" s="6" t="s">
        <v>1152</v>
      </c>
      <c r="H48" s="235" t="str">
        <f t="shared" si="10"/>
        <v>Food Product</v>
      </c>
      <c r="I48" s="80" t="s">
        <v>1169</v>
      </c>
      <c r="J48" t="str">
        <f t="shared" si="11"/>
        <v>Platinum</v>
      </c>
      <c r="K48" s="6">
        <v>8</v>
      </c>
      <c r="L48" s="17">
        <f t="shared" si="12"/>
        <v>175000</v>
      </c>
      <c r="M48" s="116">
        <f t="shared" si="13"/>
        <v>0.02</v>
      </c>
      <c r="N48" s="47" t="str">
        <f t="shared" si="14"/>
        <v>25 Point</v>
      </c>
      <c r="O48" s="17">
        <f t="shared" si="15"/>
        <v>1396500</v>
      </c>
      <c r="R48" s="80" t="s">
        <v>1167</v>
      </c>
      <c r="S48" s="17">
        <v>85000</v>
      </c>
      <c r="AJ48" s="245">
        <v>4</v>
      </c>
      <c r="AK48" s="17">
        <f t="shared" si="20"/>
        <v>-1724774.1087002808</v>
      </c>
      <c r="AL48" s="17">
        <f t="shared" si="21"/>
        <v>9358288.8694099914</v>
      </c>
      <c r="AM48" s="248">
        <f t="shared" si="22"/>
        <v>163119122.00061807</v>
      </c>
      <c r="AP48" s="6" t="s">
        <v>1139</v>
      </c>
      <c r="AQ48" s="235" t="s">
        <v>1135</v>
      </c>
      <c r="AR48" s="80" t="s">
        <v>1165</v>
      </c>
      <c r="AS48" t="s">
        <v>1100</v>
      </c>
      <c r="AT48" s="6">
        <v>5</v>
      </c>
      <c r="AU48" s="17">
        <v>95000</v>
      </c>
      <c r="AY48" s="6" t="s">
        <v>1152</v>
      </c>
      <c r="AZ48" s="235" t="s">
        <v>1135</v>
      </c>
      <c r="BA48" s="80" t="s">
        <v>1169</v>
      </c>
      <c r="BB48" s="6">
        <v>8</v>
      </c>
      <c r="BC48" s="17">
        <f t="shared" si="16"/>
        <v>175000</v>
      </c>
      <c r="BD48" s="116">
        <f t="shared" si="17"/>
        <v>0.02</v>
      </c>
      <c r="BE48" s="17">
        <f t="shared" si="18"/>
        <v>1396500</v>
      </c>
      <c r="BF48" s="17"/>
      <c r="BG48" s="235" t="s">
        <v>1135</v>
      </c>
      <c r="BH48" s="250">
        <f t="shared" si="19"/>
        <v>700</v>
      </c>
      <c r="BI48" s="250">
        <f>SUMIF(Table13[Category],Table14[[#This Row],[Category]],Table13[[Quantity ]])</f>
        <v>345</v>
      </c>
      <c r="BJ48" s="250">
        <f>Table14[[#This Row],[Inventory]]-Table14[[#This Row],[Update ]]</f>
        <v>355</v>
      </c>
    </row>
    <row r="49" spans="1:62" ht="21" customHeight="1" x14ac:dyDescent="0.35">
      <c r="A49">
        <v>46</v>
      </c>
      <c r="B49" s="136">
        <v>44964</v>
      </c>
      <c r="C49" s="4" t="s">
        <v>98</v>
      </c>
      <c r="D49" s="1" t="s">
        <v>163</v>
      </c>
      <c r="E49" t="s">
        <v>1092</v>
      </c>
      <c r="F49" s="6" t="s">
        <v>1103</v>
      </c>
      <c r="G49" s="6" t="s">
        <v>1156</v>
      </c>
      <c r="H49" s="235" t="str">
        <f t="shared" si="10"/>
        <v>Food Product</v>
      </c>
      <c r="I49" s="80" t="s">
        <v>1171</v>
      </c>
      <c r="J49" t="str">
        <f t="shared" si="11"/>
        <v>Gold</v>
      </c>
      <c r="K49" s="6">
        <v>9</v>
      </c>
      <c r="L49" s="17">
        <f t="shared" si="12"/>
        <v>65000</v>
      </c>
      <c r="M49" s="116">
        <f t="shared" si="13"/>
        <v>0.03</v>
      </c>
      <c r="N49" s="47" t="str">
        <f t="shared" si="14"/>
        <v>5 Point</v>
      </c>
      <c r="O49" s="17">
        <f t="shared" si="15"/>
        <v>583050</v>
      </c>
      <c r="R49" s="80" t="s">
        <v>1168</v>
      </c>
      <c r="S49" s="17">
        <v>70000</v>
      </c>
      <c r="AJ49" s="245">
        <v>5</v>
      </c>
      <c r="AK49" s="17">
        <f t="shared" si="20"/>
        <v>-1631191.2200061807</v>
      </c>
      <c r="AL49" s="17">
        <f t="shared" si="21"/>
        <v>9451871.7581040934</v>
      </c>
      <c r="AM49" s="248">
        <f t="shared" si="22"/>
        <v>153667250.24251398</v>
      </c>
      <c r="AP49" s="6" t="s">
        <v>1139</v>
      </c>
      <c r="AQ49" s="235" t="s">
        <v>1135</v>
      </c>
      <c r="AR49" s="80" t="s">
        <v>1165</v>
      </c>
      <c r="AS49" t="s">
        <v>1101</v>
      </c>
      <c r="AT49" s="6">
        <v>5</v>
      </c>
      <c r="AU49" s="17">
        <v>95000</v>
      </c>
      <c r="AY49" s="6" t="s">
        <v>1156</v>
      </c>
      <c r="AZ49" s="235" t="s">
        <v>1135</v>
      </c>
      <c r="BA49" s="80" t="s">
        <v>1171</v>
      </c>
      <c r="BB49" s="6">
        <v>9</v>
      </c>
      <c r="BC49" s="17">
        <f t="shared" si="16"/>
        <v>65000</v>
      </c>
      <c r="BD49" s="116">
        <f t="shared" si="17"/>
        <v>0.03</v>
      </c>
      <c r="BE49" s="17">
        <f t="shared" si="18"/>
        <v>583050</v>
      </c>
      <c r="BF49" s="17"/>
      <c r="BG49" s="235" t="s">
        <v>1135</v>
      </c>
      <c r="BH49" s="250">
        <f t="shared" si="19"/>
        <v>700</v>
      </c>
      <c r="BI49" s="250">
        <f>SUMIF(Table13[Category],Table14[[#This Row],[Category]],Table13[[Quantity ]])</f>
        <v>345</v>
      </c>
      <c r="BJ49" s="250">
        <f>Table14[[#This Row],[Inventory]]-Table14[[#This Row],[Update ]]</f>
        <v>355</v>
      </c>
    </row>
    <row r="50" spans="1:62" ht="21" customHeight="1" x14ac:dyDescent="0.35">
      <c r="A50">
        <v>47</v>
      </c>
      <c r="B50" s="136">
        <v>44964</v>
      </c>
      <c r="C50" s="4" t="s">
        <v>99</v>
      </c>
      <c r="D50" s="1" t="s">
        <v>162</v>
      </c>
      <c r="E50" t="s">
        <v>1092</v>
      </c>
      <c r="F50" s="6" t="s">
        <v>1121</v>
      </c>
      <c r="G50" s="6" t="s">
        <v>1151</v>
      </c>
      <c r="H50" s="235" t="str">
        <f t="shared" si="10"/>
        <v>Food Product</v>
      </c>
      <c r="I50" s="80" t="s">
        <v>1171</v>
      </c>
      <c r="J50" t="str">
        <f t="shared" si="11"/>
        <v>Silver</v>
      </c>
      <c r="K50" s="6">
        <v>11</v>
      </c>
      <c r="L50" s="17">
        <f t="shared" si="12"/>
        <v>65000</v>
      </c>
      <c r="M50" s="116">
        <f t="shared" si="13"/>
        <v>0.03</v>
      </c>
      <c r="N50" s="47" t="str">
        <f t="shared" si="14"/>
        <v>5 Point</v>
      </c>
      <c r="O50" s="17">
        <f t="shared" si="15"/>
        <v>713050</v>
      </c>
      <c r="R50" s="80" t="s">
        <v>1169</v>
      </c>
      <c r="S50" s="17">
        <v>175000</v>
      </c>
      <c r="AJ50" s="245">
        <v>6</v>
      </c>
      <c r="AK50" s="17">
        <f t="shared" si="20"/>
        <v>-1536672.5024251395</v>
      </c>
      <c r="AL50" s="17">
        <f t="shared" si="21"/>
        <v>9546390.4756851345</v>
      </c>
      <c r="AM50" s="248">
        <f t="shared" si="22"/>
        <v>144120859.76682884</v>
      </c>
      <c r="AP50" s="6" t="s">
        <v>1139</v>
      </c>
      <c r="AQ50" s="235" t="s">
        <v>1135</v>
      </c>
      <c r="AR50" s="80" t="s">
        <v>1164</v>
      </c>
      <c r="AS50" t="s">
        <v>1100</v>
      </c>
      <c r="AT50" s="6">
        <v>7</v>
      </c>
      <c r="AU50" s="17">
        <v>125000</v>
      </c>
      <c r="AY50" s="6" t="s">
        <v>1151</v>
      </c>
      <c r="AZ50" s="235" t="s">
        <v>1135</v>
      </c>
      <c r="BA50" s="80" t="s">
        <v>1171</v>
      </c>
      <c r="BB50" s="6">
        <v>11</v>
      </c>
      <c r="BC50" s="17">
        <f t="shared" si="16"/>
        <v>65000</v>
      </c>
      <c r="BD50" s="116">
        <f t="shared" si="17"/>
        <v>0.03</v>
      </c>
      <c r="BE50" s="17">
        <f t="shared" si="18"/>
        <v>713050</v>
      </c>
      <c r="BF50" s="17"/>
      <c r="BG50" s="235" t="s">
        <v>1135</v>
      </c>
      <c r="BH50" s="250">
        <f t="shared" si="19"/>
        <v>700</v>
      </c>
      <c r="BI50" s="250">
        <f>SUMIF(Table13[Category],Table14[[#This Row],[Category]],Table13[[Quantity ]])</f>
        <v>345</v>
      </c>
      <c r="BJ50" s="250">
        <f>Table14[[#This Row],[Inventory]]-Table14[[#This Row],[Update ]]</f>
        <v>355</v>
      </c>
    </row>
    <row r="51" spans="1:62" ht="21" customHeight="1" x14ac:dyDescent="0.35">
      <c r="A51">
        <v>48</v>
      </c>
      <c r="B51" s="136">
        <v>44964</v>
      </c>
      <c r="C51" s="4" t="s">
        <v>100</v>
      </c>
      <c r="D51" s="1" t="s">
        <v>163</v>
      </c>
      <c r="E51" t="s">
        <v>1092</v>
      </c>
      <c r="F51" s="6" t="s">
        <v>1134</v>
      </c>
      <c r="G51" s="6" t="s">
        <v>1151</v>
      </c>
      <c r="H51" s="235" t="str">
        <f t="shared" si="10"/>
        <v>Food Product</v>
      </c>
      <c r="I51" s="80" t="s">
        <v>1166</v>
      </c>
      <c r="J51" t="str">
        <f t="shared" si="11"/>
        <v>Gold</v>
      </c>
      <c r="K51" s="6">
        <v>10</v>
      </c>
      <c r="L51" s="17">
        <f t="shared" si="12"/>
        <v>90000</v>
      </c>
      <c r="M51" s="116">
        <f t="shared" si="13"/>
        <v>0.03</v>
      </c>
      <c r="N51" s="47" t="str">
        <f t="shared" si="14"/>
        <v>15 Point</v>
      </c>
      <c r="O51" s="17">
        <f t="shared" si="15"/>
        <v>897300</v>
      </c>
      <c r="R51" s="80" t="s">
        <v>1170</v>
      </c>
      <c r="S51" s="17">
        <v>55000</v>
      </c>
      <c r="AJ51" s="245">
        <v>7</v>
      </c>
      <c r="AK51" s="17">
        <f t="shared" si="20"/>
        <v>-1441208.5976682883</v>
      </c>
      <c r="AL51" s="17">
        <f t="shared" si="21"/>
        <v>9641854.380441986</v>
      </c>
      <c r="AM51" s="248">
        <f t="shared" si="22"/>
        <v>134479005.38638684</v>
      </c>
      <c r="AP51" s="6" t="s">
        <v>1151</v>
      </c>
      <c r="AQ51" s="235" t="s">
        <v>1135</v>
      </c>
      <c r="AR51" s="80" t="s">
        <v>1173</v>
      </c>
      <c r="AS51" t="s">
        <v>1100</v>
      </c>
      <c r="AT51" s="6">
        <v>8</v>
      </c>
      <c r="AU51" s="17">
        <v>185000</v>
      </c>
      <c r="AY51" s="6" t="s">
        <v>1151</v>
      </c>
      <c r="AZ51" s="235" t="s">
        <v>1135</v>
      </c>
      <c r="BA51" s="80" t="s">
        <v>1166</v>
      </c>
      <c r="BB51" s="6">
        <v>10</v>
      </c>
      <c r="BC51" s="17">
        <f t="shared" si="16"/>
        <v>90000</v>
      </c>
      <c r="BD51" s="116">
        <f t="shared" si="17"/>
        <v>0.03</v>
      </c>
      <c r="BE51" s="17">
        <f t="shared" si="18"/>
        <v>897300</v>
      </c>
      <c r="BF51" s="17"/>
      <c r="BG51" s="235" t="s">
        <v>1135</v>
      </c>
      <c r="BH51" s="250">
        <f t="shared" si="19"/>
        <v>700</v>
      </c>
      <c r="BI51" s="250">
        <f>SUMIF(Table13[Category],Table14[[#This Row],[Category]],Table13[[Quantity ]])</f>
        <v>345</v>
      </c>
      <c r="BJ51" s="250">
        <f>Table14[[#This Row],[Inventory]]-Table14[[#This Row],[Update ]]</f>
        <v>355</v>
      </c>
    </row>
    <row r="52" spans="1:62" ht="21" customHeight="1" x14ac:dyDescent="0.35">
      <c r="A52">
        <v>49</v>
      </c>
      <c r="B52" s="136">
        <v>44964</v>
      </c>
      <c r="C52" s="4" t="s">
        <v>101</v>
      </c>
      <c r="D52" s="1" t="s">
        <v>163</v>
      </c>
      <c r="E52" t="s">
        <v>1092</v>
      </c>
      <c r="F52" s="6" t="s">
        <v>1121</v>
      </c>
      <c r="G52" s="6" t="s">
        <v>1151</v>
      </c>
      <c r="H52" s="235" t="str">
        <f t="shared" si="10"/>
        <v>Food Product</v>
      </c>
      <c r="I52" s="80" t="s">
        <v>1165</v>
      </c>
      <c r="J52" t="str">
        <f t="shared" si="11"/>
        <v>Silver</v>
      </c>
      <c r="K52" s="6">
        <v>9</v>
      </c>
      <c r="L52" s="17">
        <f t="shared" si="12"/>
        <v>95000</v>
      </c>
      <c r="M52" s="116">
        <f t="shared" si="13"/>
        <v>0.03</v>
      </c>
      <c r="N52" s="47" t="str">
        <f t="shared" si="14"/>
        <v>5 Point</v>
      </c>
      <c r="O52" s="17">
        <f t="shared" si="15"/>
        <v>852150</v>
      </c>
      <c r="R52" s="80" t="s">
        <v>1171</v>
      </c>
      <c r="S52" s="17">
        <v>65000</v>
      </c>
      <c r="AJ52" s="245">
        <v>8</v>
      </c>
      <c r="AK52" s="17">
        <f t="shared" si="20"/>
        <v>-1344790.0538638684</v>
      </c>
      <c r="AL52" s="17">
        <f t="shared" si="21"/>
        <v>9738272.9242464043</v>
      </c>
      <c r="AM52" s="248">
        <f t="shared" si="22"/>
        <v>124740732.46214044</v>
      </c>
      <c r="AP52" s="6" t="s">
        <v>1152</v>
      </c>
      <c r="AQ52" s="235" t="s">
        <v>1135</v>
      </c>
      <c r="AR52" s="80" t="s">
        <v>1173</v>
      </c>
      <c r="AS52" t="s">
        <v>1100</v>
      </c>
      <c r="AT52" s="6">
        <v>8</v>
      </c>
      <c r="AU52" s="17">
        <v>185000</v>
      </c>
      <c r="AY52" s="6" t="s">
        <v>1151</v>
      </c>
      <c r="AZ52" s="235" t="s">
        <v>1135</v>
      </c>
      <c r="BA52" s="80" t="s">
        <v>1165</v>
      </c>
      <c r="BB52" s="6">
        <v>9</v>
      </c>
      <c r="BC52" s="17">
        <f t="shared" si="16"/>
        <v>95000</v>
      </c>
      <c r="BD52" s="116">
        <f t="shared" si="17"/>
        <v>0.03</v>
      </c>
      <c r="BE52" s="17">
        <f t="shared" si="18"/>
        <v>852150</v>
      </c>
      <c r="BF52" s="17"/>
      <c r="BG52" s="235" t="s">
        <v>1135</v>
      </c>
      <c r="BH52" s="250">
        <f t="shared" si="19"/>
        <v>700</v>
      </c>
      <c r="BI52" s="250">
        <f>SUMIF(Table13[Category],Table14[[#This Row],[Category]],Table13[[Quantity ]])</f>
        <v>345</v>
      </c>
      <c r="BJ52" s="250">
        <f>Table14[[#This Row],[Inventory]]-Table14[[#This Row],[Update ]]</f>
        <v>355</v>
      </c>
    </row>
    <row r="53" spans="1:62" ht="21" customHeight="1" x14ac:dyDescent="0.35">
      <c r="A53">
        <v>50</v>
      </c>
      <c r="B53" s="136">
        <v>44965</v>
      </c>
      <c r="C53" s="4" t="s">
        <v>102</v>
      </c>
      <c r="D53" s="1" t="s">
        <v>162</v>
      </c>
      <c r="E53" t="s">
        <v>1092</v>
      </c>
      <c r="F53" s="6" t="s">
        <v>1117</v>
      </c>
      <c r="G53" s="6" t="s">
        <v>1139</v>
      </c>
      <c r="H53" s="235" t="str">
        <f t="shared" si="10"/>
        <v>Food Product</v>
      </c>
      <c r="I53" s="80" t="s">
        <v>1165</v>
      </c>
      <c r="J53" t="str">
        <f t="shared" si="11"/>
        <v>Gold</v>
      </c>
      <c r="K53" s="6">
        <v>5</v>
      </c>
      <c r="L53" s="17">
        <f t="shared" si="12"/>
        <v>95000</v>
      </c>
      <c r="M53" s="116">
        <f t="shared" si="13"/>
        <v>0.02</v>
      </c>
      <c r="N53" s="47" t="str">
        <f t="shared" si="14"/>
        <v>15 Point</v>
      </c>
      <c r="O53" s="17">
        <f t="shared" si="15"/>
        <v>473100</v>
      </c>
      <c r="R53" s="80" t="s">
        <v>1172</v>
      </c>
      <c r="S53" s="17">
        <v>170000</v>
      </c>
      <c r="AJ53" s="245">
        <v>9</v>
      </c>
      <c r="AK53" s="17">
        <f t="shared" si="20"/>
        <v>-1247407.3246214045</v>
      </c>
      <c r="AL53" s="17">
        <f t="shared" si="21"/>
        <v>9835655.6534888688</v>
      </c>
      <c r="AM53" s="248">
        <f t="shared" si="22"/>
        <v>114905076.80865157</v>
      </c>
      <c r="AP53" s="6" t="s">
        <v>1139</v>
      </c>
      <c r="AQ53" s="235" t="s">
        <v>1135</v>
      </c>
      <c r="AR53" s="80" t="s">
        <v>1170</v>
      </c>
      <c r="AS53" t="s">
        <v>1102</v>
      </c>
      <c r="AT53" s="6">
        <v>2</v>
      </c>
      <c r="AU53" s="17">
        <v>55000</v>
      </c>
      <c r="AY53" s="6" t="s">
        <v>1139</v>
      </c>
      <c r="AZ53" s="235" t="s">
        <v>1135</v>
      </c>
      <c r="BA53" s="80" t="s">
        <v>1165</v>
      </c>
      <c r="BB53" s="6">
        <v>5</v>
      </c>
      <c r="BC53" s="17">
        <f t="shared" si="16"/>
        <v>95000</v>
      </c>
      <c r="BD53" s="116">
        <f t="shared" si="17"/>
        <v>0.02</v>
      </c>
      <c r="BE53" s="17">
        <f t="shared" si="18"/>
        <v>473100</v>
      </c>
      <c r="BF53" s="17"/>
      <c r="BG53" s="235" t="s">
        <v>1135</v>
      </c>
      <c r="BH53" s="250">
        <f t="shared" si="19"/>
        <v>700</v>
      </c>
      <c r="BI53" s="250">
        <f>SUMIF(Table13[Category],Table14[[#This Row],[Category]],Table13[[Quantity ]])</f>
        <v>345</v>
      </c>
      <c r="BJ53" s="250">
        <f>Table14[[#This Row],[Inventory]]-Table14[[#This Row],[Update ]]</f>
        <v>355</v>
      </c>
    </row>
    <row r="54" spans="1:62" ht="21" customHeight="1" x14ac:dyDescent="0.35">
      <c r="A54">
        <v>51</v>
      </c>
      <c r="B54" s="136">
        <v>44965</v>
      </c>
      <c r="C54" s="4" t="s">
        <v>103</v>
      </c>
      <c r="D54" s="1" t="s">
        <v>163</v>
      </c>
      <c r="E54" t="s">
        <v>1092</v>
      </c>
      <c r="F54" s="6" t="s">
        <v>1118</v>
      </c>
      <c r="G54" s="6" t="s">
        <v>1139</v>
      </c>
      <c r="H54" s="235" t="str">
        <f t="shared" si="10"/>
        <v>Food Product</v>
      </c>
      <c r="I54" s="80" t="s">
        <v>1165</v>
      </c>
      <c r="J54" t="str">
        <f t="shared" si="11"/>
        <v>Silver</v>
      </c>
      <c r="K54" s="6">
        <v>5</v>
      </c>
      <c r="L54" s="17">
        <f t="shared" si="12"/>
        <v>95000</v>
      </c>
      <c r="M54" s="116">
        <f t="shared" si="13"/>
        <v>0.02</v>
      </c>
      <c r="N54" s="47" t="str">
        <f t="shared" si="14"/>
        <v>15 Point</v>
      </c>
      <c r="O54" s="17">
        <f t="shared" si="15"/>
        <v>473100</v>
      </c>
      <c r="R54" s="80" t="s">
        <v>1173</v>
      </c>
      <c r="S54" s="17">
        <v>185000</v>
      </c>
      <c r="AJ54" s="245">
        <v>10</v>
      </c>
      <c r="AK54" s="17">
        <f t="shared" si="20"/>
        <v>-1149050.7680865156</v>
      </c>
      <c r="AL54" s="17">
        <f t="shared" si="21"/>
        <v>9934012.2100237571</v>
      </c>
      <c r="AM54" s="248">
        <f t="shared" si="22"/>
        <v>104971064.59862781</v>
      </c>
      <c r="AP54" s="6" t="s">
        <v>1151</v>
      </c>
      <c r="AQ54" s="235" t="s">
        <v>1135</v>
      </c>
      <c r="AR54" s="80" t="s">
        <v>1170</v>
      </c>
      <c r="AS54" t="s">
        <v>1100</v>
      </c>
      <c r="AT54" s="6">
        <v>2</v>
      </c>
      <c r="AU54" s="17">
        <v>55000</v>
      </c>
      <c r="AY54" s="6" t="s">
        <v>1139</v>
      </c>
      <c r="AZ54" s="235" t="s">
        <v>1135</v>
      </c>
      <c r="BA54" s="80" t="s">
        <v>1165</v>
      </c>
      <c r="BB54" s="6">
        <v>5</v>
      </c>
      <c r="BC54" s="17">
        <f t="shared" si="16"/>
        <v>95000</v>
      </c>
      <c r="BD54" s="116">
        <f t="shared" si="17"/>
        <v>0.02</v>
      </c>
      <c r="BE54" s="17">
        <f t="shared" si="18"/>
        <v>473100</v>
      </c>
      <c r="BF54" s="17"/>
      <c r="BG54" s="235" t="s">
        <v>1135</v>
      </c>
      <c r="BH54" s="250">
        <f t="shared" si="19"/>
        <v>700</v>
      </c>
      <c r="BI54" s="250">
        <f>SUMIF(Table13[Category],Table14[[#This Row],[Category]],Table13[[Quantity ]])</f>
        <v>345</v>
      </c>
      <c r="BJ54" s="250">
        <f>Table14[[#This Row],[Inventory]]-Table14[[#This Row],[Update ]]</f>
        <v>355</v>
      </c>
    </row>
    <row r="55" spans="1:62" ht="21" customHeight="1" x14ac:dyDescent="0.35">
      <c r="A55">
        <v>52</v>
      </c>
      <c r="B55" s="136">
        <v>44965</v>
      </c>
      <c r="C55" s="4" t="s">
        <v>104</v>
      </c>
      <c r="D55" s="1" t="s">
        <v>162</v>
      </c>
      <c r="E55" t="s">
        <v>1092</v>
      </c>
      <c r="F55" s="6" t="s">
        <v>1119</v>
      </c>
      <c r="G55" s="6" t="s">
        <v>1157</v>
      </c>
      <c r="H55" s="235" t="str">
        <f t="shared" si="10"/>
        <v>Non Food Product</v>
      </c>
      <c r="I55" s="235" t="s">
        <v>1175</v>
      </c>
      <c r="J55" s="84" t="str">
        <f t="shared" si="11"/>
        <v>Silver</v>
      </c>
      <c r="K55" s="6">
        <v>3</v>
      </c>
      <c r="L55" s="17">
        <f t="shared" si="12"/>
        <v>115000</v>
      </c>
      <c r="M55" s="116">
        <f t="shared" si="13"/>
        <v>0.02</v>
      </c>
      <c r="N55" s="47" t="str">
        <f t="shared" si="14"/>
        <v>5 Point</v>
      </c>
      <c r="O55" s="17">
        <f t="shared" si="15"/>
        <v>342700</v>
      </c>
      <c r="R55" s="235" t="s">
        <v>1174</v>
      </c>
      <c r="S55" s="17">
        <v>85500</v>
      </c>
      <c r="AJ55" s="245">
        <v>11</v>
      </c>
      <c r="AK55" s="17">
        <f t="shared" si="20"/>
        <v>-1049710.6459862781</v>
      </c>
      <c r="AL55" s="17">
        <f t="shared" si="21"/>
        <v>10033352.332123995</v>
      </c>
      <c r="AM55" s="248">
        <f t="shared" si="22"/>
        <v>94937712.266503811</v>
      </c>
      <c r="AP55" s="6" t="s">
        <v>1152</v>
      </c>
      <c r="AQ55" s="235" t="s">
        <v>1135</v>
      </c>
      <c r="AR55" s="80" t="s">
        <v>1168</v>
      </c>
      <c r="AS55" t="s">
        <v>1100</v>
      </c>
      <c r="AT55" s="6">
        <v>2</v>
      </c>
      <c r="AU55" s="17">
        <v>70000</v>
      </c>
      <c r="AY55" s="6" t="s">
        <v>1157</v>
      </c>
      <c r="AZ55" s="235" t="s">
        <v>1136</v>
      </c>
      <c r="BA55" s="235" t="s">
        <v>1175</v>
      </c>
      <c r="BB55" s="6">
        <v>3</v>
      </c>
      <c r="BC55" s="17">
        <f t="shared" si="16"/>
        <v>115000</v>
      </c>
      <c r="BD55" s="116">
        <f t="shared" si="17"/>
        <v>0.02</v>
      </c>
      <c r="BE55" s="17">
        <f t="shared" si="18"/>
        <v>342700</v>
      </c>
      <c r="BF55" s="17"/>
      <c r="BG55" s="235" t="s">
        <v>1136</v>
      </c>
      <c r="BH55" s="250">
        <f t="shared" si="19"/>
        <v>900</v>
      </c>
      <c r="BI55" s="250">
        <f>SUMIF(Table13[Category],Table14[[#This Row],[Category]],Table13[[Quantity ]])</f>
        <v>299</v>
      </c>
      <c r="BJ55" s="250">
        <f>Table14[[#This Row],[Inventory]]-Table14[[#This Row],[Update ]]</f>
        <v>601</v>
      </c>
    </row>
    <row r="56" spans="1:62" ht="21" customHeight="1" x14ac:dyDescent="0.35">
      <c r="A56">
        <v>53</v>
      </c>
      <c r="B56" s="136">
        <v>44965</v>
      </c>
      <c r="C56" s="4" t="s">
        <v>105</v>
      </c>
      <c r="D56" s="1" t="s">
        <v>162</v>
      </c>
      <c r="E56" t="s">
        <v>1092</v>
      </c>
      <c r="F56" s="6" t="s">
        <v>1120</v>
      </c>
      <c r="G56" s="6" t="s">
        <v>1157</v>
      </c>
      <c r="H56" s="235" t="str">
        <f t="shared" si="10"/>
        <v>Non Food Product</v>
      </c>
      <c r="I56" s="235" t="s">
        <v>1175</v>
      </c>
      <c r="J56" t="str">
        <f t="shared" si="11"/>
        <v>Silver</v>
      </c>
      <c r="K56" s="6">
        <v>2</v>
      </c>
      <c r="L56" s="17">
        <f t="shared" si="12"/>
        <v>115000</v>
      </c>
      <c r="M56" s="116">
        <f t="shared" si="13"/>
        <v>0.02</v>
      </c>
      <c r="N56" s="47" t="str">
        <f t="shared" si="14"/>
        <v>20 Point</v>
      </c>
      <c r="O56" s="17">
        <f t="shared" si="15"/>
        <v>227700</v>
      </c>
      <c r="R56" s="235" t="s">
        <v>1175</v>
      </c>
      <c r="S56" s="17">
        <v>115000</v>
      </c>
      <c r="AJ56" s="245">
        <v>12</v>
      </c>
      <c r="AK56" s="17">
        <f t="shared" si="20"/>
        <v>-949377.1226650381</v>
      </c>
      <c r="AL56" s="17">
        <f t="shared" si="21"/>
        <v>10133685.855445234</v>
      </c>
      <c r="AM56" s="248">
        <f t="shared" si="22"/>
        <v>84804026.411058575</v>
      </c>
      <c r="AP56" s="6" t="s">
        <v>1152</v>
      </c>
      <c r="AQ56" s="235" t="s">
        <v>1135</v>
      </c>
      <c r="AR56" s="80" t="s">
        <v>1159</v>
      </c>
      <c r="AS56" t="s">
        <v>1100</v>
      </c>
      <c r="AT56" s="6">
        <v>2</v>
      </c>
      <c r="AU56" s="17">
        <v>75000</v>
      </c>
      <c r="AY56" s="6" t="s">
        <v>1157</v>
      </c>
      <c r="AZ56" s="235" t="s">
        <v>1136</v>
      </c>
      <c r="BA56" s="235" t="s">
        <v>1175</v>
      </c>
      <c r="BB56" s="6">
        <v>2</v>
      </c>
      <c r="BC56" s="17">
        <f t="shared" si="16"/>
        <v>115000</v>
      </c>
      <c r="BD56" s="116">
        <f t="shared" si="17"/>
        <v>0.02</v>
      </c>
      <c r="BE56" s="17">
        <f t="shared" si="18"/>
        <v>227700</v>
      </c>
      <c r="BF56" s="17"/>
      <c r="BG56" s="235" t="s">
        <v>1136</v>
      </c>
      <c r="BH56" s="250">
        <f t="shared" si="19"/>
        <v>900</v>
      </c>
      <c r="BI56" s="250">
        <f>SUMIF(Table13[Category],Table14[[#This Row],[Category]],Table13[[Quantity ]])</f>
        <v>299</v>
      </c>
      <c r="BJ56" s="250">
        <f>Table14[[#This Row],[Inventory]]-Table14[[#This Row],[Update ]]</f>
        <v>601</v>
      </c>
    </row>
    <row r="57" spans="1:62" ht="21" customHeight="1" x14ac:dyDescent="0.35">
      <c r="A57">
        <v>54</v>
      </c>
      <c r="B57" s="136">
        <v>44965</v>
      </c>
      <c r="C57" s="4" t="s">
        <v>148</v>
      </c>
      <c r="D57" s="1" t="s">
        <v>163</v>
      </c>
      <c r="E57" t="s">
        <v>1092</v>
      </c>
      <c r="F57" s="6" t="s">
        <v>1121</v>
      </c>
      <c r="G57" s="6" t="s">
        <v>1141</v>
      </c>
      <c r="H57" s="235" t="str">
        <f t="shared" si="10"/>
        <v>Perishable</v>
      </c>
      <c r="I57" s="235" t="s">
        <v>1188</v>
      </c>
      <c r="J57" t="str">
        <f t="shared" si="11"/>
        <v>Silver</v>
      </c>
      <c r="K57" s="6">
        <v>2</v>
      </c>
      <c r="L57" s="17">
        <f t="shared" si="12"/>
        <v>45555</v>
      </c>
      <c r="M57" s="116">
        <f t="shared" si="13"/>
        <v>0.02</v>
      </c>
      <c r="N57" s="47" t="str">
        <f t="shared" si="14"/>
        <v>5 Point</v>
      </c>
      <c r="O57" s="17">
        <f t="shared" si="15"/>
        <v>90198.9</v>
      </c>
      <c r="R57" s="235" t="s">
        <v>1176</v>
      </c>
      <c r="S57" s="17">
        <v>45500</v>
      </c>
      <c r="AJ57" s="245">
        <v>13</v>
      </c>
      <c r="AK57" s="17">
        <f t="shared" si="20"/>
        <v>-848040.26411058579</v>
      </c>
      <c r="AL57" s="17">
        <f t="shared" si="21"/>
        <v>10235022.713999687</v>
      </c>
      <c r="AM57" s="248">
        <f t="shared" si="22"/>
        <v>74569003.697058886</v>
      </c>
      <c r="AP57" s="6" t="s">
        <v>1139</v>
      </c>
      <c r="AQ57" s="235" t="s">
        <v>1135</v>
      </c>
      <c r="AR57" s="80" t="s">
        <v>1159</v>
      </c>
      <c r="AS57" t="s">
        <v>1100</v>
      </c>
      <c r="AT57" s="6">
        <v>4</v>
      </c>
      <c r="AU57" s="17">
        <v>75000</v>
      </c>
      <c r="AY57" s="6" t="s">
        <v>1141</v>
      </c>
      <c r="AZ57" s="235" t="s">
        <v>1137</v>
      </c>
      <c r="BA57" s="235" t="s">
        <v>1188</v>
      </c>
      <c r="BB57" s="6">
        <v>2</v>
      </c>
      <c r="BC57" s="17">
        <f t="shared" si="16"/>
        <v>45555</v>
      </c>
      <c r="BD57" s="116">
        <f t="shared" si="17"/>
        <v>0.02</v>
      </c>
      <c r="BE57" s="17">
        <f t="shared" si="18"/>
        <v>90198.9</v>
      </c>
      <c r="BF57" s="17"/>
      <c r="BG57" s="235" t="s">
        <v>1137</v>
      </c>
      <c r="BH57" s="250">
        <f t="shared" si="19"/>
        <v>755</v>
      </c>
      <c r="BI57" s="250">
        <f>SUMIF(Table13[Category],Table14[[#This Row],[Category]],Table13[[Quantity ]])</f>
        <v>241</v>
      </c>
      <c r="BJ57" s="250">
        <f>Table14[[#This Row],[Inventory]]-Table14[[#This Row],[Update ]]</f>
        <v>514</v>
      </c>
    </row>
    <row r="58" spans="1:62" ht="21" customHeight="1" x14ac:dyDescent="0.35">
      <c r="A58">
        <v>55</v>
      </c>
      <c r="B58" s="136">
        <v>44965</v>
      </c>
      <c r="C58" s="4" t="s">
        <v>149</v>
      </c>
      <c r="D58" s="1" t="s">
        <v>162</v>
      </c>
      <c r="E58" t="s">
        <v>1092</v>
      </c>
      <c r="F58" s="6" t="s">
        <v>1122</v>
      </c>
      <c r="G58" s="6" t="s">
        <v>1144</v>
      </c>
      <c r="H58" s="235" t="str">
        <f t="shared" si="10"/>
        <v>Perishable</v>
      </c>
      <c r="I58" s="235" t="s">
        <v>1188</v>
      </c>
      <c r="J58" t="str">
        <f t="shared" si="11"/>
        <v>Silver</v>
      </c>
      <c r="K58" s="6">
        <v>2</v>
      </c>
      <c r="L58" s="17">
        <f t="shared" si="12"/>
        <v>45555</v>
      </c>
      <c r="M58" s="116">
        <f t="shared" si="13"/>
        <v>0.02</v>
      </c>
      <c r="N58" s="47" t="str">
        <f t="shared" si="14"/>
        <v>10 Point</v>
      </c>
      <c r="O58" s="17">
        <f t="shared" si="15"/>
        <v>90198.9</v>
      </c>
      <c r="R58" s="235" t="s">
        <v>1177</v>
      </c>
      <c r="S58" s="17">
        <v>195000</v>
      </c>
      <c r="AJ58" s="245">
        <v>14</v>
      </c>
      <c r="AK58" s="17">
        <f t="shared" si="20"/>
        <v>-745690.03697058873</v>
      </c>
      <c r="AL58" s="17">
        <f t="shared" si="21"/>
        <v>10337372.941139683</v>
      </c>
      <c r="AM58" s="248">
        <f t="shared" si="22"/>
        <v>64231630.755919203</v>
      </c>
      <c r="AP58" s="6" t="s">
        <v>1152</v>
      </c>
      <c r="AQ58" s="235" t="s">
        <v>1135</v>
      </c>
      <c r="AR58" s="80" t="s">
        <v>1160</v>
      </c>
      <c r="AS58" t="s">
        <v>1100</v>
      </c>
      <c r="AT58" s="6">
        <v>4</v>
      </c>
      <c r="AU58" s="17">
        <v>120000</v>
      </c>
      <c r="AY58" s="6" t="s">
        <v>1144</v>
      </c>
      <c r="AZ58" s="235" t="s">
        <v>1137</v>
      </c>
      <c r="BA58" s="235" t="s">
        <v>1188</v>
      </c>
      <c r="BB58" s="6">
        <v>2</v>
      </c>
      <c r="BC58" s="17">
        <f t="shared" si="16"/>
        <v>45555</v>
      </c>
      <c r="BD58" s="116">
        <f t="shared" si="17"/>
        <v>0.02</v>
      </c>
      <c r="BE58" s="17">
        <f t="shared" si="18"/>
        <v>90198.9</v>
      </c>
      <c r="BF58" s="17"/>
      <c r="BG58" s="235" t="s">
        <v>1137</v>
      </c>
      <c r="BH58" s="250">
        <f t="shared" si="19"/>
        <v>755</v>
      </c>
      <c r="BI58" s="250">
        <f>SUMIF(Table13[Category],Table14[[#This Row],[Category]],Table13[[Quantity ]])</f>
        <v>241</v>
      </c>
      <c r="BJ58" s="250">
        <f>Table14[[#This Row],[Inventory]]-Table14[[#This Row],[Update ]]</f>
        <v>514</v>
      </c>
    </row>
    <row r="59" spans="1:62" ht="21" customHeight="1" x14ac:dyDescent="0.35">
      <c r="A59">
        <v>56</v>
      </c>
      <c r="B59" s="136">
        <v>44965</v>
      </c>
      <c r="C59" s="4" t="s">
        <v>150</v>
      </c>
      <c r="D59" s="1" t="s">
        <v>162</v>
      </c>
      <c r="E59" t="s">
        <v>1092</v>
      </c>
      <c r="F59" s="6" t="s">
        <v>1103</v>
      </c>
      <c r="G59" s="6" t="s">
        <v>1149</v>
      </c>
      <c r="H59" s="235" t="str">
        <f t="shared" si="10"/>
        <v>Non Food Product</v>
      </c>
      <c r="I59" s="235" t="s">
        <v>1178</v>
      </c>
      <c r="J59" t="str">
        <f t="shared" si="11"/>
        <v>Gold</v>
      </c>
      <c r="K59" s="6">
        <v>4</v>
      </c>
      <c r="L59" s="17">
        <f t="shared" si="12"/>
        <v>225000</v>
      </c>
      <c r="M59" s="116">
        <f t="shared" si="13"/>
        <v>0.02</v>
      </c>
      <c r="N59" s="47" t="str">
        <f t="shared" si="14"/>
        <v>5 Point</v>
      </c>
      <c r="O59" s="17">
        <f t="shared" si="15"/>
        <v>895500</v>
      </c>
      <c r="R59" s="235" t="s">
        <v>1178</v>
      </c>
      <c r="S59" s="17">
        <v>225000</v>
      </c>
      <c r="AJ59" s="245">
        <v>15</v>
      </c>
      <c r="AK59" s="17">
        <f t="shared" si="20"/>
        <v>-642316.30755919195</v>
      </c>
      <c r="AL59" s="17">
        <f t="shared" si="21"/>
        <v>10440746.67055108</v>
      </c>
      <c r="AM59" s="248">
        <f t="shared" si="22"/>
        <v>53790884.085368127</v>
      </c>
      <c r="AP59" s="6" t="s">
        <v>1152</v>
      </c>
      <c r="AQ59" s="235" t="s">
        <v>1135</v>
      </c>
      <c r="AR59" s="80" t="s">
        <v>1159</v>
      </c>
      <c r="AS59" t="s">
        <v>1100</v>
      </c>
      <c r="AT59" s="6">
        <v>7</v>
      </c>
      <c r="AU59" s="17">
        <v>75000</v>
      </c>
      <c r="AY59" s="6" t="s">
        <v>1149</v>
      </c>
      <c r="AZ59" s="235" t="s">
        <v>1136</v>
      </c>
      <c r="BA59" s="235" t="s">
        <v>1178</v>
      </c>
      <c r="BB59" s="6">
        <v>4</v>
      </c>
      <c r="BC59" s="17">
        <f t="shared" si="16"/>
        <v>225000</v>
      </c>
      <c r="BD59" s="116">
        <f t="shared" si="17"/>
        <v>0.02</v>
      </c>
      <c r="BE59" s="17">
        <f t="shared" si="18"/>
        <v>895500</v>
      </c>
      <c r="BF59" s="17"/>
      <c r="BG59" s="235" t="s">
        <v>1136</v>
      </c>
      <c r="BH59" s="250">
        <f t="shared" si="19"/>
        <v>900</v>
      </c>
      <c r="BI59" s="250">
        <f>SUMIF(Table13[Category],Table14[[#This Row],[Category]],Table13[[Quantity ]])</f>
        <v>299</v>
      </c>
      <c r="BJ59" s="250">
        <f>Table14[[#This Row],[Inventory]]-Table14[[#This Row],[Update ]]</f>
        <v>601</v>
      </c>
    </row>
    <row r="60" spans="1:62" ht="21" customHeight="1" x14ac:dyDescent="0.35">
      <c r="A60">
        <v>57</v>
      </c>
      <c r="B60" s="136">
        <v>44965</v>
      </c>
      <c r="C60" s="4" t="s">
        <v>151</v>
      </c>
      <c r="D60" s="1" t="s">
        <v>162</v>
      </c>
      <c r="E60" t="s">
        <v>1092</v>
      </c>
      <c r="F60" s="6" t="s">
        <v>1124</v>
      </c>
      <c r="G60" s="6" t="s">
        <v>1150</v>
      </c>
      <c r="H60" s="235" t="str">
        <f t="shared" si="10"/>
        <v>Non Food Product</v>
      </c>
      <c r="I60" s="235" t="s">
        <v>1177</v>
      </c>
      <c r="J60" t="str">
        <f t="shared" si="11"/>
        <v>Gold</v>
      </c>
      <c r="K60" s="6">
        <v>5</v>
      </c>
      <c r="L60" s="17">
        <f t="shared" si="12"/>
        <v>195000</v>
      </c>
      <c r="M60" s="116">
        <f t="shared" si="13"/>
        <v>0.02</v>
      </c>
      <c r="N60" s="47" t="str">
        <f t="shared" si="14"/>
        <v>15 Point</v>
      </c>
      <c r="O60" s="17">
        <f t="shared" si="15"/>
        <v>971100</v>
      </c>
      <c r="R60" s="80" t="s">
        <v>1179</v>
      </c>
      <c r="S60" s="17">
        <v>85000</v>
      </c>
      <c r="AJ60" s="245">
        <v>16</v>
      </c>
      <c r="AK60" s="17">
        <f t="shared" si="20"/>
        <v>-537908.84085368109</v>
      </c>
      <c r="AL60" s="17">
        <f t="shared" si="21"/>
        <v>10545154.137256591</v>
      </c>
      <c r="AM60" s="248">
        <f t="shared" si="22"/>
        <v>43245729.948111534</v>
      </c>
      <c r="AP60" s="6" t="s">
        <v>1152</v>
      </c>
      <c r="AQ60" s="235" t="s">
        <v>1135</v>
      </c>
      <c r="AR60" s="80" t="s">
        <v>1159</v>
      </c>
      <c r="AS60" t="s">
        <v>1100</v>
      </c>
      <c r="AT60" s="6">
        <v>4</v>
      </c>
      <c r="AU60" s="17">
        <v>75000</v>
      </c>
      <c r="AY60" s="6" t="s">
        <v>1150</v>
      </c>
      <c r="AZ60" s="235" t="s">
        <v>1136</v>
      </c>
      <c r="BA60" s="235" t="s">
        <v>1177</v>
      </c>
      <c r="BB60" s="6">
        <v>5</v>
      </c>
      <c r="BC60" s="17">
        <f t="shared" si="16"/>
        <v>195000</v>
      </c>
      <c r="BD60" s="116">
        <f t="shared" si="17"/>
        <v>0.02</v>
      </c>
      <c r="BE60" s="17">
        <f t="shared" si="18"/>
        <v>971100</v>
      </c>
      <c r="BF60" s="17"/>
      <c r="BG60" s="235" t="s">
        <v>1136</v>
      </c>
      <c r="BH60" s="250">
        <f t="shared" si="19"/>
        <v>900</v>
      </c>
      <c r="BI60" s="250">
        <f>SUMIF(Table13[Category],Table14[[#This Row],[Category]],Table13[[Quantity ]])</f>
        <v>299</v>
      </c>
      <c r="BJ60" s="250">
        <f>Table14[[#This Row],[Inventory]]-Table14[[#This Row],[Update ]]</f>
        <v>601</v>
      </c>
    </row>
    <row r="61" spans="1:62" ht="21" customHeight="1" x14ac:dyDescent="0.35">
      <c r="A61">
        <v>58</v>
      </c>
      <c r="B61" s="136">
        <v>44965</v>
      </c>
      <c r="C61" s="4" t="s">
        <v>152</v>
      </c>
      <c r="D61" s="1" t="s">
        <v>163</v>
      </c>
      <c r="E61" t="s">
        <v>1092</v>
      </c>
      <c r="F61" s="6" t="s">
        <v>1125</v>
      </c>
      <c r="G61" s="6" t="s">
        <v>1150</v>
      </c>
      <c r="H61" s="235" t="str">
        <f t="shared" si="10"/>
        <v>Non Food Product</v>
      </c>
      <c r="I61" s="235" t="s">
        <v>1177</v>
      </c>
      <c r="J61" t="str">
        <f t="shared" si="11"/>
        <v>Gold</v>
      </c>
      <c r="K61" s="6">
        <v>5</v>
      </c>
      <c r="L61" s="17">
        <f t="shared" si="12"/>
        <v>195000</v>
      </c>
      <c r="M61" s="116">
        <f t="shared" si="13"/>
        <v>0.02</v>
      </c>
      <c r="N61" s="47" t="str">
        <f t="shared" si="14"/>
        <v>5 Point</v>
      </c>
      <c r="O61" s="17">
        <f t="shared" si="15"/>
        <v>971100</v>
      </c>
      <c r="R61" s="80" t="s">
        <v>1180</v>
      </c>
      <c r="S61" s="17">
        <v>75000</v>
      </c>
      <c r="AJ61" s="245">
        <v>17</v>
      </c>
      <c r="AK61" s="17">
        <f t="shared" si="20"/>
        <v>-432457.29948111513</v>
      </c>
      <c r="AL61" s="17">
        <f t="shared" si="21"/>
        <v>10650605.678629158</v>
      </c>
      <c r="AM61" s="248">
        <f t="shared" si="22"/>
        <v>32595124.269482374</v>
      </c>
      <c r="AP61" s="6" t="s">
        <v>1152</v>
      </c>
      <c r="AQ61" s="235" t="s">
        <v>1135</v>
      </c>
      <c r="AR61" s="80" t="s">
        <v>1170</v>
      </c>
      <c r="AS61" t="s">
        <v>1100</v>
      </c>
      <c r="AT61" s="6">
        <v>6</v>
      </c>
      <c r="AU61" s="17">
        <v>55000</v>
      </c>
      <c r="AY61" s="6" t="s">
        <v>1150</v>
      </c>
      <c r="AZ61" s="235" t="s">
        <v>1136</v>
      </c>
      <c r="BA61" s="235" t="s">
        <v>1177</v>
      </c>
      <c r="BB61" s="6">
        <v>5</v>
      </c>
      <c r="BC61" s="17">
        <f t="shared" si="16"/>
        <v>195000</v>
      </c>
      <c r="BD61" s="116">
        <f t="shared" si="17"/>
        <v>0.02</v>
      </c>
      <c r="BE61" s="17">
        <f t="shared" si="18"/>
        <v>971100</v>
      </c>
      <c r="BF61" s="17"/>
      <c r="BG61" s="235" t="s">
        <v>1136</v>
      </c>
      <c r="BH61" s="250">
        <f t="shared" si="19"/>
        <v>900</v>
      </c>
      <c r="BI61" s="250">
        <f>SUMIF(Table13[Category],Table14[[#This Row],[Category]],Table13[[Quantity ]])</f>
        <v>299</v>
      </c>
      <c r="BJ61" s="250">
        <f>Table14[[#This Row],[Inventory]]-Table14[[#This Row],[Update ]]</f>
        <v>601</v>
      </c>
    </row>
    <row r="62" spans="1:62" ht="21" customHeight="1" x14ac:dyDescent="0.35">
      <c r="A62">
        <v>59</v>
      </c>
      <c r="B62" s="136">
        <v>44965</v>
      </c>
      <c r="C62" s="4" t="s">
        <v>153</v>
      </c>
      <c r="D62" s="1" t="s">
        <v>162</v>
      </c>
      <c r="E62" t="s">
        <v>1092</v>
      </c>
      <c r="F62" s="6" t="s">
        <v>1126</v>
      </c>
      <c r="G62" s="6" t="s">
        <v>1140</v>
      </c>
      <c r="H62" s="235" t="str">
        <f t="shared" si="10"/>
        <v>Non Food Product</v>
      </c>
      <c r="I62" s="235" t="s">
        <v>1177</v>
      </c>
      <c r="J62" t="str">
        <f t="shared" si="11"/>
        <v>Platinum</v>
      </c>
      <c r="K62" s="6">
        <v>7</v>
      </c>
      <c r="L62" s="17">
        <f t="shared" si="12"/>
        <v>195000</v>
      </c>
      <c r="M62" s="116">
        <f t="shared" si="13"/>
        <v>0.02</v>
      </c>
      <c r="N62" s="47" t="str">
        <f t="shared" si="14"/>
        <v>25 Point</v>
      </c>
      <c r="O62" s="17">
        <f t="shared" si="15"/>
        <v>1361100</v>
      </c>
      <c r="R62" s="80" t="s">
        <v>1181</v>
      </c>
      <c r="S62" s="17">
        <v>55500</v>
      </c>
      <c r="AJ62" s="245">
        <v>18</v>
      </c>
      <c r="AK62" s="17">
        <f t="shared" si="20"/>
        <v>-325951.2426948236</v>
      </c>
      <c r="AL62" s="17">
        <f t="shared" si="21"/>
        <v>10757111.735415449</v>
      </c>
      <c r="AM62" s="248">
        <f t="shared" si="22"/>
        <v>21838012.534066923</v>
      </c>
      <c r="AP62" s="6" t="s">
        <v>1152</v>
      </c>
      <c r="AQ62" s="235" t="s">
        <v>1135</v>
      </c>
      <c r="AR62" s="80" t="s">
        <v>1170</v>
      </c>
      <c r="AS62" t="s">
        <v>1100</v>
      </c>
      <c r="AT62" s="6">
        <v>8</v>
      </c>
      <c r="AU62" s="17">
        <v>55000</v>
      </c>
      <c r="AY62" s="6" t="s">
        <v>1140</v>
      </c>
      <c r="AZ62" s="235" t="s">
        <v>1136</v>
      </c>
      <c r="BA62" s="235" t="s">
        <v>1177</v>
      </c>
      <c r="BB62" s="6">
        <v>7</v>
      </c>
      <c r="BC62" s="17">
        <f t="shared" si="16"/>
        <v>195000</v>
      </c>
      <c r="BD62" s="116">
        <f t="shared" si="17"/>
        <v>0.02</v>
      </c>
      <c r="BE62" s="17">
        <f t="shared" si="18"/>
        <v>1361100</v>
      </c>
      <c r="BF62" s="17"/>
      <c r="BG62" s="235" t="s">
        <v>1136</v>
      </c>
      <c r="BH62" s="250">
        <f t="shared" si="19"/>
        <v>900</v>
      </c>
      <c r="BI62" s="250">
        <f>SUMIF(Table13[Category],Table14[[#This Row],[Category]],Table13[[Quantity ]])</f>
        <v>299</v>
      </c>
      <c r="BJ62" s="250">
        <f>Table14[[#This Row],[Inventory]]-Table14[[#This Row],[Update ]]</f>
        <v>601</v>
      </c>
    </row>
    <row r="63" spans="1:62" ht="21" customHeight="1" x14ac:dyDescent="0.35">
      <c r="A63">
        <v>60</v>
      </c>
      <c r="B63" s="136">
        <v>44965</v>
      </c>
      <c r="C63" s="4" t="s">
        <v>154</v>
      </c>
      <c r="D63" s="1" t="s">
        <v>162</v>
      </c>
      <c r="E63" t="s">
        <v>1092</v>
      </c>
      <c r="F63" s="6" t="s">
        <v>1127</v>
      </c>
      <c r="G63" s="6" t="s">
        <v>1149</v>
      </c>
      <c r="H63" s="235" t="str">
        <f t="shared" si="10"/>
        <v>Non Food Product</v>
      </c>
      <c r="I63" s="235" t="s">
        <v>1178</v>
      </c>
      <c r="J63" t="str">
        <f t="shared" si="11"/>
        <v>Platinum</v>
      </c>
      <c r="K63" s="6">
        <v>7</v>
      </c>
      <c r="L63" s="17">
        <f t="shared" si="12"/>
        <v>225000</v>
      </c>
      <c r="M63" s="116">
        <f t="shared" si="13"/>
        <v>0.02</v>
      </c>
      <c r="N63" s="47" t="str">
        <f t="shared" si="14"/>
        <v>25 Point</v>
      </c>
      <c r="O63" s="17">
        <f t="shared" si="15"/>
        <v>1570500</v>
      </c>
      <c r="R63" s="80" t="s">
        <v>1182</v>
      </c>
      <c r="S63" s="17">
        <v>110500</v>
      </c>
      <c r="AJ63" s="245">
        <v>19</v>
      </c>
      <c r="AK63" s="17">
        <f t="shared" si="20"/>
        <v>-218380.1253406691</v>
      </c>
      <c r="AL63" s="17">
        <f t="shared" si="21"/>
        <v>10864682.852769604</v>
      </c>
      <c r="AM63" s="248">
        <f t="shared" si="22"/>
        <v>10973329.681297319</v>
      </c>
      <c r="AP63" s="6" t="s">
        <v>1139</v>
      </c>
      <c r="AQ63" s="235" t="s">
        <v>1135</v>
      </c>
      <c r="AR63" s="80" t="s">
        <v>1160</v>
      </c>
      <c r="AS63" t="s">
        <v>1100</v>
      </c>
      <c r="AT63" s="6">
        <v>9</v>
      </c>
      <c r="AU63" s="17">
        <v>120000</v>
      </c>
      <c r="AY63" s="6" t="s">
        <v>1149</v>
      </c>
      <c r="AZ63" s="235" t="s">
        <v>1136</v>
      </c>
      <c r="BA63" s="235" t="s">
        <v>1178</v>
      </c>
      <c r="BB63" s="6">
        <v>7</v>
      </c>
      <c r="BC63" s="17">
        <f t="shared" si="16"/>
        <v>225000</v>
      </c>
      <c r="BD63" s="116">
        <f t="shared" si="17"/>
        <v>0.02</v>
      </c>
      <c r="BE63" s="17">
        <f t="shared" si="18"/>
        <v>1570500</v>
      </c>
      <c r="BF63" s="17"/>
      <c r="BG63" s="235" t="s">
        <v>1136</v>
      </c>
      <c r="BH63" s="250">
        <f t="shared" si="19"/>
        <v>900</v>
      </c>
      <c r="BI63" s="250">
        <f>SUMIF(Table13[Category],Table14[[#This Row],[Category]],Table13[[Quantity ]])</f>
        <v>299</v>
      </c>
      <c r="BJ63" s="250">
        <f>Table14[[#This Row],[Inventory]]-Table14[[#This Row],[Update ]]</f>
        <v>601</v>
      </c>
    </row>
    <row r="64" spans="1:62" ht="21" customHeight="1" x14ac:dyDescent="0.35">
      <c r="A64">
        <v>61</v>
      </c>
      <c r="B64" s="136">
        <v>44965</v>
      </c>
      <c r="C64" s="4" t="s">
        <v>155</v>
      </c>
      <c r="D64" s="1" t="s">
        <v>163</v>
      </c>
      <c r="E64" t="s">
        <v>1092</v>
      </c>
      <c r="F64" s="6" t="s">
        <v>1103</v>
      </c>
      <c r="G64" s="6" t="s">
        <v>1139</v>
      </c>
      <c r="H64" s="235" t="str">
        <f t="shared" si="10"/>
        <v>Food Product</v>
      </c>
      <c r="I64" s="80" t="s">
        <v>1164</v>
      </c>
      <c r="J64" t="str">
        <f t="shared" si="11"/>
        <v>Gold</v>
      </c>
      <c r="K64" s="6">
        <v>7</v>
      </c>
      <c r="L64" s="17">
        <f t="shared" si="12"/>
        <v>125000</v>
      </c>
      <c r="M64" s="116">
        <f t="shared" si="13"/>
        <v>0.02</v>
      </c>
      <c r="N64" s="47" t="str">
        <f t="shared" si="14"/>
        <v>5 Point</v>
      </c>
      <c r="O64" s="17">
        <f t="shared" si="15"/>
        <v>872500</v>
      </c>
      <c r="R64" s="80" t="s">
        <v>1183</v>
      </c>
      <c r="S64" s="17">
        <v>135500</v>
      </c>
      <c r="AJ64" s="245">
        <v>20</v>
      </c>
      <c r="AK64" s="17">
        <f t="shared" si="20"/>
        <v>-109733.29681297303</v>
      </c>
      <c r="AL64" s="17">
        <f t="shared" si="21"/>
        <v>10973329.6812973</v>
      </c>
      <c r="AM64" s="248">
        <f t="shared" si="22"/>
        <v>1.862645149230957E-8</v>
      </c>
      <c r="AP64" s="6" t="s">
        <v>1151</v>
      </c>
      <c r="AQ64" s="235" t="s">
        <v>1135</v>
      </c>
      <c r="AR64" s="80" t="s">
        <v>1159</v>
      </c>
      <c r="AS64" t="s">
        <v>1102</v>
      </c>
      <c r="AT64" s="6">
        <v>5</v>
      </c>
      <c r="AU64" s="17">
        <v>75000</v>
      </c>
      <c r="AY64" s="6" t="s">
        <v>1139</v>
      </c>
      <c r="AZ64" s="235" t="s">
        <v>1135</v>
      </c>
      <c r="BA64" s="80" t="s">
        <v>1164</v>
      </c>
      <c r="BB64" s="6">
        <v>7</v>
      </c>
      <c r="BC64" s="17">
        <f t="shared" si="16"/>
        <v>125000</v>
      </c>
      <c r="BD64" s="116">
        <f t="shared" si="17"/>
        <v>0.02</v>
      </c>
      <c r="BE64" s="17">
        <f t="shared" si="18"/>
        <v>872500</v>
      </c>
      <c r="BF64" s="17"/>
      <c r="BG64" s="235" t="s">
        <v>1135</v>
      </c>
      <c r="BH64" s="250">
        <f t="shared" si="19"/>
        <v>700</v>
      </c>
      <c r="BI64" s="250">
        <f>SUMIF(Table13[Category],Table14[[#This Row],[Category]],Table13[[Quantity ]])</f>
        <v>345</v>
      </c>
      <c r="BJ64" s="250">
        <f>Table14[[#This Row],[Inventory]]-Table14[[#This Row],[Update ]]</f>
        <v>355</v>
      </c>
    </row>
    <row r="65" spans="1:62" ht="21" customHeight="1" x14ac:dyDescent="0.35">
      <c r="A65">
        <v>62</v>
      </c>
      <c r="B65" s="136">
        <v>44966</v>
      </c>
      <c r="C65" s="4" t="s">
        <v>156</v>
      </c>
      <c r="D65" s="1" t="s">
        <v>162</v>
      </c>
      <c r="E65" t="s">
        <v>1092</v>
      </c>
      <c r="F65" s="6" t="s">
        <v>1128</v>
      </c>
      <c r="G65" s="6" t="s">
        <v>1151</v>
      </c>
      <c r="H65" s="235" t="str">
        <f t="shared" si="10"/>
        <v>Food Product</v>
      </c>
      <c r="I65" s="80" t="s">
        <v>1173</v>
      </c>
      <c r="J65" t="str">
        <f t="shared" si="11"/>
        <v>Gold</v>
      </c>
      <c r="K65" s="6">
        <v>8</v>
      </c>
      <c r="L65" s="17">
        <f t="shared" si="12"/>
        <v>185000</v>
      </c>
      <c r="M65" s="116">
        <f t="shared" si="13"/>
        <v>0.02</v>
      </c>
      <c r="N65" s="47" t="str">
        <f t="shared" si="14"/>
        <v>25 Point</v>
      </c>
      <c r="O65" s="17">
        <f t="shared" si="15"/>
        <v>1476300</v>
      </c>
      <c r="R65" s="235" t="s">
        <v>1184</v>
      </c>
      <c r="S65" s="17">
        <v>25500</v>
      </c>
      <c r="AJ65" s="245"/>
      <c r="AL65" s="247"/>
      <c r="AP65" s="6" t="s">
        <v>1152</v>
      </c>
      <c r="AQ65" s="235" t="s">
        <v>1135</v>
      </c>
      <c r="AR65" s="80" t="s">
        <v>1170</v>
      </c>
      <c r="AS65" t="s">
        <v>1102</v>
      </c>
      <c r="AT65" s="6">
        <v>5</v>
      </c>
      <c r="AU65" s="17">
        <v>55000</v>
      </c>
      <c r="AY65" s="6" t="s">
        <v>1151</v>
      </c>
      <c r="AZ65" s="235" t="s">
        <v>1135</v>
      </c>
      <c r="BA65" s="80" t="s">
        <v>1173</v>
      </c>
      <c r="BB65" s="6">
        <v>8</v>
      </c>
      <c r="BC65" s="17">
        <f t="shared" si="16"/>
        <v>185000</v>
      </c>
      <c r="BD65" s="116">
        <f t="shared" si="17"/>
        <v>0.02</v>
      </c>
      <c r="BE65" s="17">
        <f t="shared" si="18"/>
        <v>1476300</v>
      </c>
      <c r="BF65" s="17"/>
      <c r="BG65" s="235" t="s">
        <v>1135</v>
      </c>
      <c r="BH65" s="250">
        <f t="shared" si="19"/>
        <v>700</v>
      </c>
      <c r="BI65" s="250">
        <f>SUMIF(Table13[Category],Table14[[#This Row],[Category]],Table13[[Quantity ]])</f>
        <v>345</v>
      </c>
      <c r="BJ65" s="250">
        <f>Table14[[#This Row],[Inventory]]-Table14[[#This Row],[Update ]]</f>
        <v>355</v>
      </c>
    </row>
    <row r="66" spans="1:62" ht="21" customHeight="1" x14ac:dyDescent="0.35">
      <c r="A66">
        <v>63</v>
      </c>
      <c r="B66" s="136">
        <v>44966</v>
      </c>
      <c r="C66" s="4" t="s">
        <v>157</v>
      </c>
      <c r="D66" s="1" t="s">
        <v>162</v>
      </c>
      <c r="E66" t="s">
        <v>1092</v>
      </c>
      <c r="F66" s="6" t="s">
        <v>1130</v>
      </c>
      <c r="G66" s="6" t="s">
        <v>1152</v>
      </c>
      <c r="H66" s="235" t="str">
        <f t="shared" si="10"/>
        <v>Food Product</v>
      </c>
      <c r="I66" s="80" t="s">
        <v>1173</v>
      </c>
      <c r="J66" t="str">
        <f t="shared" si="11"/>
        <v>Gold</v>
      </c>
      <c r="K66" s="6">
        <v>8</v>
      </c>
      <c r="L66" s="17">
        <f t="shared" si="12"/>
        <v>185000</v>
      </c>
      <c r="M66" s="116">
        <f t="shared" si="13"/>
        <v>0.02</v>
      </c>
      <c r="N66" s="47" t="str">
        <f t="shared" si="14"/>
        <v>10 Point</v>
      </c>
      <c r="O66" s="17">
        <f t="shared" si="15"/>
        <v>1476300</v>
      </c>
      <c r="R66" s="235" t="s">
        <v>1185</v>
      </c>
      <c r="S66" s="17">
        <v>49999</v>
      </c>
      <c r="AJ66" s="245"/>
      <c r="AL66" s="247"/>
      <c r="AP66" s="6" t="s">
        <v>1152</v>
      </c>
      <c r="AQ66" s="235" t="s">
        <v>1135</v>
      </c>
      <c r="AR66" s="80" t="s">
        <v>1159</v>
      </c>
      <c r="AS66" t="s">
        <v>1101</v>
      </c>
      <c r="AT66" s="6">
        <v>9</v>
      </c>
      <c r="AU66" s="17">
        <v>75000</v>
      </c>
      <c r="AY66" s="6" t="s">
        <v>1152</v>
      </c>
      <c r="AZ66" s="235" t="s">
        <v>1135</v>
      </c>
      <c r="BA66" s="80" t="s">
        <v>1173</v>
      </c>
      <c r="BB66" s="6">
        <v>8</v>
      </c>
      <c r="BC66" s="17">
        <f t="shared" si="16"/>
        <v>185000</v>
      </c>
      <c r="BD66" s="116">
        <f t="shared" si="17"/>
        <v>0.02</v>
      </c>
      <c r="BE66" s="17">
        <f t="shared" si="18"/>
        <v>1476300</v>
      </c>
      <c r="BF66" s="17"/>
      <c r="BG66" s="235" t="s">
        <v>1135</v>
      </c>
      <c r="BH66" s="250">
        <f t="shared" si="19"/>
        <v>700</v>
      </c>
      <c r="BI66" s="250">
        <f>SUMIF(Table13[Category],Table14[[#This Row],[Category]],Table13[[Quantity ]])</f>
        <v>345</v>
      </c>
      <c r="BJ66" s="250">
        <f>Table14[[#This Row],[Inventory]]-Table14[[#This Row],[Update ]]</f>
        <v>355</v>
      </c>
    </row>
    <row r="67" spans="1:62" ht="21" customHeight="1" x14ac:dyDescent="0.35">
      <c r="A67">
        <v>64</v>
      </c>
      <c r="B67" s="136">
        <v>44966</v>
      </c>
      <c r="C67" s="4" t="s">
        <v>158</v>
      </c>
      <c r="D67" s="1" t="s">
        <v>163</v>
      </c>
      <c r="E67" t="s">
        <v>1092</v>
      </c>
      <c r="F67" s="6" t="s">
        <v>1131</v>
      </c>
      <c r="G67" s="6" t="s">
        <v>1142</v>
      </c>
      <c r="H67" s="235" t="str">
        <f t="shared" si="10"/>
        <v>General Merchandise Product</v>
      </c>
      <c r="I67" s="80" t="s">
        <v>1180</v>
      </c>
      <c r="J67" t="str">
        <f t="shared" si="11"/>
        <v>Gold</v>
      </c>
      <c r="K67" s="6">
        <v>9</v>
      </c>
      <c r="L67" s="17">
        <f t="shared" si="12"/>
        <v>75000</v>
      </c>
      <c r="M67" s="116">
        <f t="shared" si="13"/>
        <v>0.03</v>
      </c>
      <c r="N67" s="47" t="str">
        <f t="shared" si="14"/>
        <v>10 Point</v>
      </c>
      <c r="O67" s="17">
        <f t="shared" si="15"/>
        <v>672750</v>
      </c>
      <c r="R67" s="235" t="s">
        <v>1186</v>
      </c>
      <c r="S67" s="17">
        <v>69999</v>
      </c>
      <c r="AJ67" s="245"/>
      <c r="AL67" s="247"/>
      <c r="AP67" s="6" t="s">
        <v>1156</v>
      </c>
      <c r="AQ67" s="235" t="s">
        <v>1135</v>
      </c>
      <c r="AR67" s="80" t="s">
        <v>1160</v>
      </c>
      <c r="AS67" t="s">
        <v>1101</v>
      </c>
      <c r="AT67" s="6">
        <v>12</v>
      </c>
      <c r="AU67" s="17">
        <v>120000</v>
      </c>
      <c r="AY67" s="6" t="s">
        <v>1142</v>
      </c>
      <c r="AZ67" s="235" t="s">
        <v>1138</v>
      </c>
      <c r="BA67" s="80" t="s">
        <v>1180</v>
      </c>
      <c r="BB67" s="6">
        <v>9</v>
      </c>
      <c r="BC67" s="17">
        <f t="shared" si="16"/>
        <v>75000</v>
      </c>
      <c r="BD67" s="116">
        <f t="shared" si="17"/>
        <v>0.03</v>
      </c>
      <c r="BE67" s="17">
        <f t="shared" si="18"/>
        <v>672750</v>
      </c>
      <c r="BF67" s="17"/>
      <c r="BG67" s="235" t="s">
        <v>1138</v>
      </c>
      <c r="BH67" s="250">
        <f t="shared" si="19"/>
        <v>855</v>
      </c>
      <c r="BI67" s="250">
        <f>SUMIF(Table13[Category],Table14[[#This Row],[Category]],Table13[[Quantity ]])</f>
        <v>215</v>
      </c>
      <c r="BJ67" s="250">
        <f>Table14[[#This Row],[Inventory]]-Table14[[#This Row],[Update ]]</f>
        <v>640</v>
      </c>
    </row>
    <row r="68" spans="1:62" ht="21" customHeight="1" x14ac:dyDescent="0.35">
      <c r="A68">
        <v>65</v>
      </c>
      <c r="B68" s="136">
        <v>44966</v>
      </c>
      <c r="C68" s="4" t="s">
        <v>159</v>
      </c>
      <c r="D68" s="1" t="s">
        <v>162</v>
      </c>
      <c r="E68" t="s">
        <v>1092</v>
      </c>
      <c r="F68" s="6" t="s">
        <v>1132</v>
      </c>
      <c r="G68" s="6" t="s">
        <v>1149</v>
      </c>
      <c r="H68" s="235" t="str">
        <f t="shared" ref="H68:H99" si="23">VLOOKUP(LEFT(G68,2),Category,2,0)</f>
        <v>Non Food Product</v>
      </c>
      <c r="I68" s="235" t="s">
        <v>1176</v>
      </c>
      <c r="J68" t="str">
        <f t="shared" ref="J68:J99" si="24">VLOOKUP(LEFT(F68,1),Barcode,2,0)</f>
        <v>Gold</v>
      </c>
      <c r="K68" s="6">
        <v>12</v>
      </c>
      <c r="L68" s="17">
        <f t="shared" ref="L68:L99" si="25">INDEX($S$40:$S$69,MATCH(I68,$R$40:$R$69,0))</f>
        <v>45500</v>
      </c>
      <c r="M68" s="116">
        <f t="shared" ref="M68:M99" si="26">IF(K68&gt;8,3%,2%)</f>
        <v>0.03</v>
      </c>
      <c r="N68" s="47" t="str">
        <f t="shared" ref="N68:N99" si="27">HLOOKUP(VALUE(RIGHT(F68,2)),Point,2,0)</f>
        <v>15 Point</v>
      </c>
      <c r="O68" s="17">
        <f t="shared" ref="O68:O99" si="28">(K68*L68)-(L68*M68)</f>
        <v>544635</v>
      </c>
      <c r="R68" s="235" t="s">
        <v>1187</v>
      </c>
      <c r="S68" s="17">
        <v>89999</v>
      </c>
      <c r="AJ68" s="245"/>
      <c r="AL68" s="247"/>
      <c r="AP68" s="6" t="s">
        <v>1151</v>
      </c>
      <c r="AQ68" s="235" t="s">
        <v>1135</v>
      </c>
      <c r="AR68" s="80" t="s">
        <v>1170</v>
      </c>
      <c r="AS68" t="s">
        <v>1100</v>
      </c>
      <c r="AT68" s="6">
        <v>11</v>
      </c>
      <c r="AU68" s="17">
        <v>55000</v>
      </c>
      <c r="AY68" s="6" t="s">
        <v>1149</v>
      </c>
      <c r="AZ68" s="235" t="s">
        <v>1136</v>
      </c>
      <c r="BA68" s="235" t="s">
        <v>1176</v>
      </c>
      <c r="BB68" s="6">
        <v>12</v>
      </c>
      <c r="BC68" s="17">
        <f t="shared" ref="BC68:BC99" si="29">INDEX($S$40:$S$69,MATCH(BA68,$R$40:$R$69,0))</f>
        <v>45500</v>
      </c>
      <c r="BD68" s="116">
        <f t="shared" ref="BD68:BD99" si="30">IF(BB68&gt;8,3%,2%)</f>
        <v>0.03</v>
      </c>
      <c r="BE68" s="17">
        <f t="shared" ref="BE68:BE99" si="31">(BB68*BC68)-(BC68*BD68)</f>
        <v>544635</v>
      </c>
      <c r="BF68" s="17"/>
      <c r="BG68" s="235" t="s">
        <v>1136</v>
      </c>
      <c r="BH68" s="250">
        <f t="shared" ref="BH68:BH87" si="32">IF(AZ68="Food Product",700,IF(AZ68="Non Food Product",900,IF(AZ68="General Merchandise Product",855,755)))</f>
        <v>900</v>
      </c>
      <c r="BI68" s="250">
        <f>SUMIF(Table13[Category],Table14[[#This Row],[Category]],Table13[[Quantity ]])</f>
        <v>299</v>
      </c>
      <c r="BJ68" s="250">
        <f>Table14[[#This Row],[Inventory]]-Table14[[#This Row],[Update ]]</f>
        <v>601</v>
      </c>
    </row>
    <row r="69" spans="1:62" ht="21" customHeight="1" x14ac:dyDescent="0.35">
      <c r="A69">
        <v>66</v>
      </c>
      <c r="B69" s="136">
        <v>44966</v>
      </c>
      <c r="C69" s="4" t="s">
        <v>160</v>
      </c>
      <c r="D69" s="1" t="s">
        <v>163</v>
      </c>
      <c r="E69" t="s">
        <v>1095</v>
      </c>
      <c r="F69" s="6" t="s">
        <v>1133</v>
      </c>
      <c r="G69" s="6" t="s">
        <v>1150</v>
      </c>
      <c r="H69" s="235" t="str">
        <f t="shared" si="23"/>
        <v>Non Food Product</v>
      </c>
      <c r="I69" s="235" t="s">
        <v>1174</v>
      </c>
      <c r="J69" t="str">
        <f t="shared" si="24"/>
        <v>Gold</v>
      </c>
      <c r="K69" s="6">
        <v>11</v>
      </c>
      <c r="L69" s="17">
        <f t="shared" si="25"/>
        <v>85500</v>
      </c>
      <c r="M69" s="116">
        <f t="shared" si="26"/>
        <v>0.03</v>
      </c>
      <c r="N69" s="47" t="str">
        <f t="shared" si="27"/>
        <v>25 Point</v>
      </c>
      <c r="O69" s="17">
        <f t="shared" si="28"/>
        <v>937935</v>
      </c>
      <c r="R69" s="235" t="s">
        <v>1188</v>
      </c>
      <c r="S69" s="17">
        <v>45555</v>
      </c>
      <c r="AP69" s="6" t="s">
        <v>1151</v>
      </c>
      <c r="AQ69" s="235" t="s">
        <v>1135</v>
      </c>
      <c r="AR69" s="80" t="s">
        <v>1170</v>
      </c>
      <c r="AS69" t="s">
        <v>1100</v>
      </c>
      <c r="AT69" s="6">
        <v>11</v>
      </c>
      <c r="AU69" s="17">
        <v>55000</v>
      </c>
      <c r="AY69" s="6" t="s">
        <v>1150</v>
      </c>
      <c r="AZ69" s="235" t="s">
        <v>1136</v>
      </c>
      <c r="BA69" s="235" t="s">
        <v>1174</v>
      </c>
      <c r="BB69" s="6">
        <v>11</v>
      </c>
      <c r="BC69" s="17">
        <f t="shared" si="29"/>
        <v>85500</v>
      </c>
      <c r="BD69" s="116">
        <f t="shared" si="30"/>
        <v>0.03</v>
      </c>
      <c r="BE69" s="17">
        <f t="shared" si="31"/>
        <v>937935</v>
      </c>
      <c r="BF69" s="17"/>
      <c r="BG69" s="235" t="s">
        <v>1136</v>
      </c>
      <c r="BH69" s="250">
        <f t="shared" si="32"/>
        <v>900</v>
      </c>
      <c r="BI69" s="250">
        <f>SUMIF(Table13[Category],Table14[[#This Row],[Category]],Table13[[Quantity ]])</f>
        <v>299</v>
      </c>
      <c r="BJ69" s="250">
        <f>Table14[[#This Row],[Inventory]]-Table14[[#This Row],[Update ]]</f>
        <v>601</v>
      </c>
    </row>
    <row r="70" spans="1:62" ht="21" customHeight="1" x14ac:dyDescent="0.35">
      <c r="A70">
        <v>67</v>
      </c>
      <c r="B70" s="136">
        <v>44966</v>
      </c>
      <c r="C70" s="4" t="s">
        <v>133</v>
      </c>
      <c r="D70" s="1" t="s">
        <v>162</v>
      </c>
      <c r="E70" t="s">
        <v>1095</v>
      </c>
      <c r="F70" s="6" t="s">
        <v>1113</v>
      </c>
      <c r="G70" s="6" t="s">
        <v>1150</v>
      </c>
      <c r="H70" s="235" t="str">
        <f t="shared" si="23"/>
        <v>Non Food Product</v>
      </c>
      <c r="I70" s="235" t="s">
        <v>1176</v>
      </c>
      <c r="J70" t="str">
        <f t="shared" si="24"/>
        <v>Platinum</v>
      </c>
      <c r="K70" s="6">
        <v>11</v>
      </c>
      <c r="L70" s="17">
        <f t="shared" si="25"/>
        <v>45500</v>
      </c>
      <c r="M70" s="116">
        <f t="shared" si="26"/>
        <v>0.03</v>
      </c>
      <c r="N70" s="133" t="str">
        <f t="shared" si="27"/>
        <v>20 Point</v>
      </c>
      <c r="O70" s="17">
        <f t="shared" si="28"/>
        <v>499135</v>
      </c>
      <c r="AP70" s="6" t="s">
        <v>1151</v>
      </c>
      <c r="AQ70" s="235" t="s">
        <v>1135</v>
      </c>
      <c r="AR70" s="80" t="s">
        <v>1170</v>
      </c>
      <c r="AS70" t="s">
        <v>1100</v>
      </c>
      <c r="AT70" s="6">
        <v>15</v>
      </c>
      <c r="AU70" s="17">
        <v>55000</v>
      </c>
      <c r="AY70" s="6" t="s">
        <v>1150</v>
      </c>
      <c r="AZ70" s="235" t="s">
        <v>1136</v>
      </c>
      <c r="BA70" s="235" t="s">
        <v>1176</v>
      </c>
      <c r="BB70" s="6">
        <v>11</v>
      </c>
      <c r="BC70" s="17">
        <f t="shared" si="29"/>
        <v>45500</v>
      </c>
      <c r="BD70" s="116">
        <f t="shared" si="30"/>
        <v>0.03</v>
      </c>
      <c r="BE70" s="17">
        <f t="shared" si="31"/>
        <v>499135</v>
      </c>
      <c r="BF70" s="17"/>
      <c r="BG70" s="235" t="s">
        <v>1136</v>
      </c>
      <c r="BH70" s="250">
        <f t="shared" si="32"/>
        <v>900</v>
      </c>
      <c r="BI70" s="250">
        <f>SUMIF(Table13[Category],Table14[[#This Row],[Category]],Table13[[Quantity ]])</f>
        <v>299</v>
      </c>
      <c r="BJ70" s="250">
        <f>Table14[[#This Row],[Inventory]]-Table14[[#This Row],[Update ]]</f>
        <v>601</v>
      </c>
    </row>
    <row r="71" spans="1:62" ht="21" customHeight="1" x14ac:dyDescent="0.35">
      <c r="A71">
        <v>68</v>
      </c>
      <c r="B71" s="136">
        <v>44966</v>
      </c>
      <c r="C71" s="4" t="s">
        <v>134</v>
      </c>
      <c r="D71" s="1" t="s">
        <v>162</v>
      </c>
      <c r="E71" t="s">
        <v>1095</v>
      </c>
      <c r="F71" s="6" t="s">
        <v>1114</v>
      </c>
      <c r="G71" s="6" t="s">
        <v>1140</v>
      </c>
      <c r="H71" s="235" t="str">
        <f t="shared" si="23"/>
        <v>Non Food Product</v>
      </c>
      <c r="I71" s="235" t="s">
        <v>1176</v>
      </c>
      <c r="J71" t="str">
        <f t="shared" si="24"/>
        <v>Platinum</v>
      </c>
      <c r="K71" s="6">
        <v>15</v>
      </c>
      <c r="L71" s="17">
        <f t="shared" si="25"/>
        <v>45500</v>
      </c>
      <c r="M71" s="116">
        <f t="shared" si="26"/>
        <v>0.03</v>
      </c>
      <c r="N71" s="47" t="str">
        <f t="shared" si="27"/>
        <v>20 Point</v>
      </c>
      <c r="O71" s="17">
        <f t="shared" si="28"/>
        <v>681135</v>
      </c>
      <c r="AP71" s="6" t="s">
        <v>1139</v>
      </c>
      <c r="AQ71" s="235" t="s">
        <v>1135</v>
      </c>
      <c r="AR71" s="80" t="s">
        <v>1160</v>
      </c>
      <c r="AS71" t="s">
        <v>1100</v>
      </c>
      <c r="AT71" s="6">
        <v>13</v>
      </c>
      <c r="AU71" s="17">
        <v>120000</v>
      </c>
      <c r="AY71" s="6" t="s">
        <v>1140</v>
      </c>
      <c r="AZ71" s="235" t="s">
        <v>1136</v>
      </c>
      <c r="BA71" s="235" t="s">
        <v>1176</v>
      </c>
      <c r="BB71" s="6">
        <v>15</v>
      </c>
      <c r="BC71" s="17">
        <f t="shared" si="29"/>
        <v>45500</v>
      </c>
      <c r="BD71" s="116">
        <f t="shared" si="30"/>
        <v>0.03</v>
      </c>
      <c r="BE71" s="17">
        <f t="shared" si="31"/>
        <v>681135</v>
      </c>
      <c r="BF71" s="17"/>
      <c r="BG71" s="235" t="s">
        <v>1136</v>
      </c>
      <c r="BH71" s="250">
        <f t="shared" si="32"/>
        <v>900</v>
      </c>
      <c r="BI71" s="250">
        <f>SUMIF(Table13[Category],Table14[[#This Row],[Category]],Table13[[Quantity ]])</f>
        <v>299</v>
      </c>
      <c r="BJ71" s="250">
        <f>Table14[[#This Row],[Inventory]]-Table14[[#This Row],[Update ]]</f>
        <v>601</v>
      </c>
    </row>
    <row r="72" spans="1:62" ht="21" customHeight="1" x14ac:dyDescent="0.35">
      <c r="A72">
        <v>69</v>
      </c>
      <c r="B72" s="136">
        <v>44967</v>
      </c>
      <c r="C72" s="4" t="s">
        <v>135</v>
      </c>
      <c r="D72" s="1" t="s">
        <v>162</v>
      </c>
      <c r="E72" t="s">
        <v>1095</v>
      </c>
      <c r="F72" s="6" t="s">
        <v>1126</v>
      </c>
      <c r="G72" s="6" t="s">
        <v>1149</v>
      </c>
      <c r="H72" s="235" t="str">
        <f t="shared" si="23"/>
        <v>Non Food Product</v>
      </c>
      <c r="I72" s="235" t="s">
        <v>1174</v>
      </c>
      <c r="J72" t="str">
        <f t="shared" si="24"/>
        <v>Platinum</v>
      </c>
      <c r="K72" s="6">
        <v>13</v>
      </c>
      <c r="L72" s="17">
        <f t="shared" si="25"/>
        <v>85500</v>
      </c>
      <c r="M72" s="116">
        <f t="shared" si="26"/>
        <v>0.03</v>
      </c>
      <c r="N72" s="47" t="str">
        <f t="shared" si="27"/>
        <v>25 Point</v>
      </c>
      <c r="O72" s="17">
        <f t="shared" si="28"/>
        <v>1108935</v>
      </c>
      <c r="AP72" s="6" t="s">
        <v>1139</v>
      </c>
      <c r="AQ72" s="235" t="s">
        <v>1135</v>
      </c>
      <c r="AR72" s="80" t="s">
        <v>1160</v>
      </c>
      <c r="AS72" t="s">
        <v>1100</v>
      </c>
      <c r="AT72" s="6">
        <v>2</v>
      </c>
      <c r="AU72" s="17">
        <v>120000</v>
      </c>
      <c r="AY72" s="6" t="s">
        <v>1149</v>
      </c>
      <c r="AZ72" s="235" t="s">
        <v>1136</v>
      </c>
      <c r="BA72" s="235" t="s">
        <v>1174</v>
      </c>
      <c r="BB72" s="6">
        <v>13</v>
      </c>
      <c r="BC72" s="17">
        <f t="shared" si="29"/>
        <v>85500</v>
      </c>
      <c r="BD72" s="116">
        <f t="shared" si="30"/>
        <v>0.03</v>
      </c>
      <c r="BE72" s="17">
        <f t="shared" si="31"/>
        <v>1108935</v>
      </c>
      <c r="BF72" s="17"/>
      <c r="BG72" s="235" t="s">
        <v>1136</v>
      </c>
      <c r="BH72" s="250">
        <f t="shared" si="32"/>
        <v>900</v>
      </c>
      <c r="BI72" s="250">
        <f>SUMIF(Table13[Category],Table14[[#This Row],[Category]],Table13[[Quantity ]])</f>
        <v>299</v>
      </c>
      <c r="BJ72" s="250">
        <f>Table14[[#This Row],[Inventory]]-Table14[[#This Row],[Update ]]</f>
        <v>601</v>
      </c>
    </row>
    <row r="73" spans="1:62" ht="21" customHeight="1" x14ac:dyDescent="0.35">
      <c r="A73">
        <v>70</v>
      </c>
      <c r="B73" s="136">
        <v>44967</v>
      </c>
      <c r="C73" s="4" t="s">
        <v>136</v>
      </c>
      <c r="D73" s="1" t="s">
        <v>163</v>
      </c>
      <c r="E73" t="s">
        <v>1093</v>
      </c>
      <c r="F73" s="6" t="s">
        <v>1127</v>
      </c>
      <c r="G73" s="6" t="s">
        <v>1139</v>
      </c>
      <c r="H73" s="235" t="str">
        <f t="shared" si="23"/>
        <v>Food Product</v>
      </c>
      <c r="I73" s="80" t="s">
        <v>1170</v>
      </c>
      <c r="J73" t="str">
        <f t="shared" si="24"/>
        <v>Platinum</v>
      </c>
      <c r="K73" s="6">
        <v>2</v>
      </c>
      <c r="L73" s="17">
        <f t="shared" si="25"/>
        <v>55000</v>
      </c>
      <c r="M73" s="116">
        <f t="shared" si="26"/>
        <v>0.02</v>
      </c>
      <c r="N73" s="47" t="str">
        <f t="shared" si="27"/>
        <v>25 Point</v>
      </c>
      <c r="O73" s="17">
        <f t="shared" si="28"/>
        <v>108900</v>
      </c>
      <c r="AP73" s="6" t="s">
        <v>1139</v>
      </c>
      <c r="AQ73" s="235" t="s">
        <v>1135</v>
      </c>
      <c r="AR73" s="80" t="s">
        <v>1159</v>
      </c>
      <c r="AS73" t="s">
        <v>1101</v>
      </c>
      <c r="AT73" s="6">
        <v>6</v>
      </c>
      <c r="AU73" s="17">
        <v>75000</v>
      </c>
      <c r="AY73" s="6" t="s">
        <v>1139</v>
      </c>
      <c r="AZ73" s="235" t="s">
        <v>1135</v>
      </c>
      <c r="BA73" s="80" t="s">
        <v>1170</v>
      </c>
      <c r="BB73" s="6">
        <v>2</v>
      </c>
      <c r="BC73" s="17">
        <f t="shared" si="29"/>
        <v>55000</v>
      </c>
      <c r="BD73" s="116">
        <f t="shared" si="30"/>
        <v>0.02</v>
      </c>
      <c r="BE73" s="17">
        <f t="shared" si="31"/>
        <v>108900</v>
      </c>
      <c r="BF73" s="17"/>
      <c r="BG73" s="235" t="s">
        <v>1135</v>
      </c>
      <c r="BH73" s="250">
        <f t="shared" si="32"/>
        <v>700</v>
      </c>
      <c r="BI73" s="250">
        <f>SUMIF(Table13[Category],Table14[[#This Row],[Category]],Table13[[Quantity ]])</f>
        <v>345</v>
      </c>
      <c r="BJ73" s="250">
        <f>Table14[[#This Row],[Inventory]]-Table14[[#This Row],[Update ]]</f>
        <v>355</v>
      </c>
    </row>
    <row r="74" spans="1:62" ht="21" customHeight="1" x14ac:dyDescent="0.35">
      <c r="A74">
        <v>71</v>
      </c>
      <c r="B74" s="136">
        <v>44967</v>
      </c>
      <c r="C74" s="4" t="s">
        <v>137</v>
      </c>
      <c r="D74" s="1" t="s">
        <v>163</v>
      </c>
      <c r="E74" t="s">
        <v>1093</v>
      </c>
      <c r="F74" s="6" t="s">
        <v>1103</v>
      </c>
      <c r="G74" s="6" t="s">
        <v>1151</v>
      </c>
      <c r="H74" s="235" t="str">
        <f t="shared" si="23"/>
        <v>Food Product</v>
      </c>
      <c r="I74" s="80" t="s">
        <v>1170</v>
      </c>
      <c r="J74" t="str">
        <f t="shared" si="24"/>
        <v>Gold</v>
      </c>
      <c r="K74" s="6">
        <v>2</v>
      </c>
      <c r="L74" s="17">
        <f t="shared" si="25"/>
        <v>55000</v>
      </c>
      <c r="M74" s="116">
        <f t="shared" si="26"/>
        <v>0.02</v>
      </c>
      <c r="N74" s="47" t="str">
        <f t="shared" si="27"/>
        <v>5 Point</v>
      </c>
      <c r="O74" s="17">
        <f t="shared" si="28"/>
        <v>108900</v>
      </c>
      <c r="AP74" s="6" t="s">
        <v>1151</v>
      </c>
      <c r="AQ74" s="235" t="s">
        <v>1135</v>
      </c>
      <c r="AR74" s="80" t="s">
        <v>1170</v>
      </c>
      <c r="AS74" t="s">
        <v>1101</v>
      </c>
      <c r="AT74" s="6">
        <v>8</v>
      </c>
      <c r="AU74" s="17">
        <v>55000</v>
      </c>
      <c r="AY74" s="6" t="s">
        <v>1151</v>
      </c>
      <c r="AZ74" s="235" t="s">
        <v>1135</v>
      </c>
      <c r="BA74" s="80" t="s">
        <v>1170</v>
      </c>
      <c r="BB74" s="6">
        <v>2</v>
      </c>
      <c r="BC74" s="17">
        <f t="shared" si="29"/>
        <v>55000</v>
      </c>
      <c r="BD74" s="116">
        <f t="shared" si="30"/>
        <v>0.02</v>
      </c>
      <c r="BE74" s="17">
        <f t="shared" si="31"/>
        <v>108900</v>
      </c>
      <c r="BF74" s="17"/>
      <c r="BG74" s="235" t="s">
        <v>1135</v>
      </c>
      <c r="BH74" s="250">
        <f t="shared" si="32"/>
        <v>700</v>
      </c>
      <c r="BI74" s="250">
        <f>SUMIF(Table13[Category],Table14[[#This Row],[Category]],Table13[[Quantity ]])</f>
        <v>345</v>
      </c>
      <c r="BJ74" s="250">
        <f>Table14[[#This Row],[Inventory]]-Table14[[#This Row],[Update ]]</f>
        <v>355</v>
      </c>
    </row>
    <row r="75" spans="1:62" ht="21" customHeight="1" x14ac:dyDescent="0.35">
      <c r="A75">
        <v>72</v>
      </c>
      <c r="B75" s="136">
        <v>44967</v>
      </c>
      <c r="C75" s="4" t="s">
        <v>138</v>
      </c>
      <c r="D75" s="1" t="s">
        <v>162</v>
      </c>
      <c r="E75" t="s">
        <v>1093</v>
      </c>
      <c r="F75" s="6" t="s">
        <v>1128</v>
      </c>
      <c r="G75" s="6" t="s">
        <v>1152</v>
      </c>
      <c r="H75" s="235" t="str">
        <f t="shared" si="23"/>
        <v>Food Product</v>
      </c>
      <c r="I75" s="80" t="s">
        <v>1168</v>
      </c>
      <c r="J75" t="str">
        <f t="shared" si="24"/>
        <v>Gold</v>
      </c>
      <c r="K75" s="6">
        <v>2</v>
      </c>
      <c r="L75" s="17">
        <f t="shared" si="25"/>
        <v>70000</v>
      </c>
      <c r="M75" s="116">
        <f t="shared" si="26"/>
        <v>0.02</v>
      </c>
      <c r="N75" s="47" t="str">
        <f t="shared" si="27"/>
        <v>25 Point</v>
      </c>
      <c r="O75" s="17">
        <f t="shared" si="28"/>
        <v>138600</v>
      </c>
      <c r="AP75" s="6" t="s">
        <v>1152</v>
      </c>
      <c r="AQ75" s="235" t="s">
        <v>1135</v>
      </c>
      <c r="AR75" s="80" t="s">
        <v>1160</v>
      </c>
      <c r="AS75" t="s">
        <v>1100</v>
      </c>
      <c r="AT75" s="6">
        <v>8</v>
      </c>
      <c r="AU75" s="17">
        <v>120000</v>
      </c>
      <c r="AY75" s="6" t="s">
        <v>1152</v>
      </c>
      <c r="AZ75" s="235" t="s">
        <v>1135</v>
      </c>
      <c r="BA75" s="80" t="s">
        <v>1168</v>
      </c>
      <c r="BB75" s="6">
        <v>2</v>
      </c>
      <c r="BC75" s="17">
        <f t="shared" si="29"/>
        <v>70000</v>
      </c>
      <c r="BD75" s="116">
        <f t="shared" si="30"/>
        <v>0.02</v>
      </c>
      <c r="BE75" s="17">
        <f t="shared" si="31"/>
        <v>138600</v>
      </c>
      <c r="BF75" s="17"/>
      <c r="BG75" s="235" t="s">
        <v>1135</v>
      </c>
      <c r="BH75" s="250">
        <f t="shared" si="32"/>
        <v>700</v>
      </c>
      <c r="BI75" s="250">
        <f>SUMIF(Table13[Category],Table14[[#This Row],[Category]],Table13[[Quantity ]])</f>
        <v>345</v>
      </c>
      <c r="BJ75" s="250">
        <f>Table14[[#This Row],[Inventory]]-Table14[[#This Row],[Update ]]</f>
        <v>355</v>
      </c>
    </row>
    <row r="76" spans="1:62" ht="21" customHeight="1" x14ac:dyDescent="0.35">
      <c r="A76">
        <v>73</v>
      </c>
      <c r="B76" s="136">
        <v>44967</v>
      </c>
      <c r="C76" s="4" t="s">
        <v>139</v>
      </c>
      <c r="D76" s="1" t="s">
        <v>162</v>
      </c>
      <c r="E76" t="s">
        <v>1093</v>
      </c>
      <c r="F76" s="6" t="s">
        <v>1128</v>
      </c>
      <c r="G76" s="6" t="s">
        <v>1142</v>
      </c>
      <c r="H76" s="235" t="str">
        <f t="shared" si="23"/>
        <v>General Merchandise Product</v>
      </c>
      <c r="I76" s="80" t="s">
        <v>1180</v>
      </c>
      <c r="J76" t="str">
        <f t="shared" si="24"/>
        <v>Gold</v>
      </c>
      <c r="K76" s="6">
        <v>3</v>
      </c>
      <c r="L76" s="17">
        <f t="shared" si="25"/>
        <v>75000</v>
      </c>
      <c r="M76" s="116">
        <f t="shared" si="26"/>
        <v>0.02</v>
      </c>
      <c r="N76" s="47" t="str">
        <f t="shared" si="27"/>
        <v>25 Point</v>
      </c>
      <c r="O76" s="17">
        <f t="shared" si="28"/>
        <v>223500</v>
      </c>
      <c r="AP76" s="6" t="s">
        <v>1152</v>
      </c>
      <c r="AQ76" s="235" t="s">
        <v>1135</v>
      </c>
      <c r="AR76" s="80" t="s">
        <v>1160</v>
      </c>
      <c r="AS76" t="s">
        <v>1101</v>
      </c>
      <c r="AT76" s="6">
        <v>11</v>
      </c>
      <c r="AU76" s="17">
        <v>120000</v>
      </c>
      <c r="AY76" s="6" t="s">
        <v>1142</v>
      </c>
      <c r="AZ76" s="235" t="s">
        <v>1138</v>
      </c>
      <c r="BA76" s="80" t="s">
        <v>1180</v>
      </c>
      <c r="BB76" s="6">
        <v>3</v>
      </c>
      <c r="BC76" s="17">
        <f t="shared" si="29"/>
        <v>75000</v>
      </c>
      <c r="BD76" s="116">
        <f t="shared" si="30"/>
        <v>0.02</v>
      </c>
      <c r="BE76" s="17">
        <f t="shared" si="31"/>
        <v>223500</v>
      </c>
      <c r="BF76" s="17"/>
      <c r="BG76" s="235" t="s">
        <v>1138</v>
      </c>
      <c r="BH76" s="250">
        <f t="shared" si="32"/>
        <v>855</v>
      </c>
      <c r="BI76" s="250">
        <f>SUMIF(Table13[Category],Table14[[#This Row],[Category]],Table13[[Quantity ]])</f>
        <v>215</v>
      </c>
      <c r="BJ76" s="250">
        <f>Table14[[#This Row],[Inventory]]-Table14[[#This Row],[Update ]]</f>
        <v>640</v>
      </c>
    </row>
    <row r="77" spans="1:62" ht="21" customHeight="1" x14ac:dyDescent="0.35">
      <c r="A77">
        <v>74</v>
      </c>
      <c r="B77" s="136">
        <v>44967</v>
      </c>
      <c r="C77" s="4" t="s">
        <v>140</v>
      </c>
      <c r="D77" s="1" t="s">
        <v>162</v>
      </c>
      <c r="E77" t="s">
        <v>1093</v>
      </c>
      <c r="F77" s="6" t="s">
        <v>1129</v>
      </c>
      <c r="G77" s="6" t="s">
        <v>1142</v>
      </c>
      <c r="H77" s="235" t="str">
        <f t="shared" si="23"/>
        <v>General Merchandise Product</v>
      </c>
      <c r="I77" s="80" t="s">
        <v>1179</v>
      </c>
      <c r="J77" t="str">
        <f t="shared" si="24"/>
        <v>Gold</v>
      </c>
      <c r="K77" s="6">
        <v>4</v>
      </c>
      <c r="L77" s="17">
        <f t="shared" si="25"/>
        <v>85000</v>
      </c>
      <c r="M77" s="116">
        <f t="shared" si="26"/>
        <v>0.02</v>
      </c>
      <c r="N77" s="47" t="str">
        <f t="shared" si="27"/>
        <v>25 Point</v>
      </c>
      <c r="O77" s="17">
        <f t="shared" si="28"/>
        <v>338300</v>
      </c>
      <c r="AP77" s="6" t="s">
        <v>1139</v>
      </c>
      <c r="AQ77" s="235" t="s">
        <v>1135</v>
      </c>
      <c r="AR77" s="80" t="s">
        <v>1170</v>
      </c>
      <c r="AS77" t="s">
        <v>1101</v>
      </c>
      <c r="AT77" s="6">
        <v>10</v>
      </c>
      <c r="AU77" s="17">
        <v>55000</v>
      </c>
      <c r="AY77" s="6" t="s">
        <v>1142</v>
      </c>
      <c r="AZ77" s="235" t="s">
        <v>1138</v>
      </c>
      <c r="BA77" s="80" t="s">
        <v>1179</v>
      </c>
      <c r="BB77" s="6">
        <v>4</v>
      </c>
      <c r="BC77" s="17">
        <f t="shared" si="29"/>
        <v>85000</v>
      </c>
      <c r="BD77" s="116">
        <f t="shared" si="30"/>
        <v>0.02</v>
      </c>
      <c r="BE77" s="17">
        <f t="shared" si="31"/>
        <v>338300</v>
      </c>
      <c r="BF77" s="17"/>
      <c r="BG77" s="235" t="s">
        <v>1138</v>
      </c>
      <c r="BH77" s="250">
        <f t="shared" si="32"/>
        <v>855</v>
      </c>
      <c r="BI77" s="250">
        <f>SUMIF(Table13[Category],Table14[[#This Row],[Category]],Table13[[Quantity ]])</f>
        <v>215</v>
      </c>
      <c r="BJ77" s="250">
        <f>Table14[[#This Row],[Inventory]]-Table14[[#This Row],[Update ]]</f>
        <v>640</v>
      </c>
    </row>
    <row r="78" spans="1:62" ht="21" customHeight="1" x14ac:dyDescent="0.35">
      <c r="A78">
        <v>75</v>
      </c>
      <c r="B78" s="136">
        <v>44967</v>
      </c>
      <c r="C78" s="4" t="s">
        <v>141</v>
      </c>
      <c r="D78" s="1" t="s">
        <v>162</v>
      </c>
      <c r="E78" t="s">
        <v>1093</v>
      </c>
      <c r="F78" s="6" t="s">
        <v>1130</v>
      </c>
      <c r="G78" s="6" t="s">
        <v>1153</v>
      </c>
      <c r="H78" s="235" t="str">
        <f t="shared" si="23"/>
        <v>General Merchandise Product</v>
      </c>
      <c r="I78" s="80" t="s">
        <v>1180</v>
      </c>
      <c r="J78" t="str">
        <f t="shared" si="24"/>
        <v>Gold</v>
      </c>
      <c r="K78" s="6">
        <v>5</v>
      </c>
      <c r="L78" s="17">
        <f t="shared" si="25"/>
        <v>75000</v>
      </c>
      <c r="M78" s="116">
        <f t="shared" si="26"/>
        <v>0.02</v>
      </c>
      <c r="N78" s="47" t="str">
        <f t="shared" si="27"/>
        <v>10 Point</v>
      </c>
      <c r="O78" s="17">
        <f t="shared" si="28"/>
        <v>373500</v>
      </c>
      <c r="AP78" s="6" t="s">
        <v>1152</v>
      </c>
      <c r="AQ78" s="235" t="s">
        <v>1135</v>
      </c>
      <c r="AR78" s="80" t="s">
        <v>1160</v>
      </c>
      <c r="AS78" t="s">
        <v>1100</v>
      </c>
      <c r="AT78" s="6">
        <v>9</v>
      </c>
      <c r="AU78" s="17">
        <v>120000</v>
      </c>
      <c r="AY78" s="6" t="s">
        <v>1153</v>
      </c>
      <c r="AZ78" s="235" t="s">
        <v>1138</v>
      </c>
      <c r="BA78" s="80" t="s">
        <v>1180</v>
      </c>
      <c r="BB78" s="6">
        <v>5</v>
      </c>
      <c r="BC78" s="17">
        <f t="shared" si="29"/>
        <v>75000</v>
      </c>
      <c r="BD78" s="116">
        <f t="shared" si="30"/>
        <v>0.02</v>
      </c>
      <c r="BE78" s="17">
        <f t="shared" si="31"/>
        <v>373500</v>
      </c>
      <c r="BF78" s="17"/>
      <c r="BG78" s="235" t="s">
        <v>1138</v>
      </c>
      <c r="BH78" s="250">
        <f t="shared" si="32"/>
        <v>855</v>
      </c>
      <c r="BI78" s="250">
        <f>SUMIF(Table13[Category],Table14[[#This Row],[Category]],Table13[[Quantity ]])</f>
        <v>215</v>
      </c>
      <c r="BJ78" s="250">
        <f>Table14[[#This Row],[Inventory]]-Table14[[#This Row],[Update ]]</f>
        <v>640</v>
      </c>
    </row>
    <row r="79" spans="1:62" ht="21" customHeight="1" x14ac:dyDescent="0.35">
      <c r="A79">
        <v>76</v>
      </c>
      <c r="B79" s="136">
        <v>44967</v>
      </c>
      <c r="C79" s="4" t="s">
        <v>142</v>
      </c>
      <c r="D79" s="1" t="s">
        <v>163</v>
      </c>
      <c r="E79" t="s">
        <v>1093</v>
      </c>
      <c r="F79" s="6" t="s">
        <v>1131</v>
      </c>
      <c r="G79" s="6" t="s">
        <v>1153</v>
      </c>
      <c r="H79" s="235" t="str">
        <f t="shared" si="23"/>
        <v>General Merchandise Product</v>
      </c>
      <c r="I79" s="80" t="s">
        <v>1182</v>
      </c>
      <c r="J79" t="str">
        <f t="shared" si="24"/>
        <v>Gold</v>
      </c>
      <c r="K79" s="6">
        <v>6</v>
      </c>
      <c r="L79" s="17">
        <f t="shared" si="25"/>
        <v>110500</v>
      </c>
      <c r="M79" s="116">
        <f t="shared" si="26"/>
        <v>0.02</v>
      </c>
      <c r="N79" s="47" t="str">
        <f t="shared" si="27"/>
        <v>10 Point</v>
      </c>
      <c r="O79" s="17">
        <f t="shared" si="28"/>
        <v>660790</v>
      </c>
      <c r="AP79" s="6" t="s">
        <v>1152</v>
      </c>
      <c r="AQ79" s="235" t="s">
        <v>1135</v>
      </c>
      <c r="AR79" s="80" t="s">
        <v>1170</v>
      </c>
      <c r="AS79" t="s">
        <v>1102</v>
      </c>
      <c r="AT79" s="6">
        <v>3</v>
      </c>
      <c r="AU79" s="17">
        <v>55000</v>
      </c>
      <c r="AY79" s="6" t="s">
        <v>1153</v>
      </c>
      <c r="AZ79" s="235" t="s">
        <v>1138</v>
      </c>
      <c r="BA79" s="80" t="s">
        <v>1182</v>
      </c>
      <c r="BB79" s="6">
        <v>6</v>
      </c>
      <c r="BC79" s="17">
        <f t="shared" si="29"/>
        <v>110500</v>
      </c>
      <c r="BD79" s="116">
        <f t="shared" si="30"/>
        <v>0.02</v>
      </c>
      <c r="BE79" s="17">
        <f t="shared" si="31"/>
        <v>660790</v>
      </c>
      <c r="BF79" s="17"/>
      <c r="BG79" s="235" t="s">
        <v>1138</v>
      </c>
      <c r="BH79" s="250">
        <f t="shared" si="32"/>
        <v>855</v>
      </c>
      <c r="BI79" s="250">
        <f>SUMIF(Table13[Category],Table14[[#This Row],[Category]],Table13[[Quantity ]])</f>
        <v>215</v>
      </c>
      <c r="BJ79" s="250">
        <f>Table14[[#This Row],[Inventory]]-Table14[[#This Row],[Update ]]</f>
        <v>640</v>
      </c>
    </row>
    <row r="80" spans="1:62" ht="21" customHeight="1" x14ac:dyDescent="0.35">
      <c r="A80">
        <v>77</v>
      </c>
      <c r="B80" s="136">
        <v>44967</v>
      </c>
      <c r="C80" s="4" t="s">
        <v>143</v>
      </c>
      <c r="D80" s="1" t="s">
        <v>163</v>
      </c>
      <c r="E80" t="s">
        <v>1093</v>
      </c>
      <c r="F80" s="6" t="s">
        <v>1132</v>
      </c>
      <c r="G80" s="6" t="s">
        <v>1153</v>
      </c>
      <c r="H80" s="235" t="str">
        <f t="shared" si="23"/>
        <v>General Merchandise Product</v>
      </c>
      <c r="I80" s="80" t="s">
        <v>1179</v>
      </c>
      <c r="J80" t="str">
        <f t="shared" si="24"/>
        <v>Gold</v>
      </c>
      <c r="K80" s="6">
        <v>10</v>
      </c>
      <c r="L80" s="17">
        <f t="shared" si="25"/>
        <v>85000</v>
      </c>
      <c r="M80" s="116">
        <f t="shared" si="26"/>
        <v>0.03</v>
      </c>
      <c r="N80" s="47" t="str">
        <f t="shared" si="27"/>
        <v>15 Point</v>
      </c>
      <c r="O80" s="17">
        <f t="shared" si="28"/>
        <v>847450</v>
      </c>
      <c r="AP80" s="6" t="s">
        <v>1152</v>
      </c>
      <c r="AQ80" s="235" t="s">
        <v>1135</v>
      </c>
      <c r="AR80" s="80" t="s">
        <v>1160</v>
      </c>
      <c r="AS80" t="s">
        <v>1101</v>
      </c>
      <c r="AT80" s="6">
        <v>5</v>
      </c>
      <c r="AU80" s="17">
        <v>120000</v>
      </c>
      <c r="AY80" s="6" t="s">
        <v>1153</v>
      </c>
      <c r="AZ80" s="235" t="s">
        <v>1138</v>
      </c>
      <c r="BA80" s="80" t="s">
        <v>1179</v>
      </c>
      <c r="BB80" s="6">
        <v>10</v>
      </c>
      <c r="BC80" s="17">
        <f t="shared" si="29"/>
        <v>85000</v>
      </c>
      <c r="BD80" s="116">
        <f t="shared" si="30"/>
        <v>0.03</v>
      </c>
      <c r="BE80" s="17">
        <f t="shared" si="31"/>
        <v>847450</v>
      </c>
      <c r="BF80" s="17"/>
      <c r="BG80" s="235" t="s">
        <v>1138</v>
      </c>
      <c r="BH80" s="250">
        <f t="shared" si="32"/>
        <v>855</v>
      </c>
      <c r="BI80" s="250">
        <f>SUMIF(Table13[Category],Table14[[#This Row],[Category]],Table13[[Quantity ]])</f>
        <v>215</v>
      </c>
      <c r="BJ80" s="250">
        <f>Table14[[#This Row],[Inventory]]-Table14[[#This Row],[Update ]]</f>
        <v>640</v>
      </c>
    </row>
    <row r="81" spans="1:62" ht="21" customHeight="1" x14ac:dyDescent="0.35">
      <c r="A81">
        <v>78</v>
      </c>
      <c r="B81" s="136">
        <v>44968</v>
      </c>
      <c r="C81" s="4" t="s">
        <v>144</v>
      </c>
      <c r="D81" s="1" t="s">
        <v>162</v>
      </c>
      <c r="E81" t="s">
        <v>1093</v>
      </c>
      <c r="F81" s="6" t="s">
        <v>1133</v>
      </c>
      <c r="G81" s="6" t="s">
        <v>1153</v>
      </c>
      <c r="H81" s="235" t="str">
        <f t="shared" si="23"/>
        <v>General Merchandise Product</v>
      </c>
      <c r="I81" s="80" t="s">
        <v>1180</v>
      </c>
      <c r="J81" t="str">
        <f t="shared" si="24"/>
        <v>Gold</v>
      </c>
      <c r="K81" s="6">
        <v>9</v>
      </c>
      <c r="L81" s="17">
        <f t="shared" si="25"/>
        <v>75000</v>
      </c>
      <c r="M81" s="116">
        <f t="shared" si="26"/>
        <v>0.03</v>
      </c>
      <c r="N81" s="47" t="str">
        <f t="shared" si="27"/>
        <v>25 Point</v>
      </c>
      <c r="O81" s="17">
        <f t="shared" si="28"/>
        <v>672750</v>
      </c>
      <c r="AP81" s="6" t="s">
        <v>1152</v>
      </c>
      <c r="AQ81" s="235" t="s">
        <v>1135</v>
      </c>
      <c r="AR81" s="80" t="s">
        <v>1160</v>
      </c>
      <c r="AS81" t="s">
        <v>1101</v>
      </c>
      <c r="AT81" s="6">
        <v>7</v>
      </c>
      <c r="AU81" s="17">
        <v>120000</v>
      </c>
      <c r="AY81" s="6" t="s">
        <v>1153</v>
      </c>
      <c r="AZ81" s="235" t="s">
        <v>1138</v>
      </c>
      <c r="BA81" s="80" t="s">
        <v>1180</v>
      </c>
      <c r="BB81" s="6">
        <v>9</v>
      </c>
      <c r="BC81" s="17">
        <f t="shared" si="29"/>
        <v>75000</v>
      </c>
      <c r="BD81" s="116">
        <f t="shared" si="30"/>
        <v>0.03</v>
      </c>
      <c r="BE81" s="17">
        <f t="shared" si="31"/>
        <v>672750</v>
      </c>
      <c r="BF81" s="17"/>
      <c r="BG81" s="235" t="s">
        <v>1138</v>
      </c>
      <c r="BH81" s="250">
        <f t="shared" si="32"/>
        <v>855</v>
      </c>
      <c r="BI81" s="250">
        <f>SUMIF(Table13[Category],Table14[[#This Row],[Category]],Table13[[Quantity ]])</f>
        <v>215</v>
      </c>
      <c r="BJ81" s="250">
        <f>Table14[[#This Row],[Inventory]]-Table14[[#This Row],[Update ]]</f>
        <v>640</v>
      </c>
    </row>
    <row r="82" spans="1:62" ht="21" customHeight="1" x14ac:dyDescent="0.35">
      <c r="A82">
        <v>79</v>
      </c>
      <c r="B82" s="136">
        <v>44968</v>
      </c>
      <c r="C82" s="4" t="s">
        <v>145</v>
      </c>
      <c r="D82" s="1" t="s">
        <v>162</v>
      </c>
      <c r="E82" t="s">
        <v>1093</v>
      </c>
      <c r="F82" s="6" t="s">
        <v>1113</v>
      </c>
      <c r="G82" s="6" t="s">
        <v>1154</v>
      </c>
      <c r="H82" s="235" t="str">
        <f t="shared" si="23"/>
        <v>General Merchandise Product</v>
      </c>
      <c r="I82" s="80" t="s">
        <v>1182</v>
      </c>
      <c r="J82" t="str">
        <f t="shared" si="24"/>
        <v>Platinum</v>
      </c>
      <c r="K82" s="6">
        <v>5</v>
      </c>
      <c r="L82" s="17">
        <f t="shared" si="25"/>
        <v>110500</v>
      </c>
      <c r="M82" s="116">
        <f t="shared" si="26"/>
        <v>0.02</v>
      </c>
      <c r="N82" s="47" t="str">
        <f t="shared" si="27"/>
        <v>20 Point</v>
      </c>
      <c r="O82" s="17">
        <f t="shared" si="28"/>
        <v>550290</v>
      </c>
      <c r="AP82" s="6" t="s">
        <v>1152</v>
      </c>
      <c r="AQ82" s="235" t="s">
        <v>1135</v>
      </c>
      <c r="AR82" s="80" t="s">
        <v>1170</v>
      </c>
      <c r="AS82" t="s">
        <v>1102</v>
      </c>
      <c r="AT82" s="6">
        <v>7</v>
      </c>
      <c r="AU82" s="17">
        <v>55000</v>
      </c>
      <c r="AY82" s="6" t="s">
        <v>1154</v>
      </c>
      <c r="AZ82" s="235" t="s">
        <v>1138</v>
      </c>
      <c r="BA82" s="80" t="s">
        <v>1182</v>
      </c>
      <c r="BB82" s="6">
        <v>5</v>
      </c>
      <c r="BC82" s="17">
        <f t="shared" si="29"/>
        <v>110500</v>
      </c>
      <c r="BD82" s="116">
        <f t="shared" si="30"/>
        <v>0.02</v>
      </c>
      <c r="BE82" s="17">
        <f t="shared" si="31"/>
        <v>550290</v>
      </c>
      <c r="BF82" s="17"/>
      <c r="BG82" s="235" t="s">
        <v>1138</v>
      </c>
      <c r="BH82" s="250">
        <f t="shared" si="32"/>
        <v>855</v>
      </c>
      <c r="BI82" s="250">
        <f>SUMIF(Table13[Category],Table14[[#This Row],[Category]],Table13[[Quantity ]])</f>
        <v>215</v>
      </c>
      <c r="BJ82" s="250">
        <f>Table14[[#This Row],[Inventory]]-Table14[[#This Row],[Update ]]</f>
        <v>640</v>
      </c>
    </row>
    <row r="83" spans="1:62" ht="21" customHeight="1" x14ac:dyDescent="0.35">
      <c r="A83">
        <v>80</v>
      </c>
      <c r="B83" s="136">
        <v>44968</v>
      </c>
      <c r="C83" s="4" t="s">
        <v>146</v>
      </c>
      <c r="D83" s="1" t="s">
        <v>162</v>
      </c>
      <c r="E83" t="s">
        <v>1092</v>
      </c>
      <c r="F83" s="6" t="s">
        <v>1114</v>
      </c>
      <c r="G83" s="6" t="s">
        <v>1155</v>
      </c>
      <c r="H83" s="235" t="str">
        <f t="shared" si="23"/>
        <v>General Merchandise Product</v>
      </c>
      <c r="I83" s="80" t="s">
        <v>1182</v>
      </c>
      <c r="J83" t="str">
        <f t="shared" si="24"/>
        <v>Platinum</v>
      </c>
      <c r="K83" s="6">
        <v>5</v>
      </c>
      <c r="L83" s="17">
        <f t="shared" si="25"/>
        <v>110500</v>
      </c>
      <c r="M83" s="116">
        <f t="shared" si="26"/>
        <v>0.02</v>
      </c>
      <c r="N83" s="47" t="str">
        <f t="shared" si="27"/>
        <v>20 Point</v>
      </c>
      <c r="O83" s="17">
        <f t="shared" si="28"/>
        <v>550290</v>
      </c>
      <c r="AP83" s="6" t="s">
        <v>1151</v>
      </c>
      <c r="AQ83" s="235" t="s">
        <v>1135</v>
      </c>
      <c r="AR83" s="80" t="s">
        <v>1170</v>
      </c>
      <c r="AS83" t="s">
        <v>1100</v>
      </c>
      <c r="AT83" s="6">
        <v>6</v>
      </c>
      <c r="AU83" s="17">
        <v>55000</v>
      </c>
      <c r="AY83" s="6" t="s">
        <v>1155</v>
      </c>
      <c r="AZ83" s="235" t="s">
        <v>1138</v>
      </c>
      <c r="BA83" s="80" t="s">
        <v>1182</v>
      </c>
      <c r="BB83" s="6">
        <v>5</v>
      </c>
      <c r="BC83" s="17">
        <f t="shared" si="29"/>
        <v>110500</v>
      </c>
      <c r="BD83" s="116">
        <f t="shared" si="30"/>
        <v>0.02</v>
      </c>
      <c r="BE83" s="17">
        <f t="shared" si="31"/>
        <v>550290</v>
      </c>
      <c r="BF83" s="17"/>
      <c r="BG83" s="235" t="s">
        <v>1138</v>
      </c>
      <c r="BH83" s="250">
        <f t="shared" si="32"/>
        <v>855</v>
      </c>
      <c r="BI83" s="250">
        <f>SUMIF(Table13[Category],Table14[[#This Row],[Category]],Table13[[Quantity ]])</f>
        <v>215</v>
      </c>
      <c r="BJ83" s="250">
        <f>Table14[[#This Row],[Inventory]]-Table14[[#This Row],[Update ]]</f>
        <v>640</v>
      </c>
    </row>
    <row r="84" spans="1:62" ht="21" customHeight="1" x14ac:dyDescent="0.35">
      <c r="A84">
        <v>81</v>
      </c>
      <c r="B84" s="136">
        <v>44968</v>
      </c>
      <c r="C84" s="4" t="s">
        <v>45</v>
      </c>
      <c r="D84" s="1" t="s">
        <v>163</v>
      </c>
      <c r="E84" t="s">
        <v>1092</v>
      </c>
      <c r="F84" s="6" t="s">
        <v>1103</v>
      </c>
      <c r="G84" s="6" t="s">
        <v>1142</v>
      </c>
      <c r="H84" s="235" t="str">
        <f t="shared" si="23"/>
        <v>General Merchandise Product</v>
      </c>
      <c r="I84" s="80" t="s">
        <v>1180</v>
      </c>
      <c r="J84" t="str">
        <f t="shared" si="24"/>
        <v>Gold</v>
      </c>
      <c r="K84" s="6">
        <v>3</v>
      </c>
      <c r="L84" s="17">
        <f t="shared" si="25"/>
        <v>75000</v>
      </c>
      <c r="M84" s="116">
        <f t="shared" si="26"/>
        <v>0.02</v>
      </c>
      <c r="N84" s="47" t="str">
        <f t="shared" si="27"/>
        <v>5 Point</v>
      </c>
      <c r="O84" s="17">
        <f t="shared" si="28"/>
        <v>223500</v>
      </c>
      <c r="AP84" s="6" t="s">
        <v>1139</v>
      </c>
      <c r="AQ84" s="235" t="s">
        <v>1135</v>
      </c>
      <c r="AR84" s="80" t="s">
        <v>1160</v>
      </c>
      <c r="AS84" t="s">
        <v>1101</v>
      </c>
      <c r="AT84" s="6">
        <v>8</v>
      </c>
      <c r="AU84" s="17">
        <v>120000</v>
      </c>
      <c r="AY84" s="6" t="s">
        <v>1142</v>
      </c>
      <c r="AZ84" s="235" t="s">
        <v>1138</v>
      </c>
      <c r="BA84" s="80" t="s">
        <v>1180</v>
      </c>
      <c r="BB84" s="6">
        <v>3</v>
      </c>
      <c r="BC84" s="17">
        <f t="shared" si="29"/>
        <v>75000</v>
      </c>
      <c r="BD84" s="116">
        <f t="shared" si="30"/>
        <v>0.02</v>
      </c>
      <c r="BE84" s="17">
        <f t="shared" si="31"/>
        <v>223500</v>
      </c>
      <c r="BF84" s="17"/>
      <c r="BG84" s="235" t="s">
        <v>1138</v>
      </c>
      <c r="BH84" s="250">
        <f t="shared" si="32"/>
        <v>855</v>
      </c>
      <c r="BI84" s="250">
        <f>SUMIF(Table13[Category],Table14[[#This Row],[Category]],Table13[[Quantity ]])</f>
        <v>215</v>
      </c>
      <c r="BJ84" s="250">
        <f>Table14[[#This Row],[Inventory]]-Table14[[#This Row],[Update ]]</f>
        <v>640</v>
      </c>
    </row>
    <row r="85" spans="1:62" ht="21" customHeight="1" x14ac:dyDescent="0.35">
      <c r="A85">
        <v>82</v>
      </c>
      <c r="B85" s="136">
        <v>44969</v>
      </c>
      <c r="C85" s="4" t="s">
        <v>47</v>
      </c>
      <c r="D85" s="1" t="s">
        <v>162</v>
      </c>
      <c r="E85" t="s">
        <v>1092</v>
      </c>
      <c r="F85" s="6" t="s">
        <v>1115</v>
      </c>
      <c r="G85" s="6" t="s">
        <v>1143</v>
      </c>
      <c r="H85" s="235" t="str">
        <f t="shared" si="23"/>
        <v>Perishable</v>
      </c>
      <c r="I85" s="235" t="s">
        <v>1187</v>
      </c>
      <c r="J85" t="str">
        <f t="shared" si="24"/>
        <v>Gold</v>
      </c>
      <c r="K85" s="6">
        <v>2</v>
      </c>
      <c r="L85" s="17">
        <f t="shared" si="25"/>
        <v>89999</v>
      </c>
      <c r="M85" s="116">
        <f t="shared" si="26"/>
        <v>0.02</v>
      </c>
      <c r="N85" s="47" t="str">
        <f t="shared" si="27"/>
        <v>10 Point</v>
      </c>
      <c r="O85" s="17">
        <f t="shared" si="28"/>
        <v>178198.02</v>
      </c>
      <c r="AP85" s="6" t="s">
        <v>1139</v>
      </c>
      <c r="AQ85" s="235" t="s">
        <v>1135</v>
      </c>
      <c r="AR85" s="80" t="s">
        <v>1159</v>
      </c>
      <c r="AS85" t="s">
        <v>1101</v>
      </c>
      <c r="AT85" s="6">
        <v>8</v>
      </c>
      <c r="AU85" s="17">
        <v>75000</v>
      </c>
      <c r="AY85" s="6" t="s">
        <v>1143</v>
      </c>
      <c r="AZ85" s="235" t="s">
        <v>1137</v>
      </c>
      <c r="BA85" s="235" t="s">
        <v>1187</v>
      </c>
      <c r="BB85" s="6">
        <v>2</v>
      </c>
      <c r="BC85" s="17">
        <f t="shared" si="29"/>
        <v>89999</v>
      </c>
      <c r="BD85" s="116">
        <f t="shared" si="30"/>
        <v>0.02</v>
      </c>
      <c r="BE85" s="17">
        <f t="shared" si="31"/>
        <v>178198.02</v>
      </c>
      <c r="BF85" s="17"/>
      <c r="BG85" s="235" t="s">
        <v>1137</v>
      </c>
      <c r="BH85" s="250">
        <f t="shared" si="32"/>
        <v>755</v>
      </c>
      <c r="BI85" s="250">
        <f>SUMIF(Table13[Category],Table14[[#This Row],[Category]],Table13[[Quantity ]])</f>
        <v>241</v>
      </c>
      <c r="BJ85" s="250">
        <f>Table14[[#This Row],[Inventory]]-Table14[[#This Row],[Update ]]</f>
        <v>514</v>
      </c>
    </row>
    <row r="86" spans="1:62" ht="21" customHeight="1" x14ac:dyDescent="0.35">
      <c r="A86">
        <v>83</v>
      </c>
      <c r="B86" s="136">
        <v>44969</v>
      </c>
      <c r="C86" s="4" t="s">
        <v>46</v>
      </c>
      <c r="D86" s="1" t="s">
        <v>163</v>
      </c>
      <c r="E86" t="s">
        <v>1092</v>
      </c>
      <c r="F86" s="6" t="s">
        <v>1116</v>
      </c>
      <c r="G86" s="6" t="s">
        <v>1141</v>
      </c>
      <c r="H86" s="235" t="str">
        <f t="shared" si="23"/>
        <v>Perishable</v>
      </c>
      <c r="I86" s="235" t="s">
        <v>1186</v>
      </c>
      <c r="J86" t="str">
        <f t="shared" si="24"/>
        <v>Gold</v>
      </c>
      <c r="K86" s="6">
        <v>2</v>
      </c>
      <c r="L86" s="17">
        <f t="shared" si="25"/>
        <v>69999</v>
      </c>
      <c r="M86" s="116">
        <f t="shared" si="26"/>
        <v>0.02</v>
      </c>
      <c r="N86" s="47" t="str">
        <f t="shared" si="27"/>
        <v>5 Point</v>
      </c>
      <c r="O86" s="17">
        <f t="shared" si="28"/>
        <v>138598.01999999999</v>
      </c>
      <c r="AP86" s="6"/>
      <c r="AQ86" s="235"/>
      <c r="AR86" s="235"/>
      <c r="AT86" s="6"/>
      <c r="AU86" s="17"/>
      <c r="AY86" s="6" t="s">
        <v>1141</v>
      </c>
      <c r="AZ86" s="235" t="s">
        <v>1137</v>
      </c>
      <c r="BA86" s="235" t="s">
        <v>1186</v>
      </c>
      <c r="BB86" s="6">
        <v>2</v>
      </c>
      <c r="BC86" s="17">
        <f t="shared" si="29"/>
        <v>69999</v>
      </c>
      <c r="BD86" s="116">
        <f t="shared" si="30"/>
        <v>0.02</v>
      </c>
      <c r="BE86" s="17">
        <f t="shared" si="31"/>
        <v>138598.01999999999</v>
      </c>
      <c r="BF86" s="17"/>
      <c r="BG86" s="235" t="s">
        <v>1137</v>
      </c>
      <c r="BH86" s="250">
        <f t="shared" si="32"/>
        <v>755</v>
      </c>
      <c r="BI86" s="250">
        <f>SUMIF(Table13[Category],Table14[[#This Row],[Category]],Table13[[Quantity ]])</f>
        <v>241</v>
      </c>
      <c r="BJ86" s="250">
        <f>Table14[[#This Row],[Inventory]]-Table14[[#This Row],[Update ]]</f>
        <v>514</v>
      </c>
    </row>
    <row r="87" spans="1:62" ht="21" customHeight="1" x14ac:dyDescent="0.35">
      <c r="A87">
        <v>84</v>
      </c>
      <c r="B87" s="136">
        <v>44969</v>
      </c>
      <c r="C87" s="4" t="s">
        <v>48</v>
      </c>
      <c r="D87" s="1" t="s">
        <v>162</v>
      </c>
      <c r="E87" t="s">
        <v>1092</v>
      </c>
      <c r="F87" s="6" t="s">
        <v>1117</v>
      </c>
      <c r="G87" s="6" t="s">
        <v>1144</v>
      </c>
      <c r="H87" s="235" t="str">
        <f t="shared" si="23"/>
        <v>Perishable</v>
      </c>
      <c r="I87" s="235" t="s">
        <v>1186</v>
      </c>
      <c r="J87" t="str">
        <f t="shared" si="24"/>
        <v>Gold</v>
      </c>
      <c r="K87" s="6">
        <v>2</v>
      </c>
      <c r="L87" s="17">
        <f t="shared" si="25"/>
        <v>69999</v>
      </c>
      <c r="M87" s="116">
        <f t="shared" si="26"/>
        <v>0.02</v>
      </c>
      <c r="N87" s="47" t="str">
        <f t="shared" si="27"/>
        <v>15 Point</v>
      </c>
      <c r="O87" s="17">
        <f t="shared" si="28"/>
        <v>138598.01999999999</v>
      </c>
      <c r="AP87" s="6"/>
      <c r="AQ87" s="235"/>
      <c r="AR87" s="235"/>
      <c r="AT87" s="6"/>
      <c r="AU87" s="17"/>
      <c r="AY87" s="6" t="s">
        <v>1144</v>
      </c>
      <c r="AZ87" s="235" t="s">
        <v>1137</v>
      </c>
      <c r="BA87" s="235" t="s">
        <v>1186</v>
      </c>
      <c r="BB87" s="6">
        <v>2</v>
      </c>
      <c r="BC87" s="17">
        <f t="shared" si="29"/>
        <v>69999</v>
      </c>
      <c r="BD87" s="116">
        <f t="shared" si="30"/>
        <v>0.02</v>
      </c>
      <c r="BE87" s="17">
        <f t="shared" si="31"/>
        <v>138598.01999999999</v>
      </c>
      <c r="BF87" s="17"/>
      <c r="BG87" s="235" t="s">
        <v>1137</v>
      </c>
      <c r="BH87" s="250">
        <f t="shared" si="32"/>
        <v>755</v>
      </c>
      <c r="BI87" s="250">
        <f>SUMIF(Table13[Category],Table14[[#This Row],[Category]],Table13[[Quantity ]])</f>
        <v>241</v>
      </c>
      <c r="BJ87" s="250">
        <f>Table14[[#This Row],[Inventory]]-Table14[[#This Row],[Update ]]</f>
        <v>514</v>
      </c>
    </row>
    <row r="88" spans="1:62" ht="21" customHeight="1" x14ac:dyDescent="0.35">
      <c r="A88">
        <v>85</v>
      </c>
      <c r="B88" s="136">
        <v>44969</v>
      </c>
      <c r="C88" s="4" t="s">
        <v>49</v>
      </c>
      <c r="D88" s="1" t="s">
        <v>162</v>
      </c>
      <c r="E88" t="s">
        <v>1092</v>
      </c>
      <c r="F88" s="6" t="s">
        <v>1118</v>
      </c>
      <c r="G88" s="6" t="s">
        <v>1158</v>
      </c>
      <c r="H88" s="235" t="str">
        <f t="shared" si="23"/>
        <v>Perishable</v>
      </c>
      <c r="I88" s="235" t="s">
        <v>1185</v>
      </c>
      <c r="J88" t="str">
        <f t="shared" si="24"/>
        <v>Silver</v>
      </c>
      <c r="K88" s="6">
        <v>4</v>
      </c>
      <c r="L88" s="17">
        <f t="shared" si="25"/>
        <v>49999</v>
      </c>
      <c r="M88" s="116">
        <f t="shared" si="26"/>
        <v>0.02</v>
      </c>
      <c r="N88" s="47" t="str">
        <f t="shared" si="27"/>
        <v>15 Point</v>
      </c>
      <c r="O88" s="17">
        <f t="shared" si="28"/>
        <v>198996.02</v>
      </c>
      <c r="AP88" s="6"/>
      <c r="AQ88" s="235"/>
      <c r="AR88" s="235"/>
      <c r="AT88" s="6"/>
      <c r="AU88" s="17"/>
      <c r="AY88" s="6" t="s">
        <v>1158</v>
      </c>
      <c r="AZ88" s="235" t="s">
        <v>1137</v>
      </c>
      <c r="BA88" s="235" t="s">
        <v>1185</v>
      </c>
      <c r="BB88" s="6">
        <v>4</v>
      </c>
      <c r="BC88" s="17">
        <f t="shared" si="29"/>
        <v>49999</v>
      </c>
      <c r="BD88" s="116">
        <f t="shared" si="30"/>
        <v>0.02</v>
      </c>
      <c r="BE88" s="17">
        <f t="shared" si="31"/>
        <v>198996.02</v>
      </c>
      <c r="BF88" s="17"/>
      <c r="BG88" s="235" t="s">
        <v>1137</v>
      </c>
      <c r="BH88" s="250">
        <f>IF(AZ89="Food Product",700,IF(AZ89="Non Food Product",900,IF(AZ89="General Merchandise Product",855,755)))</f>
        <v>900</v>
      </c>
      <c r="BI88" s="250">
        <f>SUMIF(Table13[Category],Table14[[#This Row],[Category]],Table13[[Quantity ]])</f>
        <v>241</v>
      </c>
      <c r="BJ88" s="250">
        <f>Table14[[#This Row],[Inventory]]-Table14[[#This Row],[Update ]]</f>
        <v>659</v>
      </c>
    </row>
    <row r="89" spans="1:62" ht="21" customHeight="1" x14ac:dyDescent="0.35">
      <c r="A89">
        <v>86</v>
      </c>
      <c r="B89" s="136">
        <v>44969</v>
      </c>
      <c r="C89" s="4" t="s">
        <v>50</v>
      </c>
      <c r="D89" s="1" t="s">
        <v>163</v>
      </c>
      <c r="E89" t="s">
        <v>1092</v>
      </c>
      <c r="F89" s="6" t="s">
        <v>1119</v>
      </c>
      <c r="G89" s="6" t="s">
        <v>1149</v>
      </c>
      <c r="H89" s="235" t="str">
        <f t="shared" si="23"/>
        <v>Non Food Product</v>
      </c>
      <c r="I89" s="235" t="s">
        <v>1174</v>
      </c>
      <c r="J89" t="str">
        <f t="shared" si="24"/>
        <v>Silver</v>
      </c>
      <c r="K89" s="6">
        <v>5</v>
      </c>
      <c r="L89" s="17">
        <f t="shared" si="25"/>
        <v>85500</v>
      </c>
      <c r="M89" s="116">
        <f t="shared" si="26"/>
        <v>0.02</v>
      </c>
      <c r="N89" s="47" t="str">
        <f t="shared" si="27"/>
        <v>5 Point</v>
      </c>
      <c r="O89" s="17">
        <f t="shared" si="28"/>
        <v>425790</v>
      </c>
      <c r="AP89" s="6"/>
      <c r="AQ89" s="235"/>
      <c r="AR89" s="235"/>
      <c r="AT89" s="6"/>
      <c r="AU89" s="17"/>
      <c r="AY89" s="6" t="s">
        <v>1149</v>
      </c>
      <c r="AZ89" s="235" t="s">
        <v>1136</v>
      </c>
      <c r="BA89" s="235" t="s">
        <v>1174</v>
      </c>
      <c r="BB89" s="6">
        <v>5</v>
      </c>
      <c r="BC89" s="17">
        <f t="shared" si="29"/>
        <v>85500</v>
      </c>
      <c r="BD89" s="116">
        <f t="shared" si="30"/>
        <v>0.02</v>
      </c>
      <c r="BE89" s="17">
        <f t="shared" si="31"/>
        <v>425790</v>
      </c>
      <c r="BF89" s="17"/>
      <c r="BG89" s="235" t="s">
        <v>1136</v>
      </c>
      <c r="BH89" s="250">
        <f>IF(AZ90="Food Product",700,IF(AZ90="Non Food Product",900,IF(AZ90="General Merchandise Product",855,755)))</f>
        <v>900</v>
      </c>
      <c r="BI89" s="250">
        <f>SUMIF(Table13[Category],Table14[[#This Row],[Category]],Table13[[Quantity ]])</f>
        <v>299</v>
      </c>
      <c r="BJ89" s="250">
        <f>Table14[[#This Row],[Inventory]]-Table14[[#This Row],[Update ]]</f>
        <v>601</v>
      </c>
    </row>
    <row r="90" spans="1:62" ht="21" customHeight="1" x14ac:dyDescent="0.35">
      <c r="A90">
        <v>87</v>
      </c>
      <c r="B90" s="136">
        <v>44970</v>
      </c>
      <c r="C90" s="4" t="s">
        <v>51</v>
      </c>
      <c r="D90" s="1" t="s">
        <v>162</v>
      </c>
      <c r="E90" t="s">
        <v>1092</v>
      </c>
      <c r="F90" s="6" t="s">
        <v>1120</v>
      </c>
      <c r="G90" s="6" t="s">
        <v>1150</v>
      </c>
      <c r="H90" s="235" t="str">
        <f t="shared" si="23"/>
        <v>Non Food Product</v>
      </c>
      <c r="I90" s="235" t="s">
        <v>1174</v>
      </c>
      <c r="J90" t="str">
        <f t="shared" si="24"/>
        <v>Silver</v>
      </c>
      <c r="K90" s="6">
        <v>5</v>
      </c>
      <c r="L90" s="17">
        <f t="shared" si="25"/>
        <v>85500</v>
      </c>
      <c r="M90" s="116">
        <f t="shared" si="26"/>
        <v>0.02</v>
      </c>
      <c r="N90" s="47" t="str">
        <f t="shared" si="27"/>
        <v>20 Point</v>
      </c>
      <c r="O90" s="17">
        <f t="shared" si="28"/>
        <v>425790</v>
      </c>
      <c r="AP90" s="6"/>
      <c r="AQ90" s="235"/>
      <c r="AR90" s="235"/>
      <c r="AT90" s="6"/>
      <c r="AU90" s="17"/>
      <c r="AY90" s="6" t="s">
        <v>1150</v>
      </c>
      <c r="AZ90" s="235" t="s">
        <v>1136</v>
      </c>
      <c r="BA90" s="235" t="s">
        <v>1174</v>
      </c>
      <c r="BB90" s="6">
        <v>5</v>
      </c>
      <c r="BC90" s="17">
        <f t="shared" si="29"/>
        <v>85500</v>
      </c>
      <c r="BD90" s="116">
        <f t="shared" si="30"/>
        <v>0.02</v>
      </c>
      <c r="BE90" s="17">
        <f t="shared" si="31"/>
        <v>425790</v>
      </c>
      <c r="BF90" s="17"/>
      <c r="BG90" s="235" t="s">
        <v>1136</v>
      </c>
      <c r="BH90" s="250">
        <f t="shared" ref="BH90:BH121" si="33">IF(AZ90="Food Product",700,IF(AZ90="Non Food Product",900,IF(AZ90="General Merchandise Product",855,755)))</f>
        <v>900</v>
      </c>
      <c r="BI90" s="250">
        <f>SUMIF(Table13[Category],Table14[[#This Row],[Category]],Table13[[Quantity ]])</f>
        <v>299</v>
      </c>
      <c r="BJ90" s="250">
        <f>Table14[[#This Row],[Inventory]]-Table14[[#This Row],[Update ]]</f>
        <v>601</v>
      </c>
    </row>
    <row r="91" spans="1:62" ht="21" customHeight="1" x14ac:dyDescent="0.35">
      <c r="A91">
        <v>88</v>
      </c>
      <c r="B91" s="136">
        <v>44970</v>
      </c>
      <c r="C91" s="4" t="s">
        <v>52</v>
      </c>
      <c r="D91" s="1" t="s">
        <v>162</v>
      </c>
      <c r="E91" t="s">
        <v>1092</v>
      </c>
      <c r="F91" s="6" t="s">
        <v>1103</v>
      </c>
      <c r="G91" s="6" t="s">
        <v>1153</v>
      </c>
      <c r="H91" s="235" t="str">
        <f t="shared" si="23"/>
        <v>General Merchandise Product</v>
      </c>
      <c r="I91" s="80" t="s">
        <v>1180</v>
      </c>
      <c r="J91" t="str">
        <f t="shared" si="24"/>
        <v>Gold</v>
      </c>
      <c r="K91" s="6">
        <v>7</v>
      </c>
      <c r="L91" s="17">
        <f t="shared" si="25"/>
        <v>75000</v>
      </c>
      <c r="M91" s="116">
        <f t="shared" si="26"/>
        <v>0.02</v>
      </c>
      <c r="N91" s="47" t="str">
        <f t="shared" si="27"/>
        <v>5 Point</v>
      </c>
      <c r="O91" s="17">
        <f t="shared" si="28"/>
        <v>523500</v>
      </c>
      <c r="AP91" s="6"/>
      <c r="AQ91" s="235"/>
      <c r="AR91" s="235"/>
      <c r="AT91" s="6"/>
      <c r="AU91" s="17"/>
      <c r="AY91" s="6" t="s">
        <v>1153</v>
      </c>
      <c r="AZ91" s="235" t="s">
        <v>1138</v>
      </c>
      <c r="BA91" s="80" t="s">
        <v>1180</v>
      </c>
      <c r="BB91" s="6">
        <v>7</v>
      </c>
      <c r="BC91" s="17">
        <f t="shared" si="29"/>
        <v>75000</v>
      </c>
      <c r="BD91" s="116">
        <f t="shared" si="30"/>
        <v>0.02</v>
      </c>
      <c r="BE91" s="17">
        <f t="shared" si="31"/>
        <v>523500</v>
      </c>
      <c r="BF91" s="17"/>
      <c r="BG91" s="235" t="s">
        <v>1138</v>
      </c>
      <c r="BH91" s="250">
        <f t="shared" si="33"/>
        <v>855</v>
      </c>
      <c r="BI91" s="250">
        <f>SUMIF(Table13[Category],Table14[[#This Row],[Category]],Table13[[Quantity ]])</f>
        <v>215</v>
      </c>
      <c r="BJ91" s="250">
        <f>Table14[[#This Row],[Inventory]]-Table14[[#This Row],[Update ]]</f>
        <v>640</v>
      </c>
    </row>
    <row r="92" spans="1:62" ht="21" customHeight="1" x14ac:dyDescent="0.35">
      <c r="A92">
        <v>89</v>
      </c>
      <c r="B92" s="136">
        <v>44970</v>
      </c>
      <c r="C92" s="4" t="s">
        <v>53</v>
      </c>
      <c r="D92" s="1" t="s">
        <v>162</v>
      </c>
      <c r="E92" t="s">
        <v>1092</v>
      </c>
      <c r="F92" s="6" t="s">
        <v>1116</v>
      </c>
      <c r="G92" s="6" t="s">
        <v>1144</v>
      </c>
      <c r="H92" s="235" t="str">
        <f t="shared" si="23"/>
        <v>Perishable</v>
      </c>
      <c r="I92" s="235" t="s">
        <v>1186</v>
      </c>
      <c r="J92" t="str">
        <f t="shared" si="24"/>
        <v>Gold</v>
      </c>
      <c r="K92" s="6">
        <v>7</v>
      </c>
      <c r="L92" s="17">
        <f t="shared" si="25"/>
        <v>69999</v>
      </c>
      <c r="M92" s="116">
        <f t="shared" si="26"/>
        <v>0.02</v>
      </c>
      <c r="N92" s="47" t="str">
        <f t="shared" si="27"/>
        <v>5 Point</v>
      </c>
      <c r="O92" s="17">
        <f t="shared" si="28"/>
        <v>488593.02</v>
      </c>
      <c r="AP92" s="6"/>
      <c r="AQ92" s="235"/>
      <c r="AR92" s="235"/>
      <c r="AT92" s="6"/>
      <c r="AU92" s="17"/>
      <c r="AY92" s="6" t="s">
        <v>1144</v>
      </c>
      <c r="AZ92" s="235" t="s">
        <v>1137</v>
      </c>
      <c r="BA92" s="235" t="s">
        <v>1186</v>
      </c>
      <c r="BB92" s="6">
        <v>7</v>
      </c>
      <c r="BC92" s="17">
        <f t="shared" si="29"/>
        <v>69999</v>
      </c>
      <c r="BD92" s="116">
        <f t="shared" si="30"/>
        <v>0.02</v>
      </c>
      <c r="BE92" s="17">
        <f t="shared" si="31"/>
        <v>488593.02</v>
      </c>
      <c r="BF92" s="17"/>
      <c r="BG92" s="235" t="s">
        <v>1137</v>
      </c>
      <c r="BH92" s="250">
        <f t="shared" si="33"/>
        <v>755</v>
      </c>
      <c r="BI92" s="250">
        <f>SUMIF(Table13[Category],Table14[[#This Row],[Category]],Table13[[Quantity ]])</f>
        <v>241</v>
      </c>
      <c r="BJ92" s="250">
        <f>Table14[[#This Row],[Inventory]]-Table14[[#This Row],[Update ]]</f>
        <v>514</v>
      </c>
    </row>
    <row r="93" spans="1:62" ht="21" customHeight="1" x14ac:dyDescent="0.35">
      <c r="A93">
        <v>90</v>
      </c>
      <c r="B93" s="136">
        <v>44970</v>
      </c>
      <c r="C93" s="4" t="s">
        <v>54</v>
      </c>
      <c r="D93" s="1" t="s">
        <v>163</v>
      </c>
      <c r="E93" t="s">
        <v>1092</v>
      </c>
      <c r="F93" s="6" t="s">
        <v>1123</v>
      </c>
      <c r="G93" s="6" t="s">
        <v>1149</v>
      </c>
      <c r="H93" s="235" t="str">
        <f t="shared" si="23"/>
        <v>Non Food Product</v>
      </c>
      <c r="I93" s="235" t="s">
        <v>1174</v>
      </c>
      <c r="J93" t="str">
        <f t="shared" si="24"/>
        <v>Gold</v>
      </c>
      <c r="K93" s="6">
        <v>7</v>
      </c>
      <c r="L93" s="17">
        <f t="shared" si="25"/>
        <v>85500</v>
      </c>
      <c r="M93" s="116">
        <f t="shared" si="26"/>
        <v>0.02</v>
      </c>
      <c r="N93" s="47" t="str">
        <f t="shared" si="27"/>
        <v>10 Point</v>
      </c>
      <c r="O93" s="17">
        <f t="shared" si="28"/>
        <v>596790</v>
      </c>
      <c r="AP93" s="6"/>
      <c r="AQ93" s="235"/>
      <c r="AR93" s="80"/>
      <c r="AT93" s="6"/>
      <c r="AU93" s="17"/>
      <c r="AY93" s="6" t="s">
        <v>1149</v>
      </c>
      <c r="AZ93" s="235" t="s">
        <v>1136</v>
      </c>
      <c r="BA93" s="235" t="s">
        <v>1174</v>
      </c>
      <c r="BB93" s="6">
        <v>7</v>
      </c>
      <c r="BC93" s="17">
        <f t="shared" si="29"/>
        <v>85500</v>
      </c>
      <c r="BD93" s="116">
        <f t="shared" si="30"/>
        <v>0.02</v>
      </c>
      <c r="BE93" s="17">
        <f t="shared" si="31"/>
        <v>596790</v>
      </c>
      <c r="BF93" s="17"/>
      <c r="BG93" s="235" t="s">
        <v>1136</v>
      </c>
      <c r="BH93" s="250">
        <f t="shared" si="33"/>
        <v>900</v>
      </c>
      <c r="BI93" s="250">
        <f>SUMIF(Table13[Category],Table14[[#This Row],[Category]],Table13[[Quantity ]])</f>
        <v>299</v>
      </c>
      <c r="BJ93" s="250">
        <f>Table14[[#This Row],[Inventory]]-Table14[[#This Row],[Update ]]</f>
        <v>601</v>
      </c>
    </row>
    <row r="94" spans="1:62" ht="21" customHeight="1" x14ac:dyDescent="0.35">
      <c r="A94">
        <v>91</v>
      </c>
      <c r="B94" s="136">
        <v>44970</v>
      </c>
      <c r="C94" s="4" t="s">
        <v>55</v>
      </c>
      <c r="D94" s="1" t="s">
        <v>162</v>
      </c>
      <c r="E94" t="s">
        <v>1092</v>
      </c>
      <c r="F94" s="6" t="s">
        <v>1124</v>
      </c>
      <c r="G94" s="6" t="s">
        <v>1150</v>
      </c>
      <c r="H94" s="235" t="str">
        <f t="shared" si="23"/>
        <v>Non Food Product</v>
      </c>
      <c r="I94" s="235" t="s">
        <v>1174</v>
      </c>
      <c r="J94" t="str">
        <f t="shared" si="24"/>
        <v>Gold</v>
      </c>
      <c r="K94" s="6">
        <v>8</v>
      </c>
      <c r="L94" s="17">
        <f t="shared" si="25"/>
        <v>85500</v>
      </c>
      <c r="M94" s="116">
        <f t="shared" si="26"/>
        <v>0.02</v>
      </c>
      <c r="N94" s="47" t="str">
        <f t="shared" si="27"/>
        <v>15 Point</v>
      </c>
      <c r="O94" s="17">
        <f t="shared" si="28"/>
        <v>682290</v>
      </c>
      <c r="AP94" s="6"/>
      <c r="AQ94" s="235"/>
      <c r="AR94" s="80"/>
      <c r="AT94" s="6"/>
      <c r="AU94" s="17"/>
      <c r="AY94" s="6" t="s">
        <v>1150</v>
      </c>
      <c r="AZ94" s="235" t="s">
        <v>1136</v>
      </c>
      <c r="BA94" s="235" t="s">
        <v>1174</v>
      </c>
      <c r="BB94" s="6">
        <v>8</v>
      </c>
      <c r="BC94" s="17">
        <f t="shared" si="29"/>
        <v>85500</v>
      </c>
      <c r="BD94" s="116">
        <f t="shared" si="30"/>
        <v>0.02</v>
      </c>
      <c r="BE94" s="17">
        <f t="shared" si="31"/>
        <v>682290</v>
      </c>
      <c r="BF94" s="17"/>
      <c r="BG94" s="235" t="s">
        <v>1136</v>
      </c>
      <c r="BH94" s="250">
        <f t="shared" si="33"/>
        <v>900</v>
      </c>
      <c r="BI94" s="250">
        <f>SUMIF(Table13[Category],Table14[[#This Row],[Category]],Table13[[Quantity ]])</f>
        <v>299</v>
      </c>
      <c r="BJ94" s="250">
        <f>Table14[[#This Row],[Inventory]]-Table14[[#This Row],[Update ]]</f>
        <v>601</v>
      </c>
    </row>
    <row r="95" spans="1:62" ht="21" customHeight="1" x14ac:dyDescent="0.35">
      <c r="A95">
        <v>92</v>
      </c>
      <c r="B95" s="136">
        <v>44970</v>
      </c>
      <c r="C95" s="4" t="s">
        <v>56</v>
      </c>
      <c r="D95" s="1" t="s">
        <v>162</v>
      </c>
      <c r="E95" t="s">
        <v>1092</v>
      </c>
      <c r="F95" s="6" t="s">
        <v>1125</v>
      </c>
      <c r="G95" s="6" t="s">
        <v>1144</v>
      </c>
      <c r="H95" s="235" t="str">
        <f t="shared" si="23"/>
        <v>Perishable</v>
      </c>
      <c r="I95" s="235" t="s">
        <v>1187</v>
      </c>
      <c r="J95" t="str">
        <f t="shared" si="24"/>
        <v>Gold</v>
      </c>
      <c r="K95" s="6">
        <v>8</v>
      </c>
      <c r="L95" s="17">
        <f t="shared" si="25"/>
        <v>89999</v>
      </c>
      <c r="M95" s="116">
        <f t="shared" si="26"/>
        <v>0.02</v>
      </c>
      <c r="N95" s="47" t="str">
        <f t="shared" si="27"/>
        <v>5 Point</v>
      </c>
      <c r="O95" s="17">
        <f t="shared" si="28"/>
        <v>718192.02</v>
      </c>
      <c r="AP95" s="6"/>
      <c r="AQ95" s="235"/>
      <c r="AR95" s="80"/>
      <c r="AT95" s="6"/>
      <c r="AU95" s="17"/>
      <c r="AY95" s="6" t="s">
        <v>1144</v>
      </c>
      <c r="AZ95" s="235" t="s">
        <v>1137</v>
      </c>
      <c r="BA95" s="235" t="s">
        <v>1187</v>
      </c>
      <c r="BB95" s="6">
        <v>8</v>
      </c>
      <c r="BC95" s="17">
        <f t="shared" si="29"/>
        <v>89999</v>
      </c>
      <c r="BD95" s="116">
        <f t="shared" si="30"/>
        <v>0.02</v>
      </c>
      <c r="BE95" s="17">
        <f t="shared" si="31"/>
        <v>718192.02</v>
      </c>
      <c r="BF95" s="17"/>
      <c r="BG95" s="235" t="s">
        <v>1137</v>
      </c>
      <c r="BH95" s="250">
        <f t="shared" si="33"/>
        <v>755</v>
      </c>
      <c r="BI95" s="250">
        <f>SUMIF(Table13[Category],Table14[[#This Row],[Category]],Table13[[Quantity ]])</f>
        <v>241</v>
      </c>
      <c r="BJ95" s="250">
        <f>Table14[[#This Row],[Inventory]]-Table14[[#This Row],[Update ]]</f>
        <v>514</v>
      </c>
    </row>
    <row r="96" spans="1:62" ht="21" customHeight="1" x14ac:dyDescent="0.35">
      <c r="A96">
        <v>93</v>
      </c>
      <c r="B96" s="136">
        <v>44971</v>
      </c>
      <c r="C96" s="4" t="s">
        <v>57</v>
      </c>
      <c r="D96" s="1" t="s">
        <v>162</v>
      </c>
      <c r="E96" t="s">
        <v>1092</v>
      </c>
      <c r="F96" s="6" t="s">
        <v>1126</v>
      </c>
      <c r="G96" s="6" t="s">
        <v>1149</v>
      </c>
      <c r="H96" s="235" t="str">
        <f t="shared" si="23"/>
        <v>Non Food Product</v>
      </c>
      <c r="I96" s="235" t="s">
        <v>1177</v>
      </c>
      <c r="J96" t="str">
        <f t="shared" si="24"/>
        <v>Platinum</v>
      </c>
      <c r="K96" s="6">
        <v>9</v>
      </c>
      <c r="L96" s="17">
        <f t="shared" si="25"/>
        <v>195000</v>
      </c>
      <c r="M96" s="116">
        <f t="shared" si="26"/>
        <v>0.03</v>
      </c>
      <c r="N96" s="47" t="str">
        <f t="shared" si="27"/>
        <v>25 Point</v>
      </c>
      <c r="O96" s="17">
        <f t="shared" si="28"/>
        <v>1749150</v>
      </c>
      <c r="AP96" s="6"/>
      <c r="AQ96" s="235"/>
      <c r="AR96" s="80"/>
      <c r="AT96" s="6"/>
      <c r="AU96" s="17"/>
      <c r="AY96" s="6" t="s">
        <v>1149</v>
      </c>
      <c r="AZ96" s="235" t="s">
        <v>1136</v>
      </c>
      <c r="BA96" s="235" t="s">
        <v>1177</v>
      </c>
      <c r="BB96" s="6">
        <v>9</v>
      </c>
      <c r="BC96" s="17">
        <f t="shared" si="29"/>
        <v>195000</v>
      </c>
      <c r="BD96" s="116">
        <f t="shared" si="30"/>
        <v>0.03</v>
      </c>
      <c r="BE96" s="17">
        <f t="shared" si="31"/>
        <v>1749150</v>
      </c>
      <c r="BF96" s="17"/>
      <c r="BG96" s="235" t="s">
        <v>1136</v>
      </c>
      <c r="BH96" s="250">
        <f t="shared" si="33"/>
        <v>900</v>
      </c>
      <c r="BI96" s="250">
        <f>SUMIF(Table13[Category],Table14[[#This Row],[Category]],Table13[[Quantity ]])</f>
        <v>299</v>
      </c>
      <c r="BJ96" s="250">
        <f>Table14[[#This Row],[Inventory]]-Table14[[#This Row],[Update ]]</f>
        <v>601</v>
      </c>
    </row>
    <row r="97" spans="1:62" ht="21" customHeight="1" x14ac:dyDescent="0.35">
      <c r="A97">
        <v>94</v>
      </c>
      <c r="B97" s="136">
        <v>44971</v>
      </c>
      <c r="C97" s="4" t="s">
        <v>58</v>
      </c>
      <c r="D97" s="1" t="s">
        <v>163</v>
      </c>
      <c r="E97" t="s">
        <v>1092</v>
      </c>
      <c r="F97" s="6" t="s">
        <v>1127</v>
      </c>
      <c r="G97" s="6" t="s">
        <v>1150</v>
      </c>
      <c r="H97" s="235" t="str">
        <f t="shared" si="23"/>
        <v>Non Food Product</v>
      </c>
      <c r="I97" s="235" t="s">
        <v>1177</v>
      </c>
      <c r="J97" t="str">
        <f t="shared" si="24"/>
        <v>Platinum</v>
      </c>
      <c r="K97" s="6">
        <v>12</v>
      </c>
      <c r="L97" s="17">
        <f t="shared" si="25"/>
        <v>195000</v>
      </c>
      <c r="M97" s="116">
        <f t="shared" si="26"/>
        <v>0.03</v>
      </c>
      <c r="N97" s="47" t="str">
        <f t="shared" si="27"/>
        <v>25 Point</v>
      </c>
      <c r="O97" s="17">
        <f t="shared" si="28"/>
        <v>2334150</v>
      </c>
      <c r="AP97" s="6"/>
      <c r="AQ97" s="235"/>
      <c r="AR97" s="235"/>
      <c r="AT97" s="6"/>
      <c r="AU97" s="17"/>
      <c r="AY97" s="6" t="s">
        <v>1150</v>
      </c>
      <c r="AZ97" s="235" t="s">
        <v>1136</v>
      </c>
      <c r="BA97" s="235" t="s">
        <v>1177</v>
      </c>
      <c r="BB97" s="6">
        <v>12</v>
      </c>
      <c r="BC97" s="17">
        <f t="shared" si="29"/>
        <v>195000</v>
      </c>
      <c r="BD97" s="116">
        <f t="shared" si="30"/>
        <v>0.03</v>
      </c>
      <c r="BE97" s="17">
        <f t="shared" si="31"/>
        <v>2334150</v>
      </c>
      <c r="BF97" s="17"/>
      <c r="BG97" s="235" t="s">
        <v>1136</v>
      </c>
      <c r="BH97" s="250">
        <f t="shared" si="33"/>
        <v>900</v>
      </c>
      <c r="BI97" s="250">
        <f>SUMIF(Table13[Category],Table14[[#This Row],[Category]],Table13[[Quantity ]])</f>
        <v>299</v>
      </c>
      <c r="BJ97" s="250">
        <f>Table14[[#This Row],[Inventory]]-Table14[[#This Row],[Update ]]</f>
        <v>601</v>
      </c>
    </row>
    <row r="98" spans="1:62" ht="21" customHeight="1" x14ac:dyDescent="0.35">
      <c r="A98">
        <v>95</v>
      </c>
      <c r="B98" s="136">
        <v>44971</v>
      </c>
      <c r="C98" s="4" t="s">
        <v>59</v>
      </c>
      <c r="D98" s="1" t="s">
        <v>162</v>
      </c>
      <c r="E98" t="s">
        <v>1092</v>
      </c>
      <c r="F98" s="6" t="s">
        <v>1103</v>
      </c>
      <c r="G98" s="6" t="s">
        <v>1144</v>
      </c>
      <c r="H98" s="235" t="str">
        <f t="shared" si="23"/>
        <v>Perishable</v>
      </c>
      <c r="I98" s="235" t="s">
        <v>1187</v>
      </c>
      <c r="J98" t="str">
        <f t="shared" si="24"/>
        <v>Gold</v>
      </c>
      <c r="K98" s="6">
        <v>11</v>
      </c>
      <c r="L98" s="17">
        <f t="shared" si="25"/>
        <v>89999</v>
      </c>
      <c r="M98" s="116">
        <f t="shared" si="26"/>
        <v>0.03</v>
      </c>
      <c r="N98" s="47" t="str">
        <f t="shared" si="27"/>
        <v>5 Point</v>
      </c>
      <c r="O98" s="17">
        <f t="shared" si="28"/>
        <v>987289.03</v>
      </c>
      <c r="AP98" s="6"/>
      <c r="AQ98" s="235"/>
      <c r="AR98" s="235"/>
      <c r="AT98" s="6"/>
      <c r="AU98" s="17"/>
      <c r="AY98" s="6" t="s">
        <v>1144</v>
      </c>
      <c r="AZ98" s="235" t="s">
        <v>1137</v>
      </c>
      <c r="BA98" s="235" t="s">
        <v>1187</v>
      </c>
      <c r="BB98" s="6">
        <v>11</v>
      </c>
      <c r="BC98" s="17">
        <f t="shared" si="29"/>
        <v>89999</v>
      </c>
      <c r="BD98" s="116">
        <f t="shared" si="30"/>
        <v>0.03</v>
      </c>
      <c r="BE98" s="17">
        <f t="shared" si="31"/>
        <v>987289.03</v>
      </c>
      <c r="BF98" s="17"/>
      <c r="BG98" s="235" t="s">
        <v>1137</v>
      </c>
      <c r="BH98" s="250">
        <f t="shared" si="33"/>
        <v>755</v>
      </c>
      <c r="BI98" s="250">
        <f>SUMIF(Table13[Category],Table14[[#This Row],[Category]],Table13[[Quantity ]])</f>
        <v>241</v>
      </c>
      <c r="BJ98" s="250">
        <f>Table14[[#This Row],[Inventory]]-Table14[[#This Row],[Update ]]</f>
        <v>514</v>
      </c>
    </row>
    <row r="99" spans="1:62" ht="21" customHeight="1" x14ac:dyDescent="0.35">
      <c r="A99">
        <v>96</v>
      </c>
      <c r="B99" s="136">
        <v>44971</v>
      </c>
      <c r="C99" s="4" t="s">
        <v>60</v>
      </c>
      <c r="D99" s="1" t="s">
        <v>163</v>
      </c>
      <c r="E99" t="s">
        <v>1092</v>
      </c>
      <c r="F99" s="6" t="s">
        <v>1128</v>
      </c>
      <c r="G99" s="6" t="s">
        <v>1153</v>
      </c>
      <c r="H99" s="235" t="str">
        <f t="shared" si="23"/>
        <v>General Merchandise Product</v>
      </c>
      <c r="I99" s="80" t="s">
        <v>1180</v>
      </c>
      <c r="J99" t="str">
        <f t="shared" si="24"/>
        <v>Gold</v>
      </c>
      <c r="K99" s="6">
        <v>3</v>
      </c>
      <c r="L99" s="17">
        <f t="shared" si="25"/>
        <v>75000</v>
      </c>
      <c r="M99" s="116">
        <f t="shared" si="26"/>
        <v>0.02</v>
      </c>
      <c r="N99" s="47" t="str">
        <f t="shared" si="27"/>
        <v>25 Point</v>
      </c>
      <c r="O99" s="17">
        <f t="shared" si="28"/>
        <v>223500</v>
      </c>
      <c r="AP99" s="6"/>
      <c r="AQ99" s="235"/>
      <c r="AR99" s="235"/>
      <c r="AT99" s="6"/>
      <c r="AU99" s="17"/>
      <c r="AY99" s="6" t="s">
        <v>1153</v>
      </c>
      <c r="AZ99" s="235" t="s">
        <v>1138</v>
      </c>
      <c r="BA99" s="80" t="s">
        <v>1180</v>
      </c>
      <c r="BB99" s="6">
        <v>3</v>
      </c>
      <c r="BC99" s="17">
        <f t="shared" si="29"/>
        <v>75000</v>
      </c>
      <c r="BD99" s="116">
        <f t="shared" si="30"/>
        <v>0.02</v>
      </c>
      <c r="BE99" s="17">
        <f t="shared" si="31"/>
        <v>223500</v>
      </c>
      <c r="BF99" s="17"/>
      <c r="BG99" s="235" t="s">
        <v>1138</v>
      </c>
      <c r="BH99" s="250">
        <f t="shared" si="33"/>
        <v>855</v>
      </c>
      <c r="BI99" s="250">
        <f>SUMIF(Table13[Category],Table14[[#This Row],[Category]],Table13[[Quantity ]])</f>
        <v>215</v>
      </c>
      <c r="BJ99" s="250">
        <f>Table14[[#This Row],[Inventory]]-Table14[[#This Row],[Update ]]</f>
        <v>640</v>
      </c>
    </row>
    <row r="100" spans="1:62" ht="21" customHeight="1" x14ac:dyDescent="0.35">
      <c r="A100">
        <v>97</v>
      </c>
      <c r="B100" s="136">
        <v>44971</v>
      </c>
      <c r="C100" s="4" t="s">
        <v>1008</v>
      </c>
      <c r="D100" s="1" t="s">
        <v>163</v>
      </c>
      <c r="E100" t="s">
        <v>1092</v>
      </c>
      <c r="F100" s="6" t="s">
        <v>1128</v>
      </c>
      <c r="G100" s="6" t="s">
        <v>1144</v>
      </c>
      <c r="H100" s="235" t="str">
        <f t="shared" ref="H100:H131" si="34">VLOOKUP(LEFT(G100,2),Category,2,0)</f>
        <v>Perishable</v>
      </c>
      <c r="I100" s="235" t="s">
        <v>1186</v>
      </c>
      <c r="J100" t="str">
        <f t="shared" ref="J100:J131" si="35">VLOOKUP(LEFT(F100,1),Barcode,2,0)</f>
        <v>Gold</v>
      </c>
      <c r="K100" s="6">
        <v>2</v>
      </c>
      <c r="L100" s="17">
        <f t="shared" ref="L100:L131" si="36">INDEX($S$40:$S$69,MATCH(I100,$R$40:$R$69,0))</f>
        <v>69999</v>
      </c>
      <c r="M100" s="116">
        <f t="shared" ref="M100:M131" si="37">IF(K100&gt;8,3%,2%)</f>
        <v>0.02</v>
      </c>
      <c r="N100" s="47" t="str">
        <f t="shared" ref="N100:N131" si="38">HLOOKUP(VALUE(RIGHT(F100,2)),Point,2,0)</f>
        <v>25 Point</v>
      </c>
      <c r="O100" s="17">
        <f t="shared" ref="O100:O131" si="39">(K100*L100)-(L100*M100)</f>
        <v>138598.01999999999</v>
      </c>
      <c r="AP100" s="6"/>
      <c r="AQ100" s="235"/>
      <c r="AR100" s="235"/>
      <c r="AT100" s="6"/>
      <c r="AU100" s="17"/>
      <c r="AY100" s="6" t="s">
        <v>1144</v>
      </c>
      <c r="AZ100" s="235" t="s">
        <v>1137</v>
      </c>
      <c r="BA100" s="235" t="s">
        <v>1186</v>
      </c>
      <c r="BB100" s="6">
        <v>2</v>
      </c>
      <c r="BC100" s="17">
        <f t="shared" ref="BC100:BC131" si="40">INDEX($S$40:$S$69,MATCH(BA100,$R$40:$R$69,0))</f>
        <v>69999</v>
      </c>
      <c r="BD100" s="116">
        <f t="shared" ref="BD100:BD131" si="41">IF(BB100&gt;8,3%,2%)</f>
        <v>0.02</v>
      </c>
      <c r="BE100" s="17">
        <f t="shared" ref="BE100:BE131" si="42">(BB100*BC100)-(BC100*BD100)</f>
        <v>138598.01999999999</v>
      </c>
      <c r="BF100" s="17"/>
      <c r="BG100" s="235" t="s">
        <v>1137</v>
      </c>
      <c r="BH100" s="250">
        <f t="shared" si="33"/>
        <v>755</v>
      </c>
      <c r="BI100" s="250">
        <f>SUMIF(Table13[Category],Table14[[#This Row],[Category]],Table13[[Quantity ]])</f>
        <v>241</v>
      </c>
      <c r="BJ100" s="250">
        <f>Table14[[#This Row],[Inventory]]-Table14[[#This Row],[Update ]]</f>
        <v>514</v>
      </c>
    </row>
    <row r="101" spans="1:62" ht="21" customHeight="1" x14ac:dyDescent="0.35">
      <c r="A101">
        <v>98</v>
      </c>
      <c r="B101" s="136">
        <v>44972</v>
      </c>
      <c r="C101" s="4" t="s">
        <v>1009</v>
      </c>
      <c r="D101" s="1" t="s">
        <v>162</v>
      </c>
      <c r="E101" t="s">
        <v>1092</v>
      </c>
      <c r="F101" s="6" t="s">
        <v>1129</v>
      </c>
      <c r="G101" s="6" t="s">
        <v>1152</v>
      </c>
      <c r="H101" s="235" t="str">
        <f t="shared" si="34"/>
        <v>Food Product</v>
      </c>
      <c r="I101" s="80" t="s">
        <v>1159</v>
      </c>
      <c r="J101" t="str">
        <f t="shared" si="35"/>
        <v>Gold</v>
      </c>
      <c r="K101" s="6">
        <v>2</v>
      </c>
      <c r="L101" s="17">
        <f t="shared" si="36"/>
        <v>75000</v>
      </c>
      <c r="M101" s="116">
        <f t="shared" si="37"/>
        <v>0.02</v>
      </c>
      <c r="N101" s="47" t="str">
        <f t="shared" si="38"/>
        <v>25 Point</v>
      </c>
      <c r="O101" s="17">
        <f t="shared" si="39"/>
        <v>148500</v>
      </c>
      <c r="AP101" s="6"/>
      <c r="AQ101" s="235"/>
      <c r="AR101" s="235"/>
      <c r="AT101" s="6"/>
      <c r="AU101" s="17"/>
      <c r="AY101" s="6" t="s">
        <v>1152</v>
      </c>
      <c r="AZ101" s="235" t="s">
        <v>1135</v>
      </c>
      <c r="BA101" s="80" t="s">
        <v>1159</v>
      </c>
      <c r="BB101" s="6">
        <v>2</v>
      </c>
      <c r="BC101" s="17">
        <f t="shared" si="40"/>
        <v>75000</v>
      </c>
      <c r="BD101" s="116">
        <f t="shared" si="41"/>
        <v>0.02</v>
      </c>
      <c r="BE101" s="17">
        <f t="shared" si="42"/>
        <v>148500</v>
      </c>
      <c r="BF101" s="17"/>
      <c r="BG101" s="235" t="s">
        <v>1135</v>
      </c>
      <c r="BH101" s="250">
        <f t="shared" si="33"/>
        <v>700</v>
      </c>
      <c r="BI101" s="250">
        <f>SUMIF(Table13[Category],Table14[[#This Row],[Category]],Table13[[Quantity ]])</f>
        <v>345</v>
      </c>
      <c r="BJ101" s="250">
        <f>Table14[[#This Row],[Inventory]]-Table14[[#This Row],[Update ]]</f>
        <v>355</v>
      </c>
    </row>
    <row r="102" spans="1:62" ht="21" customHeight="1" x14ac:dyDescent="0.35">
      <c r="A102">
        <v>99</v>
      </c>
      <c r="B102" s="136">
        <v>44972</v>
      </c>
      <c r="C102" s="4" t="s">
        <v>1010</v>
      </c>
      <c r="D102" s="1" t="s">
        <v>162</v>
      </c>
      <c r="E102" t="s">
        <v>1092</v>
      </c>
      <c r="F102" s="6" t="s">
        <v>1130</v>
      </c>
      <c r="G102" s="6" t="s">
        <v>1139</v>
      </c>
      <c r="H102" s="235" t="str">
        <f t="shared" si="34"/>
        <v>Food Product</v>
      </c>
      <c r="I102" s="80" t="s">
        <v>1159</v>
      </c>
      <c r="J102" t="str">
        <f t="shared" si="35"/>
        <v>Gold</v>
      </c>
      <c r="K102" s="6">
        <v>4</v>
      </c>
      <c r="L102" s="17">
        <f t="shared" si="36"/>
        <v>75000</v>
      </c>
      <c r="M102" s="116">
        <f t="shared" si="37"/>
        <v>0.02</v>
      </c>
      <c r="N102" s="47" t="str">
        <f t="shared" si="38"/>
        <v>10 Point</v>
      </c>
      <c r="O102" s="17">
        <f t="shared" si="39"/>
        <v>298500</v>
      </c>
      <c r="AP102" s="6"/>
      <c r="AQ102" s="235"/>
      <c r="AR102" s="80"/>
      <c r="AT102" s="6"/>
      <c r="AU102" s="17"/>
      <c r="AY102" s="6" t="s">
        <v>1139</v>
      </c>
      <c r="AZ102" s="235" t="s">
        <v>1135</v>
      </c>
      <c r="BA102" s="80" t="s">
        <v>1159</v>
      </c>
      <c r="BB102" s="6">
        <v>4</v>
      </c>
      <c r="BC102" s="17">
        <f t="shared" si="40"/>
        <v>75000</v>
      </c>
      <c r="BD102" s="116">
        <f t="shared" si="41"/>
        <v>0.02</v>
      </c>
      <c r="BE102" s="17">
        <f t="shared" si="42"/>
        <v>298500</v>
      </c>
      <c r="BF102" s="17"/>
      <c r="BG102" s="235" t="s">
        <v>1135</v>
      </c>
      <c r="BH102" s="250">
        <f t="shared" si="33"/>
        <v>700</v>
      </c>
      <c r="BI102" s="250">
        <f>SUMIF(Table13[Category],Table14[[#This Row],[Category]],Table13[[Quantity ]])</f>
        <v>345</v>
      </c>
      <c r="BJ102" s="250">
        <f>Table14[[#This Row],[Inventory]]-Table14[[#This Row],[Update ]]</f>
        <v>355</v>
      </c>
    </row>
    <row r="103" spans="1:62" ht="21" customHeight="1" x14ac:dyDescent="0.35">
      <c r="A103">
        <v>100</v>
      </c>
      <c r="B103" s="136">
        <v>44972</v>
      </c>
      <c r="C103" s="4" t="s">
        <v>1011</v>
      </c>
      <c r="D103" s="1" t="s">
        <v>162</v>
      </c>
      <c r="E103" t="s">
        <v>1092</v>
      </c>
      <c r="F103" s="6" t="s">
        <v>1131</v>
      </c>
      <c r="G103" s="6" t="s">
        <v>1152</v>
      </c>
      <c r="H103" s="235" t="str">
        <f t="shared" si="34"/>
        <v>Food Product</v>
      </c>
      <c r="I103" s="80" t="s">
        <v>1160</v>
      </c>
      <c r="J103" t="str">
        <f t="shared" si="35"/>
        <v>Gold</v>
      </c>
      <c r="K103" s="6">
        <v>4</v>
      </c>
      <c r="L103" s="17">
        <f t="shared" si="36"/>
        <v>120000</v>
      </c>
      <c r="M103" s="116">
        <f t="shared" si="37"/>
        <v>0.02</v>
      </c>
      <c r="N103" s="47" t="str">
        <f t="shared" si="38"/>
        <v>10 Point</v>
      </c>
      <c r="O103" s="17">
        <f t="shared" si="39"/>
        <v>477600</v>
      </c>
      <c r="AP103" s="6"/>
      <c r="AQ103" s="235"/>
      <c r="AR103" s="80"/>
      <c r="AT103" s="6"/>
      <c r="AU103" s="17"/>
      <c r="AY103" s="6" t="s">
        <v>1152</v>
      </c>
      <c r="AZ103" s="235" t="s">
        <v>1135</v>
      </c>
      <c r="BA103" s="80" t="s">
        <v>1160</v>
      </c>
      <c r="BB103" s="6">
        <v>4</v>
      </c>
      <c r="BC103" s="17">
        <f t="shared" si="40"/>
        <v>120000</v>
      </c>
      <c r="BD103" s="116">
        <f t="shared" si="41"/>
        <v>0.02</v>
      </c>
      <c r="BE103" s="17">
        <f t="shared" si="42"/>
        <v>477600</v>
      </c>
      <c r="BF103" s="17"/>
      <c r="BG103" s="235" t="s">
        <v>1135</v>
      </c>
      <c r="BH103" s="250">
        <f t="shared" si="33"/>
        <v>700</v>
      </c>
      <c r="BI103" s="250">
        <f>SUMIF(Table13[Category],Table14[[#This Row],[Category]],Table13[[Quantity ]])</f>
        <v>345</v>
      </c>
      <c r="BJ103" s="250">
        <f>Table14[[#This Row],[Inventory]]-Table14[[#This Row],[Update ]]</f>
        <v>355</v>
      </c>
    </row>
    <row r="104" spans="1:62" ht="21" customHeight="1" x14ac:dyDescent="0.35">
      <c r="A104">
        <v>101</v>
      </c>
      <c r="B104" s="136">
        <v>44972</v>
      </c>
      <c r="C104" s="4" t="s">
        <v>1012</v>
      </c>
      <c r="D104" s="1" t="s">
        <v>162</v>
      </c>
      <c r="E104" t="s">
        <v>1092</v>
      </c>
      <c r="F104" s="6" t="s">
        <v>1132</v>
      </c>
      <c r="G104" s="6" t="s">
        <v>1153</v>
      </c>
      <c r="H104" s="235" t="str">
        <f t="shared" si="34"/>
        <v>General Merchandise Product</v>
      </c>
      <c r="I104" s="80" t="s">
        <v>1182</v>
      </c>
      <c r="J104" t="str">
        <f t="shared" si="35"/>
        <v>Gold</v>
      </c>
      <c r="K104" s="6">
        <v>5</v>
      </c>
      <c r="L104" s="17">
        <f t="shared" si="36"/>
        <v>110500</v>
      </c>
      <c r="M104" s="116">
        <f t="shared" si="37"/>
        <v>0.02</v>
      </c>
      <c r="N104" s="47" t="str">
        <f t="shared" si="38"/>
        <v>15 Point</v>
      </c>
      <c r="O104" s="17">
        <f t="shared" si="39"/>
        <v>550290</v>
      </c>
      <c r="AP104" s="6"/>
      <c r="AQ104" s="235"/>
      <c r="AR104" s="80"/>
      <c r="AT104" s="6"/>
      <c r="AU104" s="17"/>
      <c r="AY104" s="6" t="s">
        <v>1153</v>
      </c>
      <c r="AZ104" s="235" t="s">
        <v>1138</v>
      </c>
      <c r="BA104" s="80" t="s">
        <v>1182</v>
      </c>
      <c r="BB104" s="6">
        <v>5</v>
      </c>
      <c r="BC104" s="17">
        <f t="shared" si="40"/>
        <v>110500</v>
      </c>
      <c r="BD104" s="116">
        <f t="shared" si="41"/>
        <v>0.02</v>
      </c>
      <c r="BE104" s="17">
        <f t="shared" si="42"/>
        <v>550290</v>
      </c>
      <c r="BF104" s="17"/>
      <c r="BG104" s="235" t="s">
        <v>1138</v>
      </c>
      <c r="BH104" s="250">
        <f t="shared" si="33"/>
        <v>855</v>
      </c>
      <c r="BI104" s="250">
        <f>SUMIF(Table13[Category],Table14[[#This Row],[Category]],Table13[[Quantity ]])</f>
        <v>215</v>
      </c>
      <c r="BJ104" s="250">
        <f>Table14[[#This Row],[Inventory]]-Table14[[#This Row],[Update ]]</f>
        <v>640</v>
      </c>
    </row>
    <row r="105" spans="1:62" ht="21" customHeight="1" x14ac:dyDescent="0.35">
      <c r="A105">
        <v>102</v>
      </c>
      <c r="B105" s="136">
        <v>44972</v>
      </c>
      <c r="C105" t="s">
        <v>1045</v>
      </c>
      <c r="D105" s="1" t="s">
        <v>162</v>
      </c>
      <c r="E105" t="s">
        <v>1092</v>
      </c>
      <c r="F105" s="6" t="s">
        <v>1103</v>
      </c>
      <c r="G105" s="6" t="s">
        <v>1153</v>
      </c>
      <c r="H105" s="235" t="str">
        <f t="shared" si="34"/>
        <v>General Merchandise Product</v>
      </c>
      <c r="I105" s="80" t="s">
        <v>1179</v>
      </c>
      <c r="J105" t="str">
        <f t="shared" si="35"/>
        <v>Gold</v>
      </c>
      <c r="K105" s="6">
        <v>5</v>
      </c>
      <c r="L105" s="17">
        <f t="shared" si="36"/>
        <v>85000</v>
      </c>
      <c r="M105" s="116">
        <f t="shared" si="37"/>
        <v>0.02</v>
      </c>
      <c r="N105" s="47" t="str">
        <f t="shared" si="38"/>
        <v>5 Point</v>
      </c>
      <c r="O105" s="17">
        <f t="shared" si="39"/>
        <v>423300</v>
      </c>
      <c r="AP105" s="6"/>
      <c r="AQ105" s="235"/>
      <c r="AR105" s="80"/>
      <c r="AT105" s="6"/>
      <c r="AU105" s="17"/>
      <c r="AY105" s="6" t="s">
        <v>1153</v>
      </c>
      <c r="AZ105" s="235" t="s">
        <v>1138</v>
      </c>
      <c r="BA105" s="80" t="s">
        <v>1179</v>
      </c>
      <c r="BB105" s="6">
        <v>5</v>
      </c>
      <c r="BC105" s="17">
        <f t="shared" si="40"/>
        <v>85000</v>
      </c>
      <c r="BD105" s="116">
        <f t="shared" si="41"/>
        <v>0.02</v>
      </c>
      <c r="BE105" s="17">
        <f t="shared" si="42"/>
        <v>423300</v>
      </c>
      <c r="BF105" s="17"/>
      <c r="BG105" s="235" t="s">
        <v>1138</v>
      </c>
      <c r="BH105" s="250">
        <f t="shared" si="33"/>
        <v>855</v>
      </c>
      <c r="BI105" s="250">
        <f>SUMIF(Table13[Category],Table14[[#This Row],[Category]],Table13[[Quantity ]])</f>
        <v>215</v>
      </c>
      <c r="BJ105" s="250">
        <f>Table14[[#This Row],[Inventory]]-Table14[[#This Row],[Update ]]</f>
        <v>640</v>
      </c>
    </row>
    <row r="106" spans="1:62" ht="21" customHeight="1" x14ac:dyDescent="0.35">
      <c r="A106">
        <v>103</v>
      </c>
      <c r="B106" s="136">
        <v>44972</v>
      </c>
      <c r="C106" t="s">
        <v>1046</v>
      </c>
      <c r="D106" s="1" t="s">
        <v>162</v>
      </c>
      <c r="E106" t="s">
        <v>1092</v>
      </c>
      <c r="F106" s="6" t="s">
        <v>1116</v>
      </c>
      <c r="G106" s="6" t="s">
        <v>1152</v>
      </c>
      <c r="H106" s="235" t="str">
        <f t="shared" si="34"/>
        <v>Food Product</v>
      </c>
      <c r="I106" s="80" t="s">
        <v>1159</v>
      </c>
      <c r="J106" t="str">
        <f t="shared" si="35"/>
        <v>Gold</v>
      </c>
      <c r="K106" s="6">
        <v>7</v>
      </c>
      <c r="L106" s="17">
        <f t="shared" si="36"/>
        <v>75000</v>
      </c>
      <c r="M106" s="116">
        <f t="shared" si="37"/>
        <v>0.02</v>
      </c>
      <c r="N106" s="47" t="str">
        <f t="shared" si="38"/>
        <v>5 Point</v>
      </c>
      <c r="O106" s="17">
        <f t="shared" si="39"/>
        <v>523500</v>
      </c>
      <c r="AP106" s="6"/>
      <c r="AQ106" s="235"/>
      <c r="AR106" s="80"/>
      <c r="AT106" s="6"/>
      <c r="AU106" s="17"/>
      <c r="AY106" s="6" t="s">
        <v>1152</v>
      </c>
      <c r="AZ106" s="235" t="s">
        <v>1135</v>
      </c>
      <c r="BA106" s="80" t="s">
        <v>1159</v>
      </c>
      <c r="BB106" s="6">
        <v>7</v>
      </c>
      <c r="BC106" s="17">
        <f t="shared" si="40"/>
        <v>75000</v>
      </c>
      <c r="BD106" s="116">
        <f t="shared" si="41"/>
        <v>0.02</v>
      </c>
      <c r="BE106" s="17">
        <f t="shared" si="42"/>
        <v>523500</v>
      </c>
      <c r="BF106" s="17"/>
      <c r="BG106" s="235" t="s">
        <v>1135</v>
      </c>
      <c r="BH106" s="250">
        <f t="shared" si="33"/>
        <v>700</v>
      </c>
      <c r="BI106" s="250">
        <f>SUMIF(Table13[Category],Table14[[#This Row],[Category]],Table13[[Quantity ]])</f>
        <v>345</v>
      </c>
      <c r="BJ106" s="250">
        <f>Table14[[#This Row],[Inventory]]-Table14[[#This Row],[Update ]]</f>
        <v>355</v>
      </c>
    </row>
    <row r="107" spans="1:62" ht="21" customHeight="1" x14ac:dyDescent="0.35">
      <c r="A107">
        <v>104</v>
      </c>
      <c r="B107" s="136">
        <v>44973</v>
      </c>
      <c r="C107" t="s">
        <v>1047</v>
      </c>
      <c r="D107" s="1" t="s">
        <v>163</v>
      </c>
      <c r="E107" t="s">
        <v>1092</v>
      </c>
      <c r="F107" s="6" t="s">
        <v>1123</v>
      </c>
      <c r="G107" s="6" t="s">
        <v>1144</v>
      </c>
      <c r="H107" s="235" t="str">
        <f t="shared" si="34"/>
        <v>Perishable</v>
      </c>
      <c r="I107" s="235" t="s">
        <v>1187</v>
      </c>
      <c r="J107" t="str">
        <f t="shared" si="35"/>
        <v>Gold</v>
      </c>
      <c r="K107" s="6">
        <v>8</v>
      </c>
      <c r="L107" s="17">
        <f t="shared" si="36"/>
        <v>89999</v>
      </c>
      <c r="M107" s="116">
        <f t="shared" si="37"/>
        <v>0.02</v>
      </c>
      <c r="N107" s="47" t="str">
        <f t="shared" si="38"/>
        <v>10 Point</v>
      </c>
      <c r="O107" s="17">
        <f t="shared" si="39"/>
        <v>718192.02</v>
      </c>
      <c r="AP107" s="6"/>
      <c r="AQ107" s="235"/>
      <c r="AR107" s="80"/>
      <c r="AT107" s="6"/>
      <c r="AU107" s="17"/>
      <c r="AY107" s="6" t="s">
        <v>1144</v>
      </c>
      <c r="AZ107" s="235" t="s">
        <v>1137</v>
      </c>
      <c r="BA107" s="235" t="s">
        <v>1187</v>
      </c>
      <c r="BB107" s="6">
        <v>8</v>
      </c>
      <c r="BC107" s="17">
        <f t="shared" si="40"/>
        <v>89999</v>
      </c>
      <c r="BD107" s="116">
        <f t="shared" si="41"/>
        <v>0.02</v>
      </c>
      <c r="BE107" s="17">
        <f t="shared" si="42"/>
        <v>718192.02</v>
      </c>
      <c r="BF107" s="17"/>
      <c r="BG107" s="235" t="s">
        <v>1137</v>
      </c>
      <c r="BH107" s="250">
        <f t="shared" si="33"/>
        <v>755</v>
      </c>
      <c r="BI107" s="250">
        <f>SUMIF(Table13[Category],Table14[[#This Row],[Category]],Table13[[Quantity ]])</f>
        <v>241</v>
      </c>
      <c r="BJ107" s="250">
        <f>Table14[[#This Row],[Inventory]]-Table14[[#This Row],[Update ]]</f>
        <v>514</v>
      </c>
    </row>
    <row r="108" spans="1:62" ht="21" customHeight="1" x14ac:dyDescent="0.35">
      <c r="A108">
        <v>105</v>
      </c>
      <c r="B108" s="136">
        <v>44973</v>
      </c>
      <c r="C108" t="s">
        <v>1048</v>
      </c>
      <c r="D108" s="1" t="s">
        <v>163</v>
      </c>
      <c r="E108" t="s">
        <v>1092</v>
      </c>
      <c r="F108" s="6" t="s">
        <v>1124</v>
      </c>
      <c r="G108" s="6" t="s">
        <v>1153</v>
      </c>
      <c r="H108" s="235" t="str">
        <f t="shared" si="34"/>
        <v>General Merchandise Product</v>
      </c>
      <c r="I108" s="80" t="s">
        <v>1182</v>
      </c>
      <c r="J108" t="str">
        <f t="shared" si="35"/>
        <v>Gold</v>
      </c>
      <c r="K108" s="6">
        <v>8</v>
      </c>
      <c r="L108" s="17">
        <f t="shared" si="36"/>
        <v>110500</v>
      </c>
      <c r="M108" s="116">
        <f t="shared" si="37"/>
        <v>0.02</v>
      </c>
      <c r="N108" s="47" t="str">
        <f t="shared" si="38"/>
        <v>15 Point</v>
      </c>
      <c r="O108" s="17">
        <f t="shared" si="39"/>
        <v>881790</v>
      </c>
      <c r="AP108" s="6"/>
      <c r="AQ108" s="235"/>
      <c r="AR108" s="80"/>
      <c r="AT108" s="6"/>
      <c r="AU108" s="17"/>
      <c r="AY108" s="6" t="s">
        <v>1153</v>
      </c>
      <c r="AZ108" s="235" t="s">
        <v>1138</v>
      </c>
      <c r="BA108" s="80" t="s">
        <v>1182</v>
      </c>
      <c r="BB108" s="6">
        <v>8</v>
      </c>
      <c r="BC108" s="17">
        <f t="shared" si="40"/>
        <v>110500</v>
      </c>
      <c r="BD108" s="116">
        <f t="shared" si="41"/>
        <v>0.02</v>
      </c>
      <c r="BE108" s="17">
        <f t="shared" si="42"/>
        <v>881790</v>
      </c>
      <c r="BF108" s="17"/>
      <c r="BG108" s="235" t="s">
        <v>1138</v>
      </c>
      <c r="BH108" s="250">
        <f t="shared" si="33"/>
        <v>855</v>
      </c>
      <c r="BI108" s="250">
        <f>SUMIF(Table13[Category],Table14[[#This Row],[Category]],Table13[[Quantity ]])</f>
        <v>215</v>
      </c>
      <c r="BJ108" s="250">
        <f>Table14[[#This Row],[Inventory]]-Table14[[#This Row],[Update ]]</f>
        <v>640</v>
      </c>
    </row>
    <row r="109" spans="1:62" ht="21" customHeight="1" x14ac:dyDescent="0.35">
      <c r="A109">
        <v>106</v>
      </c>
      <c r="B109" s="136">
        <v>44973</v>
      </c>
      <c r="C109" t="s">
        <v>1049</v>
      </c>
      <c r="D109" s="1" t="s">
        <v>163</v>
      </c>
      <c r="E109" t="s">
        <v>1092</v>
      </c>
      <c r="F109" s="6" t="s">
        <v>1125</v>
      </c>
      <c r="G109" s="6" t="s">
        <v>1144</v>
      </c>
      <c r="H109" s="235" t="str">
        <f t="shared" si="34"/>
        <v>Perishable</v>
      </c>
      <c r="I109" s="235" t="s">
        <v>1187</v>
      </c>
      <c r="J109" t="str">
        <f t="shared" si="35"/>
        <v>Gold</v>
      </c>
      <c r="K109" s="6">
        <v>7</v>
      </c>
      <c r="L109" s="17">
        <f t="shared" si="36"/>
        <v>89999</v>
      </c>
      <c r="M109" s="116">
        <f t="shared" si="37"/>
        <v>0.02</v>
      </c>
      <c r="N109" s="47" t="str">
        <f t="shared" si="38"/>
        <v>5 Point</v>
      </c>
      <c r="O109" s="17">
        <f t="shared" si="39"/>
        <v>628193.02</v>
      </c>
      <c r="AP109" s="6"/>
      <c r="AQ109" s="235"/>
      <c r="AR109" s="80"/>
      <c r="AT109" s="6"/>
      <c r="AU109" s="17"/>
      <c r="AY109" s="6" t="s">
        <v>1144</v>
      </c>
      <c r="AZ109" s="235" t="s">
        <v>1137</v>
      </c>
      <c r="BA109" s="235" t="s">
        <v>1187</v>
      </c>
      <c r="BB109" s="6">
        <v>7</v>
      </c>
      <c r="BC109" s="17">
        <f t="shared" si="40"/>
        <v>89999</v>
      </c>
      <c r="BD109" s="116">
        <f t="shared" si="41"/>
        <v>0.02</v>
      </c>
      <c r="BE109" s="17">
        <f t="shared" si="42"/>
        <v>628193.02</v>
      </c>
      <c r="BF109" s="17"/>
      <c r="BG109" s="235" t="s">
        <v>1137</v>
      </c>
      <c r="BH109" s="250">
        <f t="shared" si="33"/>
        <v>755</v>
      </c>
      <c r="BI109" s="250">
        <f>SUMIF(Table13[Category],Table14[[#This Row],[Category]],Table13[[Quantity ]])</f>
        <v>241</v>
      </c>
      <c r="BJ109" s="250">
        <f>Table14[[#This Row],[Inventory]]-Table14[[#This Row],[Update ]]</f>
        <v>514</v>
      </c>
    </row>
    <row r="110" spans="1:62" ht="21" customHeight="1" x14ac:dyDescent="0.35">
      <c r="A110">
        <v>107</v>
      </c>
      <c r="B110" s="136">
        <v>44974</v>
      </c>
      <c r="C110" t="s">
        <v>1050</v>
      </c>
      <c r="D110" s="1" t="s">
        <v>163</v>
      </c>
      <c r="E110" t="s">
        <v>1092</v>
      </c>
      <c r="F110" s="6" t="s">
        <v>1126</v>
      </c>
      <c r="G110" s="6" t="s">
        <v>1144</v>
      </c>
      <c r="H110" s="235" t="str">
        <f t="shared" si="34"/>
        <v>Perishable</v>
      </c>
      <c r="I110" s="235" t="s">
        <v>1187</v>
      </c>
      <c r="J110" t="str">
        <f t="shared" si="35"/>
        <v>Platinum</v>
      </c>
      <c r="K110" s="6">
        <v>7</v>
      </c>
      <c r="L110" s="17">
        <f t="shared" si="36"/>
        <v>89999</v>
      </c>
      <c r="M110" s="116">
        <f t="shared" si="37"/>
        <v>0.02</v>
      </c>
      <c r="N110" s="47" t="str">
        <f t="shared" si="38"/>
        <v>25 Point</v>
      </c>
      <c r="O110" s="17">
        <f t="shared" si="39"/>
        <v>628193.02</v>
      </c>
      <c r="AP110" s="6"/>
      <c r="AQ110" s="235"/>
      <c r="AR110" s="80"/>
      <c r="AT110" s="6"/>
      <c r="AU110" s="17"/>
      <c r="AY110" s="6" t="s">
        <v>1144</v>
      </c>
      <c r="AZ110" s="235" t="s">
        <v>1137</v>
      </c>
      <c r="BA110" s="235" t="s">
        <v>1187</v>
      </c>
      <c r="BB110" s="6">
        <v>7</v>
      </c>
      <c r="BC110" s="17">
        <f t="shared" si="40"/>
        <v>89999</v>
      </c>
      <c r="BD110" s="116">
        <f t="shared" si="41"/>
        <v>0.02</v>
      </c>
      <c r="BE110" s="17">
        <f t="shared" si="42"/>
        <v>628193.02</v>
      </c>
      <c r="BF110" s="17"/>
      <c r="BG110" s="235" t="s">
        <v>1137</v>
      </c>
      <c r="BH110" s="250">
        <f t="shared" si="33"/>
        <v>755</v>
      </c>
      <c r="BI110" s="250">
        <f>SUMIF(Table13[Category],Table14[[#This Row],[Category]],Table13[[Quantity ]])</f>
        <v>241</v>
      </c>
      <c r="BJ110" s="250">
        <f>Table14[[#This Row],[Inventory]]-Table14[[#This Row],[Update ]]</f>
        <v>514</v>
      </c>
    </row>
    <row r="111" spans="1:62" ht="21" customHeight="1" x14ac:dyDescent="0.35">
      <c r="A111">
        <v>108</v>
      </c>
      <c r="B111" s="136">
        <v>44974</v>
      </c>
      <c r="C111" t="s">
        <v>1051</v>
      </c>
      <c r="D111" s="1" t="s">
        <v>162</v>
      </c>
      <c r="E111" t="s">
        <v>1096</v>
      </c>
      <c r="F111" s="6" t="s">
        <v>1127</v>
      </c>
      <c r="G111" s="6" t="s">
        <v>1144</v>
      </c>
      <c r="H111" s="235" t="str">
        <f t="shared" si="34"/>
        <v>Perishable</v>
      </c>
      <c r="I111" s="235" t="s">
        <v>1187</v>
      </c>
      <c r="J111" t="str">
        <f t="shared" si="35"/>
        <v>Platinum</v>
      </c>
      <c r="K111" s="6">
        <v>5</v>
      </c>
      <c r="L111" s="17">
        <f t="shared" si="36"/>
        <v>89999</v>
      </c>
      <c r="M111" s="116">
        <f t="shared" si="37"/>
        <v>0.02</v>
      </c>
      <c r="N111" s="47" t="str">
        <f t="shared" si="38"/>
        <v>25 Point</v>
      </c>
      <c r="O111" s="17">
        <f t="shared" si="39"/>
        <v>448195.02</v>
      </c>
      <c r="AP111" s="6"/>
      <c r="AQ111" s="235"/>
      <c r="AR111" s="80"/>
      <c r="AT111" s="6"/>
      <c r="AU111" s="17"/>
      <c r="AY111" s="6" t="s">
        <v>1144</v>
      </c>
      <c r="AZ111" s="235" t="s">
        <v>1137</v>
      </c>
      <c r="BA111" s="235" t="s">
        <v>1187</v>
      </c>
      <c r="BB111" s="6">
        <v>5</v>
      </c>
      <c r="BC111" s="17">
        <f t="shared" si="40"/>
        <v>89999</v>
      </c>
      <c r="BD111" s="116">
        <f t="shared" si="41"/>
        <v>0.02</v>
      </c>
      <c r="BE111" s="17">
        <f t="shared" si="42"/>
        <v>448195.02</v>
      </c>
      <c r="BF111" s="17"/>
      <c r="BG111" s="235" t="s">
        <v>1137</v>
      </c>
      <c r="BH111" s="250">
        <f t="shared" si="33"/>
        <v>755</v>
      </c>
      <c r="BI111" s="250">
        <f>SUMIF(Table13[Category],Table14[[#This Row],[Category]],Table13[[Quantity ]])</f>
        <v>241</v>
      </c>
      <c r="BJ111" s="250">
        <f>Table14[[#This Row],[Inventory]]-Table14[[#This Row],[Update ]]</f>
        <v>514</v>
      </c>
    </row>
    <row r="112" spans="1:62" ht="21" customHeight="1" x14ac:dyDescent="0.35">
      <c r="A112">
        <v>109</v>
      </c>
      <c r="B112" s="136">
        <v>44974</v>
      </c>
      <c r="C112" t="s">
        <v>1052</v>
      </c>
      <c r="D112" s="1" t="s">
        <v>162</v>
      </c>
      <c r="E112" t="s">
        <v>1096</v>
      </c>
      <c r="F112" s="6" t="s">
        <v>1103</v>
      </c>
      <c r="G112" s="6" t="s">
        <v>1152</v>
      </c>
      <c r="H112" s="235" t="str">
        <f t="shared" si="34"/>
        <v>Food Product</v>
      </c>
      <c r="I112" s="80" t="s">
        <v>1159</v>
      </c>
      <c r="J112" t="str">
        <f t="shared" si="35"/>
        <v>Gold</v>
      </c>
      <c r="K112" s="6">
        <v>4</v>
      </c>
      <c r="L112" s="17">
        <f t="shared" si="36"/>
        <v>75000</v>
      </c>
      <c r="M112" s="116">
        <f t="shared" si="37"/>
        <v>0.02</v>
      </c>
      <c r="N112" s="47" t="str">
        <f t="shared" si="38"/>
        <v>5 Point</v>
      </c>
      <c r="O112" s="17">
        <f t="shared" si="39"/>
        <v>298500</v>
      </c>
      <c r="AP112" s="6"/>
      <c r="AQ112" s="235"/>
      <c r="AR112" s="80"/>
      <c r="AT112" s="6"/>
      <c r="AU112" s="17"/>
      <c r="AY112" s="6" t="s">
        <v>1152</v>
      </c>
      <c r="AZ112" s="235" t="s">
        <v>1135</v>
      </c>
      <c r="BA112" s="80" t="s">
        <v>1159</v>
      </c>
      <c r="BB112" s="6">
        <v>4</v>
      </c>
      <c r="BC112" s="17">
        <f t="shared" si="40"/>
        <v>75000</v>
      </c>
      <c r="BD112" s="116">
        <f t="shared" si="41"/>
        <v>0.02</v>
      </c>
      <c r="BE112" s="17">
        <f t="shared" si="42"/>
        <v>298500</v>
      </c>
      <c r="BF112" s="17"/>
      <c r="BG112" s="235" t="s">
        <v>1135</v>
      </c>
      <c r="BH112" s="250">
        <f t="shared" si="33"/>
        <v>700</v>
      </c>
      <c r="BI112" s="250">
        <f>SUMIF(Table13[Category],Table14[[#This Row],[Category]],Table13[[Quantity ]])</f>
        <v>345</v>
      </c>
      <c r="BJ112" s="250">
        <f>Table14[[#This Row],[Inventory]]-Table14[[#This Row],[Update ]]</f>
        <v>355</v>
      </c>
    </row>
    <row r="113" spans="1:62" ht="21" customHeight="1" x14ac:dyDescent="0.35">
      <c r="A113">
        <v>110</v>
      </c>
      <c r="B113" s="136">
        <v>44974</v>
      </c>
      <c r="C113" t="s">
        <v>1053</v>
      </c>
      <c r="D113" s="1" t="s">
        <v>163</v>
      </c>
      <c r="E113" t="s">
        <v>1093</v>
      </c>
      <c r="F113" s="6" t="s">
        <v>1128</v>
      </c>
      <c r="G113" s="6" t="s">
        <v>1152</v>
      </c>
      <c r="H113" s="235" t="str">
        <f t="shared" si="34"/>
        <v>Food Product</v>
      </c>
      <c r="I113" s="80" t="s">
        <v>1170</v>
      </c>
      <c r="J113" t="str">
        <f t="shared" si="35"/>
        <v>Gold</v>
      </c>
      <c r="K113" s="6">
        <v>6</v>
      </c>
      <c r="L113" s="17">
        <f t="shared" si="36"/>
        <v>55000</v>
      </c>
      <c r="M113" s="116">
        <f t="shared" si="37"/>
        <v>0.02</v>
      </c>
      <c r="N113" s="47" t="str">
        <f t="shared" si="38"/>
        <v>25 Point</v>
      </c>
      <c r="O113" s="17">
        <f t="shared" si="39"/>
        <v>328900</v>
      </c>
      <c r="AP113" s="6"/>
      <c r="AQ113" s="235"/>
      <c r="AR113" s="80"/>
      <c r="AT113" s="6"/>
      <c r="AU113" s="17"/>
      <c r="AY113" s="6" t="s">
        <v>1152</v>
      </c>
      <c r="AZ113" s="235" t="s">
        <v>1135</v>
      </c>
      <c r="BA113" s="80" t="s">
        <v>1170</v>
      </c>
      <c r="BB113" s="6">
        <v>6</v>
      </c>
      <c r="BC113" s="17">
        <f t="shared" si="40"/>
        <v>55000</v>
      </c>
      <c r="BD113" s="116">
        <f t="shared" si="41"/>
        <v>0.02</v>
      </c>
      <c r="BE113" s="17">
        <f t="shared" si="42"/>
        <v>328900</v>
      </c>
      <c r="BF113" s="17"/>
      <c r="BG113" s="235" t="s">
        <v>1135</v>
      </c>
      <c r="BH113" s="250">
        <f t="shared" si="33"/>
        <v>700</v>
      </c>
      <c r="BI113" s="250">
        <f>SUMIF(Table13[Category],Table14[[#This Row],[Category]],Table13[[Quantity ]])</f>
        <v>345</v>
      </c>
      <c r="BJ113" s="250">
        <f>Table14[[#This Row],[Inventory]]-Table14[[#This Row],[Update ]]</f>
        <v>355</v>
      </c>
    </row>
    <row r="114" spans="1:62" ht="21" customHeight="1" x14ac:dyDescent="0.35">
      <c r="A114">
        <v>111</v>
      </c>
      <c r="B114" s="136">
        <v>44974</v>
      </c>
      <c r="C114" t="s">
        <v>1054</v>
      </c>
      <c r="D114" s="1" t="s">
        <v>163</v>
      </c>
      <c r="E114" t="s">
        <v>1096</v>
      </c>
      <c r="F114" s="6" t="s">
        <v>1128</v>
      </c>
      <c r="G114" s="6" t="s">
        <v>1152</v>
      </c>
      <c r="H114" s="235" t="str">
        <f t="shared" si="34"/>
        <v>Food Product</v>
      </c>
      <c r="I114" s="80" t="s">
        <v>1170</v>
      </c>
      <c r="J114" t="str">
        <f t="shared" si="35"/>
        <v>Gold</v>
      </c>
      <c r="K114" s="6">
        <v>8</v>
      </c>
      <c r="L114" s="17">
        <f t="shared" si="36"/>
        <v>55000</v>
      </c>
      <c r="M114" s="116">
        <f t="shared" si="37"/>
        <v>0.02</v>
      </c>
      <c r="N114" s="47" t="str">
        <f t="shared" si="38"/>
        <v>25 Point</v>
      </c>
      <c r="O114" s="17">
        <f t="shared" si="39"/>
        <v>438900</v>
      </c>
      <c r="AP114" s="6"/>
      <c r="AQ114" s="235"/>
      <c r="AR114" s="235"/>
      <c r="AT114" s="6"/>
      <c r="AU114" s="17"/>
      <c r="AY114" s="6" t="s">
        <v>1152</v>
      </c>
      <c r="AZ114" s="235" t="s">
        <v>1135</v>
      </c>
      <c r="BA114" s="80" t="s">
        <v>1170</v>
      </c>
      <c r="BB114" s="6">
        <v>8</v>
      </c>
      <c r="BC114" s="17">
        <f t="shared" si="40"/>
        <v>55000</v>
      </c>
      <c r="BD114" s="116">
        <f t="shared" si="41"/>
        <v>0.02</v>
      </c>
      <c r="BE114" s="17">
        <f t="shared" si="42"/>
        <v>438900</v>
      </c>
      <c r="BF114" s="17"/>
      <c r="BG114" s="235" t="s">
        <v>1135</v>
      </c>
      <c r="BH114" s="250">
        <f t="shared" si="33"/>
        <v>700</v>
      </c>
      <c r="BI114" s="250">
        <f>SUMIF(Table13[Category],Table14[[#This Row],[Category]],Table13[[Quantity ]])</f>
        <v>345</v>
      </c>
      <c r="BJ114" s="250">
        <f>Table14[[#This Row],[Inventory]]-Table14[[#This Row],[Update ]]</f>
        <v>355</v>
      </c>
    </row>
    <row r="115" spans="1:62" ht="21" customHeight="1" x14ac:dyDescent="0.35">
      <c r="A115">
        <v>112</v>
      </c>
      <c r="B115" s="136">
        <v>44974</v>
      </c>
      <c r="C115" t="s">
        <v>1055</v>
      </c>
      <c r="D115" s="1" t="s">
        <v>162</v>
      </c>
      <c r="E115" t="s">
        <v>1096</v>
      </c>
      <c r="F115" s="6" t="s">
        <v>1129</v>
      </c>
      <c r="G115" s="6" t="s">
        <v>1149</v>
      </c>
      <c r="H115" s="235" t="str">
        <f t="shared" si="34"/>
        <v>Non Food Product</v>
      </c>
      <c r="I115" s="235" t="s">
        <v>1175</v>
      </c>
      <c r="J115" t="str">
        <f t="shared" si="35"/>
        <v>Gold</v>
      </c>
      <c r="K115" s="6">
        <v>8</v>
      </c>
      <c r="L115" s="17">
        <f t="shared" si="36"/>
        <v>115000</v>
      </c>
      <c r="M115" s="116">
        <f t="shared" si="37"/>
        <v>0.02</v>
      </c>
      <c r="N115" s="47" t="str">
        <f t="shared" si="38"/>
        <v>25 Point</v>
      </c>
      <c r="O115" s="17">
        <f t="shared" si="39"/>
        <v>917700</v>
      </c>
      <c r="AP115" s="6"/>
      <c r="AQ115" s="235"/>
      <c r="AR115" s="235"/>
      <c r="AT115" s="6"/>
      <c r="AU115" s="17"/>
      <c r="AY115" s="6" t="s">
        <v>1149</v>
      </c>
      <c r="AZ115" s="235" t="s">
        <v>1136</v>
      </c>
      <c r="BA115" s="235" t="s">
        <v>1175</v>
      </c>
      <c r="BB115" s="6">
        <v>8</v>
      </c>
      <c r="BC115" s="17">
        <f t="shared" si="40"/>
        <v>115000</v>
      </c>
      <c r="BD115" s="116">
        <f t="shared" si="41"/>
        <v>0.02</v>
      </c>
      <c r="BE115" s="17">
        <f t="shared" si="42"/>
        <v>917700</v>
      </c>
      <c r="BF115" s="17"/>
      <c r="BG115" s="235" t="s">
        <v>1136</v>
      </c>
      <c r="BH115" s="250">
        <f t="shared" si="33"/>
        <v>900</v>
      </c>
      <c r="BI115" s="250">
        <f>SUMIF(Table13[Category],Table14[[#This Row],[Category]],Table13[[Quantity ]])</f>
        <v>299</v>
      </c>
      <c r="BJ115" s="250">
        <f>Table14[[#This Row],[Inventory]]-Table14[[#This Row],[Update ]]</f>
        <v>601</v>
      </c>
    </row>
    <row r="116" spans="1:62" ht="21" customHeight="1" x14ac:dyDescent="0.35">
      <c r="A116">
        <v>113</v>
      </c>
      <c r="B116" s="136">
        <v>44975</v>
      </c>
      <c r="C116" t="s">
        <v>1056</v>
      </c>
      <c r="D116" s="1" t="s">
        <v>162</v>
      </c>
      <c r="E116" t="s">
        <v>1093</v>
      </c>
      <c r="F116" s="6" t="s">
        <v>1130</v>
      </c>
      <c r="G116" s="6" t="s">
        <v>1150</v>
      </c>
      <c r="H116" s="235" t="str">
        <f t="shared" si="34"/>
        <v>Non Food Product</v>
      </c>
      <c r="I116" s="235" t="s">
        <v>1175</v>
      </c>
      <c r="J116" t="str">
        <f t="shared" si="35"/>
        <v>Gold</v>
      </c>
      <c r="K116" s="6">
        <v>9</v>
      </c>
      <c r="L116" s="17">
        <f t="shared" si="36"/>
        <v>115000</v>
      </c>
      <c r="M116" s="116">
        <f t="shared" si="37"/>
        <v>0.03</v>
      </c>
      <c r="N116" s="47" t="str">
        <f t="shared" si="38"/>
        <v>10 Point</v>
      </c>
      <c r="O116" s="17">
        <f t="shared" si="39"/>
        <v>1031550</v>
      </c>
      <c r="AP116" s="6"/>
      <c r="AQ116" s="235"/>
      <c r="AR116" s="235"/>
      <c r="AT116" s="6"/>
      <c r="AU116" s="17"/>
      <c r="AY116" s="6" t="s">
        <v>1150</v>
      </c>
      <c r="AZ116" s="235" t="s">
        <v>1136</v>
      </c>
      <c r="BA116" s="235" t="s">
        <v>1175</v>
      </c>
      <c r="BB116" s="6">
        <v>9</v>
      </c>
      <c r="BC116" s="17">
        <f t="shared" si="40"/>
        <v>115000</v>
      </c>
      <c r="BD116" s="116">
        <f t="shared" si="41"/>
        <v>0.03</v>
      </c>
      <c r="BE116" s="17">
        <f t="shared" si="42"/>
        <v>1031550</v>
      </c>
      <c r="BF116" s="17"/>
      <c r="BG116" s="235" t="s">
        <v>1136</v>
      </c>
      <c r="BH116" s="250">
        <f t="shared" si="33"/>
        <v>900</v>
      </c>
      <c r="BI116" s="250">
        <f>SUMIF(Table13[Category],Table14[[#This Row],[Category]],Table13[[Quantity ]])</f>
        <v>299</v>
      </c>
      <c r="BJ116" s="250">
        <f>Table14[[#This Row],[Inventory]]-Table14[[#This Row],[Update ]]</f>
        <v>601</v>
      </c>
    </row>
    <row r="117" spans="1:62" ht="21" customHeight="1" x14ac:dyDescent="0.35">
      <c r="A117">
        <v>114</v>
      </c>
      <c r="B117" s="136">
        <v>44975</v>
      </c>
      <c r="C117" t="s">
        <v>1057</v>
      </c>
      <c r="D117" s="1" t="s">
        <v>162</v>
      </c>
      <c r="E117" t="s">
        <v>1096</v>
      </c>
      <c r="F117" s="6" t="s">
        <v>1131</v>
      </c>
      <c r="G117" s="6" t="s">
        <v>1153</v>
      </c>
      <c r="H117" s="235" t="str">
        <f t="shared" si="34"/>
        <v>General Merchandise Product</v>
      </c>
      <c r="I117" s="80" t="s">
        <v>1182</v>
      </c>
      <c r="J117" t="str">
        <f t="shared" si="35"/>
        <v>Gold</v>
      </c>
      <c r="K117" s="6">
        <v>11</v>
      </c>
      <c r="L117" s="17">
        <f t="shared" si="36"/>
        <v>110500</v>
      </c>
      <c r="M117" s="116">
        <f t="shared" si="37"/>
        <v>0.03</v>
      </c>
      <c r="N117" s="47" t="str">
        <f t="shared" si="38"/>
        <v>10 Point</v>
      </c>
      <c r="O117" s="17">
        <f t="shared" si="39"/>
        <v>1212185</v>
      </c>
      <c r="AP117" s="6"/>
      <c r="AQ117" s="235"/>
      <c r="AR117" s="235"/>
      <c r="AT117" s="6"/>
      <c r="AU117" s="17"/>
      <c r="AY117" s="6" t="s">
        <v>1153</v>
      </c>
      <c r="AZ117" s="235" t="s">
        <v>1138</v>
      </c>
      <c r="BA117" s="80" t="s">
        <v>1182</v>
      </c>
      <c r="BB117" s="6">
        <v>11</v>
      </c>
      <c r="BC117" s="17">
        <f t="shared" si="40"/>
        <v>110500</v>
      </c>
      <c r="BD117" s="116">
        <f t="shared" si="41"/>
        <v>0.03</v>
      </c>
      <c r="BE117" s="17">
        <f t="shared" si="42"/>
        <v>1212185</v>
      </c>
      <c r="BF117" s="17"/>
      <c r="BG117" s="235" t="s">
        <v>1138</v>
      </c>
      <c r="BH117" s="250">
        <f t="shared" si="33"/>
        <v>855</v>
      </c>
      <c r="BI117" s="250">
        <f>SUMIF(Table13[Category],Table14[[#This Row],[Category]],Table13[[Quantity ]])</f>
        <v>215</v>
      </c>
      <c r="BJ117" s="250">
        <f>Table14[[#This Row],[Inventory]]-Table14[[#This Row],[Update ]]</f>
        <v>640</v>
      </c>
    </row>
    <row r="118" spans="1:62" ht="21" customHeight="1" x14ac:dyDescent="0.35">
      <c r="A118">
        <v>115</v>
      </c>
      <c r="B118" s="136">
        <v>44975</v>
      </c>
      <c r="C118" t="s">
        <v>1058</v>
      </c>
      <c r="D118" s="1" t="s">
        <v>162</v>
      </c>
      <c r="E118" t="s">
        <v>1093</v>
      </c>
      <c r="F118" s="6" t="s">
        <v>1132</v>
      </c>
      <c r="G118" s="6" t="s">
        <v>1149</v>
      </c>
      <c r="H118" s="235" t="str">
        <f t="shared" si="34"/>
        <v>Non Food Product</v>
      </c>
      <c r="I118" s="235" t="s">
        <v>1176</v>
      </c>
      <c r="J118" t="str">
        <f t="shared" si="35"/>
        <v>Gold</v>
      </c>
      <c r="K118" s="6">
        <v>10</v>
      </c>
      <c r="L118" s="17">
        <f t="shared" si="36"/>
        <v>45500</v>
      </c>
      <c r="M118" s="116">
        <f t="shared" si="37"/>
        <v>0.03</v>
      </c>
      <c r="N118" s="47" t="str">
        <f t="shared" si="38"/>
        <v>15 Point</v>
      </c>
      <c r="O118" s="17">
        <f t="shared" si="39"/>
        <v>453635</v>
      </c>
      <c r="AP118" s="6"/>
      <c r="AQ118" s="235"/>
      <c r="AR118" s="235"/>
      <c r="AT118" s="6"/>
      <c r="AU118" s="17"/>
      <c r="AY118" s="6" t="s">
        <v>1149</v>
      </c>
      <c r="AZ118" s="235" t="s">
        <v>1136</v>
      </c>
      <c r="BA118" s="235" t="s">
        <v>1176</v>
      </c>
      <c r="BB118" s="6">
        <v>10</v>
      </c>
      <c r="BC118" s="17">
        <f t="shared" si="40"/>
        <v>45500</v>
      </c>
      <c r="BD118" s="116">
        <f t="shared" si="41"/>
        <v>0.03</v>
      </c>
      <c r="BE118" s="17">
        <f t="shared" si="42"/>
        <v>453635</v>
      </c>
      <c r="BF118" s="17"/>
      <c r="BG118" s="235" t="s">
        <v>1136</v>
      </c>
      <c r="BH118" s="250">
        <f t="shared" si="33"/>
        <v>900</v>
      </c>
      <c r="BI118" s="250">
        <f>SUMIF(Table13[Category],Table14[[#This Row],[Category]],Table13[[Quantity ]])</f>
        <v>299</v>
      </c>
      <c r="BJ118" s="250">
        <f>Table14[[#This Row],[Inventory]]-Table14[[#This Row],[Update ]]</f>
        <v>601</v>
      </c>
    </row>
    <row r="119" spans="1:62" ht="21" customHeight="1" x14ac:dyDescent="0.35">
      <c r="A119">
        <v>116</v>
      </c>
      <c r="B119" s="136">
        <v>44976</v>
      </c>
      <c r="C119" t="s">
        <v>1059</v>
      </c>
      <c r="D119" s="1" t="s">
        <v>162</v>
      </c>
      <c r="E119" t="s">
        <v>1096</v>
      </c>
      <c r="F119" s="6" t="s">
        <v>1133</v>
      </c>
      <c r="G119" s="6" t="s">
        <v>1139</v>
      </c>
      <c r="H119" s="235" t="str">
        <f t="shared" si="34"/>
        <v>Food Product</v>
      </c>
      <c r="I119" s="80" t="s">
        <v>1160</v>
      </c>
      <c r="J119" t="str">
        <f t="shared" si="35"/>
        <v>Gold</v>
      </c>
      <c r="K119" s="6">
        <v>9</v>
      </c>
      <c r="L119" s="17">
        <f t="shared" si="36"/>
        <v>120000</v>
      </c>
      <c r="M119" s="116">
        <f t="shared" si="37"/>
        <v>0.03</v>
      </c>
      <c r="N119" s="47" t="str">
        <f t="shared" si="38"/>
        <v>25 Point</v>
      </c>
      <c r="O119" s="17">
        <f t="shared" si="39"/>
        <v>1076400</v>
      </c>
      <c r="AP119" s="6"/>
      <c r="AQ119" s="235"/>
      <c r="AR119" s="235"/>
      <c r="AT119" s="6"/>
      <c r="AU119" s="17"/>
      <c r="AY119" s="6" t="s">
        <v>1139</v>
      </c>
      <c r="AZ119" s="235" t="s">
        <v>1135</v>
      </c>
      <c r="BA119" s="80" t="s">
        <v>1160</v>
      </c>
      <c r="BB119" s="6">
        <v>9</v>
      </c>
      <c r="BC119" s="17">
        <f t="shared" si="40"/>
        <v>120000</v>
      </c>
      <c r="BD119" s="116">
        <f t="shared" si="41"/>
        <v>0.03</v>
      </c>
      <c r="BE119" s="17">
        <f t="shared" si="42"/>
        <v>1076400</v>
      </c>
      <c r="BF119" s="17"/>
      <c r="BG119" s="235" t="s">
        <v>1135</v>
      </c>
      <c r="BH119" s="250">
        <f t="shared" si="33"/>
        <v>700</v>
      </c>
      <c r="BI119" s="250">
        <f>SUMIF(Table13[Category],Table14[[#This Row],[Category]],Table13[[Quantity ]])</f>
        <v>345</v>
      </c>
      <c r="BJ119" s="250">
        <f>Table14[[#This Row],[Inventory]]-Table14[[#This Row],[Update ]]</f>
        <v>355</v>
      </c>
    </row>
    <row r="120" spans="1:62" ht="21" customHeight="1" x14ac:dyDescent="0.35">
      <c r="A120">
        <v>117</v>
      </c>
      <c r="B120" s="136">
        <v>44976</v>
      </c>
      <c r="C120" t="s">
        <v>1060</v>
      </c>
      <c r="D120" s="1" t="s">
        <v>162</v>
      </c>
      <c r="E120" t="s">
        <v>1095</v>
      </c>
      <c r="F120" s="6" t="s">
        <v>1113</v>
      </c>
      <c r="G120" s="6" t="s">
        <v>1151</v>
      </c>
      <c r="H120" s="235" t="str">
        <f t="shared" si="34"/>
        <v>Food Product</v>
      </c>
      <c r="I120" s="80" t="s">
        <v>1159</v>
      </c>
      <c r="J120" t="str">
        <f t="shared" si="35"/>
        <v>Platinum</v>
      </c>
      <c r="K120" s="6">
        <v>5</v>
      </c>
      <c r="L120" s="17">
        <f t="shared" si="36"/>
        <v>75000</v>
      </c>
      <c r="M120" s="116">
        <f t="shared" si="37"/>
        <v>0.02</v>
      </c>
      <c r="N120" s="47" t="str">
        <f t="shared" si="38"/>
        <v>20 Point</v>
      </c>
      <c r="O120" s="17">
        <f t="shared" si="39"/>
        <v>373500</v>
      </c>
      <c r="AP120" s="6"/>
      <c r="AQ120" s="235"/>
      <c r="AR120" s="80"/>
      <c r="AT120" s="6"/>
      <c r="AU120" s="17"/>
      <c r="AY120" s="6" t="s">
        <v>1151</v>
      </c>
      <c r="AZ120" s="235" t="s">
        <v>1135</v>
      </c>
      <c r="BA120" s="80" t="s">
        <v>1159</v>
      </c>
      <c r="BB120" s="6">
        <v>5</v>
      </c>
      <c r="BC120" s="17">
        <f t="shared" si="40"/>
        <v>75000</v>
      </c>
      <c r="BD120" s="116">
        <f t="shared" si="41"/>
        <v>0.02</v>
      </c>
      <c r="BE120" s="17">
        <f t="shared" si="42"/>
        <v>373500</v>
      </c>
      <c r="BF120" s="17"/>
      <c r="BG120" s="235" t="s">
        <v>1135</v>
      </c>
      <c r="BH120" s="250">
        <f t="shared" si="33"/>
        <v>700</v>
      </c>
      <c r="BI120" s="250">
        <f>SUMIF(Table13[Category],Table14[[#This Row],[Category]],Table13[[Quantity ]])</f>
        <v>345</v>
      </c>
      <c r="BJ120" s="250">
        <f>Table14[[#This Row],[Inventory]]-Table14[[#This Row],[Update ]]</f>
        <v>355</v>
      </c>
    </row>
    <row r="121" spans="1:62" ht="21" customHeight="1" x14ac:dyDescent="0.35">
      <c r="A121">
        <v>118</v>
      </c>
      <c r="B121" s="136">
        <v>44976</v>
      </c>
      <c r="C121" t="s">
        <v>1061</v>
      </c>
      <c r="D121" s="1" t="s">
        <v>162</v>
      </c>
      <c r="E121" t="s">
        <v>1095</v>
      </c>
      <c r="F121" s="6" t="s">
        <v>1114</v>
      </c>
      <c r="G121" s="6" t="s">
        <v>1152</v>
      </c>
      <c r="H121" s="235" t="str">
        <f t="shared" si="34"/>
        <v>Food Product</v>
      </c>
      <c r="I121" s="80" t="s">
        <v>1170</v>
      </c>
      <c r="J121" t="str">
        <f t="shared" si="35"/>
        <v>Platinum</v>
      </c>
      <c r="K121" s="6">
        <v>5</v>
      </c>
      <c r="L121" s="17">
        <f t="shared" si="36"/>
        <v>55000</v>
      </c>
      <c r="M121" s="116">
        <f t="shared" si="37"/>
        <v>0.02</v>
      </c>
      <c r="N121" s="47" t="str">
        <f t="shared" si="38"/>
        <v>20 Point</v>
      </c>
      <c r="O121" s="17">
        <f t="shared" si="39"/>
        <v>273900</v>
      </c>
      <c r="AP121" s="6"/>
      <c r="AQ121" s="235"/>
      <c r="AR121" s="235"/>
      <c r="AT121" s="6"/>
      <c r="AU121" s="17"/>
      <c r="AY121" s="6" t="s">
        <v>1152</v>
      </c>
      <c r="AZ121" s="235" t="s">
        <v>1135</v>
      </c>
      <c r="BA121" s="80" t="s">
        <v>1170</v>
      </c>
      <c r="BB121" s="6">
        <v>5</v>
      </c>
      <c r="BC121" s="17">
        <f t="shared" si="40"/>
        <v>55000</v>
      </c>
      <c r="BD121" s="116">
        <f t="shared" si="41"/>
        <v>0.02</v>
      </c>
      <c r="BE121" s="17">
        <f t="shared" si="42"/>
        <v>273900</v>
      </c>
      <c r="BF121" s="17"/>
      <c r="BG121" s="235" t="s">
        <v>1135</v>
      </c>
      <c r="BH121" s="250">
        <f t="shared" si="33"/>
        <v>700</v>
      </c>
      <c r="BI121" s="250">
        <f>SUMIF(Table13[Category],Table14[[#This Row],[Category]],Table13[[Quantity ]])</f>
        <v>345</v>
      </c>
      <c r="BJ121" s="250">
        <f>Table14[[#This Row],[Inventory]]-Table14[[#This Row],[Update ]]</f>
        <v>355</v>
      </c>
    </row>
    <row r="122" spans="1:62" ht="21" customHeight="1" x14ac:dyDescent="0.35">
      <c r="A122">
        <v>119</v>
      </c>
      <c r="B122" s="136">
        <v>44976</v>
      </c>
      <c r="C122" t="s">
        <v>1062</v>
      </c>
      <c r="D122" s="1" t="s">
        <v>162</v>
      </c>
      <c r="E122" t="s">
        <v>1095</v>
      </c>
      <c r="F122" s="6" t="s">
        <v>1103</v>
      </c>
      <c r="G122" s="6" t="s">
        <v>1142</v>
      </c>
      <c r="H122" s="235" t="str">
        <f t="shared" si="34"/>
        <v>General Merchandise Product</v>
      </c>
      <c r="I122" s="80" t="s">
        <v>1182</v>
      </c>
      <c r="J122" t="str">
        <f t="shared" si="35"/>
        <v>Gold</v>
      </c>
      <c r="K122" s="6">
        <v>3</v>
      </c>
      <c r="L122" s="17">
        <f t="shared" si="36"/>
        <v>110500</v>
      </c>
      <c r="M122" s="116">
        <f t="shared" si="37"/>
        <v>0.02</v>
      </c>
      <c r="N122" s="47" t="str">
        <f t="shared" si="38"/>
        <v>5 Point</v>
      </c>
      <c r="O122" s="17">
        <f t="shared" si="39"/>
        <v>329290</v>
      </c>
      <c r="AP122" s="6"/>
      <c r="AQ122" s="235"/>
      <c r="AR122" s="235"/>
      <c r="AT122" s="6"/>
      <c r="AU122" s="17"/>
      <c r="AY122" s="6" t="s">
        <v>1142</v>
      </c>
      <c r="AZ122" s="235" t="s">
        <v>1138</v>
      </c>
      <c r="BA122" s="80" t="s">
        <v>1182</v>
      </c>
      <c r="BB122" s="6">
        <v>3</v>
      </c>
      <c r="BC122" s="17">
        <f t="shared" si="40"/>
        <v>110500</v>
      </c>
      <c r="BD122" s="116">
        <f t="shared" si="41"/>
        <v>0.02</v>
      </c>
      <c r="BE122" s="17">
        <f t="shared" si="42"/>
        <v>329290</v>
      </c>
      <c r="BF122" s="17"/>
      <c r="BG122" s="235" t="s">
        <v>1138</v>
      </c>
      <c r="BH122" s="250">
        <f t="shared" ref="BH122:BH153" si="43">IF(AZ122="Food Product",700,IF(AZ122="Non Food Product",900,IF(AZ122="General Merchandise Product",855,755)))</f>
        <v>855</v>
      </c>
      <c r="BI122" s="250">
        <f>SUMIF(Table13[Category],Table14[[#This Row],[Category]],Table13[[Quantity ]])</f>
        <v>215</v>
      </c>
      <c r="BJ122" s="250">
        <f>Table14[[#This Row],[Inventory]]-Table14[[#This Row],[Update ]]</f>
        <v>640</v>
      </c>
    </row>
    <row r="123" spans="1:62" ht="21" customHeight="1" x14ac:dyDescent="0.35">
      <c r="A123">
        <v>120</v>
      </c>
      <c r="B123" s="136">
        <v>44976</v>
      </c>
      <c r="C123" t="s">
        <v>1063</v>
      </c>
      <c r="D123" s="1" t="s">
        <v>162</v>
      </c>
      <c r="E123" t="s">
        <v>1095</v>
      </c>
      <c r="F123" s="6" t="s">
        <v>1115</v>
      </c>
      <c r="G123" s="6" t="s">
        <v>1158</v>
      </c>
      <c r="H123" s="235" t="str">
        <f t="shared" si="34"/>
        <v>Perishable</v>
      </c>
      <c r="I123" s="235" t="s">
        <v>1186</v>
      </c>
      <c r="J123" t="str">
        <f t="shared" si="35"/>
        <v>Gold</v>
      </c>
      <c r="K123" s="6">
        <v>2</v>
      </c>
      <c r="L123" s="17">
        <f t="shared" si="36"/>
        <v>69999</v>
      </c>
      <c r="M123" s="116">
        <f t="shared" si="37"/>
        <v>0.02</v>
      </c>
      <c r="N123" s="47" t="str">
        <f t="shared" si="38"/>
        <v>10 Point</v>
      </c>
      <c r="O123" s="17">
        <f t="shared" si="39"/>
        <v>138598.01999999999</v>
      </c>
      <c r="AP123" s="6"/>
      <c r="AQ123" s="235"/>
      <c r="AR123" s="235"/>
      <c r="AT123" s="6"/>
      <c r="AU123" s="17"/>
      <c r="AY123" s="6" t="s">
        <v>1158</v>
      </c>
      <c r="AZ123" s="235" t="s">
        <v>1137</v>
      </c>
      <c r="BA123" s="235" t="s">
        <v>1186</v>
      </c>
      <c r="BB123" s="6">
        <v>2</v>
      </c>
      <c r="BC123" s="17">
        <f t="shared" si="40"/>
        <v>69999</v>
      </c>
      <c r="BD123" s="116">
        <f t="shared" si="41"/>
        <v>0.02</v>
      </c>
      <c r="BE123" s="17">
        <f t="shared" si="42"/>
        <v>138598.01999999999</v>
      </c>
      <c r="BF123" s="17"/>
      <c r="BG123" s="235" t="s">
        <v>1137</v>
      </c>
      <c r="BH123" s="250">
        <f t="shared" si="43"/>
        <v>755</v>
      </c>
      <c r="BI123" s="250">
        <f>SUMIF(Table13[Category],Table14[[#This Row],[Category]],Table13[[Quantity ]])</f>
        <v>241</v>
      </c>
      <c r="BJ123" s="250">
        <f>Table14[[#This Row],[Inventory]]-Table14[[#This Row],[Update ]]</f>
        <v>514</v>
      </c>
    </row>
    <row r="124" spans="1:62" ht="21" customHeight="1" x14ac:dyDescent="0.35">
      <c r="A124">
        <v>121</v>
      </c>
      <c r="B124" s="136">
        <v>44977</v>
      </c>
      <c r="C124" t="s">
        <v>1064</v>
      </c>
      <c r="D124" s="1" t="s">
        <v>162</v>
      </c>
      <c r="E124" t="s">
        <v>1095</v>
      </c>
      <c r="F124" s="6" t="s">
        <v>1116</v>
      </c>
      <c r="G124" s="6" t="s">
        <v>1141</v>
      </c>
      <c r="H124" s="235" t="str">
        <f t="shared" si="34"/>
        <v>Perishable</v>
      </c>
      <c r="I124" s="235" t="s">
        <v>1184</v>
      </c>
      <c r="J124" t="str">
        <f t="shared" si="35"/>
        <v>Gold</v>
      </c>
      <c r="K124" s="6">
        <v>2</v>
      </c>
      <c r="L124" s="17">
        <f t="shared" si="36"/>
        <v>25500</v>
      </c>
      <c r="M124" s="116">
        <f t="shared" si="37"/>
        <v>0.02</v>
      </c>
      <c r="N124" s="47" t="str">
        <f t="shared" si="38"/>
        <v>5 Point</v>
      </c>
      <c r="O124" s="17">
        <f t="shared" si="39"/>
        <v>50490</v>
      </c>
      <c r="AP124" s="6"/>
      <c r="AQ124" s="235"/>
      <c r="AR124" s="235"/>
      <c r="AT124" s="6"/>
      <c r="AU124" s="17"/>
      <c r="AY124" s="6" t="s">
        <v>1141</v>
      </c>
      <c r="AZ124" s="235" t="s">
        <v>1137</v>
      </c>
      <c r="BA124" s="235" t="s">
        <v>1184</v>
      </c>
      <c r="BB124" s="6">
        <v>2</v>
      </c>
      <c r="BC124" s="17">
        <f t="shared" si="40"/>
        <v>25500</v>
      </c>
      <c r="BD124" s="116">
        <f t="shared" si="41"/>
        <v>0.02</v>
      </c>
      <c r="BE124" s="17">
        <f t="shared" si="42"/>
        <v>50490</v>
      </c>
      <c r="BF124" s="17"/>
      <c r="BG124" s="235" t="s">
        <v>1137</v>
      </c>
      <c r="BH124" s="250">
        <f t="shared" si="43"/>
        <v>755</v>
      </c>
      <c r="BI124" s="250">
        <f>SUMIF(Table13[Category],Table14[[#This Row],[Category]],Table13[[Quantity ]])</f>
        <v>241</v>
      </c>
      <c r="BJ124" s="250">
        <f>Table14[[#This Row],[Inventory]]-Table14[[#This Row],[Update ]]</f>
        <v>514</v>
      </c>
    </row>
    <row r="125" spans="1:62" ht="21" customHeight="1" x14ac:dyDescent="0.35">
      <c r="A125">
        <v>122</v>
      </c>
      <c r="B125" s="136">
        <v>44977</v>
      </c>
      <c r="C125" t="s">
        <v>1065</v>
      </c>
      <c r="D125" s="1" t="s">
        <v>162</v>
      </c>
      <c r="E125" t="s">
        <v>1095</v>
      </c>
      <c r="F125" s="6" t="s">
        <v>1117</v>
      </c>
      <c r="G125" s="6" t="s">
        <v>1143</v>
      </c>
      <c r="H125" s="235" t="str">
        <f t="shared" si="34"/>
        <v>Perishable</v>
      </c>
      <c r="I125" s="235" t="s">
        <v>1184</v>
      </c>
      <c r="J125" t="str">
        <f t="shared" si="35"/>
        <v>Gold</v>
      </c>
      <c r="K125" s="6">
        <v>2</v>
      </c>
      <c r="L125" s="17">
        <f t="shared" si="36"/>
        <v>25500</v>
      </c>
      <c r="M125" s="116">
        <f t="shared" si="37"/>
        <v>0.02</v>
      </c>
      <c r="N125" s="47" t="str">
        <f t="shared" si="38"/>
        <v>15 Point</v>
      </c>
      <c r="O125" s="17">
        <f t="shared" si="39"/>
        <v>50490</v>
      </c>
      <c r="AP125" s="6"/>
      <c r="AQ125" s="235"/>
      <c r="AR125" s="235"/>
      <c r="AT125" s="6"/>
      <c r="AU125" s="17"/>
      <c r="AY125" s="6" t="s">
        <v>1143</v>
      </c>
      <c r="AZ125" s="235" t="s">
        <v>1137</v>
      </c>
      <c r="BA125" s="235" t="s">
        <v>1184</v>
      </c>
      <c r="BB125" s="6">
        <v>2</v>
      </c>
      <c r="BC125" s="17">
        <f t="shared" si="40"/>
        <v>25500</v>
      </c>
      <c r="BD125" s="116">
        <f t="shared" si="41"/>
        <v>0.02</v>
      </c>
      <c r="BE125" s="17">
        <f t="shared" si="42"/>
        <v>50490</v>
      </c>
      <c r="BF125" s="17"/>
      <c r="BG125" s="235" t="s">
        <v>1137</v>
      </c>
      <c r="BH125" s="250">
        <f t="shared" si="43"/>
        <v>755</v>
      </c>
      <c r="BI125" s="250">
        <f>SUMIF(Table13[Category],Table14[[#This Row],[Category]],Table13[[Quantity ]])</f>
        <v>241</v>
      </c>
      <c r="BJ125" s="250">
        <f>Table14[[#This Row],[Inventory]]-Table14[[#This Row],[Update ]]</f>
        <v>514</v>
      </c>
    </row>
    <row r="126" spans="1:62" ht="21" customHeight="1" x14ac:dyDescent="0.35">
      <c r="A126">
        <v>123</v>
      </c>
      <c r="B126" s="136">
        <v>44977</v>
      </c>
      <c r="C126" t="s">
        <v>1066</v>
      </c>
      <c r="D126" s="1" t="s">
        <v>162</v>
      </c>
      <c r="E126" t="s">
        <v>1095</v>
      </c>
      <c r="F126" s="6" t="s">
        <v>1118</v>
      </c>
      <c r="G126" s="6" t="s">
        <v>1143</v>
      </c>
      <c r="H126" s="235" t="str">
        <f t="shared" si="34"/>
        <v>Perishable</v>
      </c>
      <c r="I126" s="235" t="s">
        <v>1184</v>
      </c>
      <c r="J126" t="str">
        <f t="shared" si="35"/>
        <v>Silver</v>
      </c>
      <c r="K126" s="6">
        <v>4</v>
      </c>
      <c r="L126" s="17">
        <f t="shared" si="36"/>
        <v>25500</v>
      </c>
      <c r="M126" s="116">
        <f t="shared" si="37"/>
        <v>0.02</v>
      </c>
      <c r="N126" s="47" t="str">
        <f t="shared" si="38"/>
        <v>15 Point</v>
      </c>
      <c r="O126" s="17">
        <f t="shared" si="39"/>
        <v>101490</v>
      </c>
      <c r="AP126" s="6"/>
      <c r="AQ126" s="235"/>
      <c r="AR126" s="235"/>
      <c r="AT126" s="6"/>
      <c r="AU126" s="17"/>
      <c r="AY126" s="6" t="s">
        <v>1143</v>
      </c>
      <c r="AZ126" s="235" t="s">
        <v>1137</v>
      </c>
      <c r="BA126" s="235" t="s">
        <v>1184</v>
      </c>
      <c r="BB126" s="6">
        <v>4</v>
      </c>
      <c r="BC126" s="17">
        <f t="shared" si="40"/>
        <v>25500</v>
      </c>
      <c r="BD126" s="116">
        <f t="shared" si="41"/>
        <v>0.02</v>
      </c>
      <c r="BE126" s="17">
        <f t="shared" si="42"/>
        <v>101490</v>
      </c>
      <c r="BF126" s="17"/>
      <c r="BG126" s="235" t="s">
        <v>1137</v>
      </c>
      <c r="BH126" s="250">
        <f t="shared" si="43"/>
        <v>755</v>
      </c>
      <c r="BI126" s="250">
        <f>SUMIF(Table13[Category],Table14[[#This Row],[Category]],Table13[[Quantity ]])</f>
        <v>241</v>
      </c>
      <c r="BJ126" s="250">
        <f>Table14[[#This Row],[Inventory]]-Table14[[#This Row],[Update ]]</f>
        <v>514</v>
      </c>
    </row>
    <row r="127" spans="1:62" ht="21" customHeight="1" x14ac:dyDescent="0.35">
      <c r="A127">
        <v>124</v>
      </c>
      <c r="B127" s="136">
        <v>44977</v>
      </c>
      <c r="C127" t="s">
        <v>1067</v>
      </c>
      <c r="D127" s="1" t="s">
        <v>163</v>
      </c>
      <c r="E127" t="s">
        <v>1095</v>
      </c>
      <c r="F127" s="6" t="s">
        <v>1128</v>
      </c>
      <c r="G127" s="6" t="s">
        <v>1143</v>
      </c>
      <c r="H127" s="235" t="str">
        <f t="shared" si="34"/>
        <v>Perishable</v>
      </c>
      <c r="I127" s="235" t="s">
        <v>1186</v>
      </c>
      <c r="J127" t="str">
        <f t="shared" si="35"/>
        <v>Gold</v>
      </c>
      <c r="K127" s="6">
        <v>5</v>
      </c>
      <c r="L127" s="17">
        <f t="shared" si="36"/>
        <v>69999</v>
      </c>
      <c r="M127" s="116">
        <f t="shared" si="37"/>
        <v>0.02</v>
      </c>
      <c r="N127" s="47" t="str">
        <f t="shared" si="38"/>
        <v>25 Point</v>
      </c>
      <c r="O127" s="17">
        <f t="shared" si="39"/>
        <v>348595.02</v>
      </c>
      <c r="AP127" s="6"/>
      <c r="AQ127" s="235"/>
      <c r="AR127" s="235"/>
      <c r="AT127" s="6"/>
      <c r="AU127" s="17"/>
      <c r="AY127" s="6" t="s">
        <v>1143</v>
      </c>
      <c r="AZ127" s="235" t="s">
        <v>1137</v>
      </c>
      <c r="BA127" s="235" t="s">
        <v>1186</v>
      </c>
      <c r="BB127" s="6">
        <v>5</v>
      </c>
      <c r="BC127" s="17">
        <f t="shared" si="40"/>
        <v>69999</v>
      </c>
      <c r="BD127" s="116">
        <f t="shared" si="41"/>
        <v>0.02</v>
      </c>
      <c r="BE127" s="17">
        <f t="shared" si="42"/>
        <v>348595.02</v>
      </c>
      <c r="BF127" s="17"/>
      <c r="BG127" s="235" t="s">
        <v>1137</v>
      </c>
      <c r="BH127" s="250">
        <f t="shared" si="43"/>
        <v>755</v>
      </c>
      <c r="BI127" s="250">
        <f>SUMIF(Table13[Category],Table14[[#This Row],[Category]],Table13[[Quantity ]])</f>
        <v>241</v>
      </c>
      <c r="BJ127" s="250">
        <f>Table14[[#This Row],[Inventory]]-Table14[[#This Row],[Update ]]</f>
        <v>514</v>
      </c>
    </row>
    <row r="128" spans="1:62" ht="21" customHeight="1" x14ac:dyDescent="0.35">
      <c r="A128">
        <v>125</v>
      </c>
      <c r="B128" s="136">
        <v>44978</v>
      </c>
      <c r="C128" t="s">
        <v>1068</v>
      </c>
      <c r="D128" s="1" t="s">
        <v>163</v>
      </c>
      <c r="E128" t="s">
        <v>1095</v>
      </c>
      <c r="F128" s="6" t="s">
        <v>1114</v>
      </c>
      <c r="G128" s="6" t="s">
        <v>1158</v>
      </c>
      <c r="H128" s="235" t="str">
        <f t="shared" si="34"/>
        <v>Perishable</v>
      </c>
      <c r="I128" s="235" t="s">
        <v>1186</v>
      </c>
      <c r="J128" t="str">
        <f t="shared" si="35"/>
        <v>Platinum</v>
      </c>
      <c r="K128" s="6">
        <v>5</v>
      </c>
      <c r="L128" s="17">
        <f t="shared" si="36"/>
        <v>69999</v>
      </c>
      <c r="M128" s="116">
        <f t="shared" si="37"/>
        <v>0.02</v>
      </c>
      <c r="N128" s="47" t="str">
        <f t="shared" si="38"/>
        <v>20 Point</v>
      </c>
      <c r="O128" s="17">
        <f t="shared" si="39"/>
        <v>348595.02</v>
      </c>
      <c r="AP128" s="6"/>
      <c r="AQ128" s="235"/>
      <c r="AR128" s="80"/>
      <c r="AT128" s="6"/>
      <c r="AU128" s="17"/>
      <c r="AY128" s="6" t="s">
        <v>1158</v>
      </c>
      <c r="AZ128" s="235" t="s">
        <v>1137</v>
      </c>
      <c r="BA128" s="235" t="s">
        <v>1186</v>
      </c>
      <c r="BB128" s="6">
        <v>5</v>
      </c>
      <c r="BC128" s="17">
        <f t="shared" si="40"/>
        <v>69999</v>
      </c>
      <c r="BD128" s="116">
        <f t="shared" si="41"/>
        <v>0.02</v>
      </c>
      <c r="BE128" s="17">
        <f t="shared" si="42"/>
        <v>348595.02</v>
      </c>
      <c r="BF128" s="17"/>
      <c r="BG128" s="235" t="s">
        <v>1137</v>
      </c>
      <c r="BH128" s="250">
        <f t="shared" si="43"/>
        <v>755</v>
      </c>
      <c r="BI128" s="250">
        <f>SUMIF(Table13[Category],Table14[[#This Row],[Category]],Table13[[Quantity ]])</f>
        <v>241</v>
      </c>
      <c r="BJ128" s="250">
        <f>Table14[[#This Row],[Inventory]]-Table14[[#This Row],[Update ]]</f>
        <v>514</v>
      </c>
    </row>
    <row r="129" spans="1:62" ht="21" customHeight="1" x14ac:dyDescent="0.35">
      <c r="A129">
        <v>126</v>
      </c>
      <c r="B129" s="136">
        <v>44978</v>
      </c>
      <c r="C129" t="s">
        <v>1013</v>
      </c>
      <c r="D129" s="1" t="s">
        <v>162</v>
      </c>
      <c r="E129" t="s">
        <v>1095</v>
      </c>
      <c r="F129" s="6" t="s">
        <v>1103</v>
      </c>
      <c r="G129" s="6" t="s">
        <v>1158</v>
      </c>
      <c r="H129" s="235" t="str">
        <f t="shared" si="34"/>
        <v>Perishable</v>
      </c>
      <c r="I129" s="235" t="s">
        <v>1185</v>
      </c>
      <c r="J129" t="str">
        <f t="shared" si="35"/>
        <v>Gold</v>
      </c>
      <c r="K129" s="6">
        <v>7</v>
      </c>
      <c r="L129" s="17">
        <f t="shared" si="36"/>
        <v>49999</v>
      </c>
      <c r="M129" s="116">
        <f t="shared" si="37"/>
        <v>0.02</v>
      </c>
      <c r="N129" s="47" t="str">
        <f t="shared" si="38"/>
        <v>5 Point</v>
      </c>
      <c r="O129" s="17">
        <f t="shared" si="39"/>
        <v>348993.02</v>
      </c>
      <c r="AP129" s="6"/>
      <c r="AQ129" s="235"/>
      <c r="AR129" s="235"/>
      <c r="AT129" s="6"/>
      <c r="AU129" s="17"/>
      <c r="AY129" s="6" t="s">
        <v>1158</v>
      </c>
      <c r="AZ129" s="235" t="s">
        <v>1137</v>
      </c>
      <c r="BA129" s="235" t="s">
        <v>1185</v>
      </c>
      <c r="BB129" s="6">
        <v>7</v>
      </c>
      <c r="BC129" s="17">
        <f t="shared" si="40"/>
        <v>49999</v>
      </c>
      <c r="BD129" s="116">
        <f t="shared" si="41"/>
        <v>0.02</v>
      </c>
      <c r="BE129" s="17">
        <f t="shared" si="42"/>
        <v>348993.02</v>
      </c>
      <c r="BF129" s="17"/>
      <c r="BG129" s="235" t="s">
        <v>1137</v>
      </c>
      <c r="BH129" s="250">
        <f t="shared" si="43"/>
        <v>755</v>
      </c>
      <c r="BI129" s="250">
        <f>SUMIF(Table13[Category],Table14[[#This Row],[Category]],Table13[[Quantity ]])</f>
        <v>241</v>
      </c>
      <c r="BJ129" s="250">
        <f>Table14[[#This Row],[Inventory]]-Table14[[#This Row],[Update ]]</f>
        <v>514</v>
      </c>
    </row>
    <row r="130" spans="1:62" ht="21" customHeight="1" x14ac:dyDescent="0.35">
      <c r="A130">
        <v>127</v>
      </c>
      <c r="B130" s="136">
        <v>44978</v>
      </c>
      <c r="C130" t="s">
        <v>1014</v>
      </c>
      <c r="D130" s="1" t="s">
        <v>162</v>
      </c>
      <c r="E130" t="s">
        <v>1095</v>
      </c>
      <c r="F130" s="6" t="s">
        <v>1115</v>
      </c>
      <c r="G130" s="6" t="s">
        <v>1141</v>
      </c>
      <c r="H130" s="235" t="str">
        <f t="shared" si="34"/>
        <v>Perishable</v>
      </c>
      <c r="I130" s="235" t="s">
        <v>1185</v>
      </c>
      <c r="J130" t="str">
        <f t="shared" si="35"/>
        <v>Gold</v>
      </c>
      <c r="K130" s="6">
        <v>7</v>
      </c>
      <c r="L130" s="17">
        <f t="shared" si="36"/>
        <v>49999</v>
      </c>
      <c r="M130" s="116">
        <f t="shared" si="37"/>
        <v>0.02</v>
      </c>
      <c r="N130" s="47" t="str">
        <f t="shared" si="38"/>
        <v>10 Point</v>
      </c>
      <c r="O130" s="17">
        <f t="shared" si="39"/>
        <v>348993.02</v>
      </c>
      <c r="AP130" s="6"/>
      <c r="AQ130" s="235"/>
      <c r="AR130" s="80"/>
      <c r="AT130" s="6"/>
      <c r="AU130" s="17"/>
      <c r="AY130" s="6" t="s">
        <v>1141</v>
      </c>
      <c r="AZ130" s="235" t="s">
        <v>1137</v>
      </c>
      <c r="BA130" s="235" t="s">
        <v>1185</v>
      </c>
      <c r="BB130" s="6">
        <v>7</v>
      </c>
      <c r="BC130" s="17">
        <f t="shared" si="40"/>
        <v>49999</v>
      </c>
      <c r="BD130" s="116">
        <f t="shared" si="41"/>
        <v>0.02</v>
      </c>
      <c r="BE130" s="17">
        <f t="shared" si="42"/>
        <v>348993.02</v>
      </c>
      <c r="BF130" s="17"/>
      <c r="BG130" s="235" t="s">
        <v>1137</v>
      </c>
      <c r="BH130" s="250">
        <f t="shared" si="43"/>
        <v>755</v>
      </c>
      <c r="BI130" s="250">
        <f>SUMIF(Table13[Category],Table14[[#This Row],[Category]],Table13[[Quantity ]])</f>
        <v>241</v>
      </c>
      <c r="BJ130" s="250">
        <f>Table14[[#This Row],[Inventory]]-Table14[[#This Row],[Update ]]</f>
        <v>514</v>
      </c>
    </row>
    <row r="131" spans="1:62" ht="21" customHeight="1" x14ac:dyDescent="0.35">
      <c r="A131">
        <v>128</v>
      </c>
      <c r="B131" s="136">
        <v>44978</v>
      </c>
      <c r="C131" t="s">
        <v>1015</v>
      </c>
      <c r="D131" s="1" t="s">
        <v>162</v>
      </c>
      <c r="E131" t="s">
        <v>1095</v>
      </c>
      <c r="F131" s="6" t="s">
        <v>1116</v>
      </c>
      <c r="G131" s="6" t="s">
        <v>1141</v>
      </c>
      <c r="H131" s="235" t="str">
        <f t="shared" si="34"/>
        <v>Perishable</v>
      </c>
      <c r="I131" s="235" t="s">
        <v>1185</v>
      </c>
      <c r="J131" t="str">
        <f t="shared" si="35"/>
        <v>Gold</v>
      </c>
      <c r="K131" s="6">
        <v>7</v>
      </c>
      <c r="L131" s="17">
        <f t="shared" si="36"/>
        <v>49999</v>
      </c>
      <c r="M131" s="116">
        <f t="shared" si="37"/>
        <v>0.02</v>
      </c>
      <c r="N131" s="47" t="str">
        <f t="shared" si="38"/>
        <v>5 Point</v>
      </c>
      <c r="O131" s="17">
        <f t="shared" si="39"/>
        <v>348993.02</v>
      </c>
      <c r="AP131" s="6"/>
      <c r="AQ131" s="235"/>
      <c r="AR131" s="80"/>
      <c r="AT131" s="6"/>
      <c r="AU131" s="17"/>
      <c r="AY131" s="6" t="s">
        <v>1141</v>
      </c>
      <c r="AZ131" s="235" t="s">
        <v>1137</v>
      </c>
      <c r="BA131" s="235" t="s">
        <v>1185</v>
      </c>
      <c r="BB131" s="6">
        <v>7</v>
      </c>
      <c r="BC131" s="17">
        <f t="shared" si="40"/>
        <v>49999</v>
      </c>
      <c r="BD131" s="116">
        <f t="shared" si="41"/>
        <v>0.02</v>
      </c>
      <c r="BE131" s="17">
        <f t="shared" si="42"/>
        <v>348993.02</v>
      </c>
      <c r="BF131" s="17"/>
      <c r="BG131" s="235" t="s">
        <v>1137</v>
      </c>
      <c r="BH131" s="250">
        <f t="shared" si="43"/>
        <v>755</v>
      </c>
      <c r="BI131" s="250">
        <f>SUMIF(Table13[Category],Table14[[#This Row],[Category]],Table13[[Quantity ]])</f>
        <v>241</v>
      </c>
      <c r="BJ131" s="250">
        <f>Table14[[#This Row],[Inventory]]-Table14[[#This Row],[Update ]]</f>
        <v>514</v>
      </c>
    </row>
    <row r="132" spans="1:62" ht="21" customHeight="1" x14ac:dyDescent="0.35">
      <c r="A132">
        <v>129</v>
      </c>
      <c r="B132" s="136">
        <v>44978</v>
      </c>
      <c r="C132" t="s">
        <v>1016</v>
      </c>
      <c r="D132" s="1" t="s">
        <v>162</v>
      </c>
      <c r="E132" t="s">
        <v>1095</v>
      </c>
      <c r="F132" s="6" t="s">
        <v>1117</v>
      </c>
      <c r="G132" s="6" t="s">
        <v>1155</v>
      </c>
      <c r="H132" s="235" t="str">
        <f t="shared" ref="H132:H163" si="44">VLOOKUP(LEFT(G132,2),Category,2,0)</f>
        <v>General Merchandise Product</v>
      </c>
      <c r="I132" s="80" t="s">
        <v>1182</v>
      </c>
      <c r="J132" t="str">
        <f t="shared" ref="J132:J163" si="45">VLOOKUP(LEFT(F132,1),Barcode,2,0)</f>
        <v>Gold</v>
      </c>
      <c r="K132" s="6">
        <v>8</v>
      </c>
      <c r="L132" s="17">
        <f t="shared" ref="L132:L163" si="46">INDEX($S$40:$S$69,MATCH(I132,$R$40:$R$69,0))</f>
        <v>110500</v>
      </c>
      <c r="M132" s="116">
        <f t="shared" ref="M132:M159" si="47">IF(K132&gt;8,3%,2%)</f>
        <v>0.02</v>
      </c>
      <c r="N132" s="47" t="str">
        <f t="shared" ref="N132:N163" si="48">HLOOKUP(VALUE(RIGHT(F132,2)),Point,2,0)</f>
        <v>15 Point</v>
      </c>
      <c r="O132" s="17">
        <f t="shared" ref="O132:O143" si="49">(K132*L132)-(L132*M132)</f>
        <v>881790</v>
      </c>
      <c r="AP132" s="6"/>
      <c r="AQ132" s="235"/>
      <c r="AR132" s="80"/>
      <c r="AT132" s="6"/>
      <c r="AU132" s="17"/>
      <c r="AY132" s="6" t="s">
        <v>1155</v>
      </c>
      <c r="AZ132" s="235" t="s">
        <v>1138</v>
      </c>
      <c r="BA132" s="80" t="s">
        <v>1182</v>
      </c>
      <c r="BB132" s="6">
        <v>8</v>
      </c>
      <c r="BC132" s="17">
        <f t="shared" ref="BC132:BC163" si="50">INDEX($S$40:$S$69,MATCH(BA132,$R$40:$R$69,0))</f>
        <v>110500</v>
      </c>
      <c r="BD132" s="116">
        <f t="shared" ref="BD132:BD159" si="51">IF(BB132&gt;8,3%,2%)</f>
        <v>0.02</v>
      </c>
      <c r="BE132" s="17">
        <f t="shared" ref="BE132:BE163" si="52">(BB132*BC132)-(BC132*BD132)</f>
        <v>881790</v>
      </c>
      <c r="BF132" s="17"/>
      <c r="BG132" s="235" t="s">
        <v>1138</v>
      </c>
      <c r="BH132" s="250">
        <f t="shared" si="43"/>
        <v>855</v>
      </c>
      <c r="BI132" s="250">
        <f>SUMIF(Table13[Category],Table14[[#This Row],[Category]],Table13[[Quantity ]])</f>
        <v>215</v>
      </c>
      <c r="BJ132" s="250">
        <f>Table14[[#This Row],[Inventory]]-Table14[[#This Row],[Update ]]</f>
        <v>640</v>
      </c>
    </row>
    <row r="133" spans="1:62" ht="21" customHeight="1" x14ac:dyDescent="0.35">
      <c r="A133">
        <v>130</v>
      </c>
      <c r="B133" s="136">
        <v>44979</v>
      </c>
      <c r="C133" t="s">
        <v>1017</v>
      </c>
      <c r="D133" s="1" t="s">
        <v>163</v>
      </c>
      <c r="E133" t="s">
        <v>1095</v>
      </c>
      <c r="F133" s="6" t="s">
        <v>1118</v>
      </c>
      <c r="G133" s="6" t="s">
        <v>1142</v>
      </c>
      <c r="H133" s="235" t="str">
        <f t="shared" si="44"/>
        <v>General Merchandise Product</v>
      </c>
      <c r="I133" s="80" t="s">
        <v>1179</v>
      </c>
      <c r="J133" t="str">
        <f t="shared" si="45"/>
        <v>Silver</v>
      </c>
      <c r="K133" s="6">
        <v>8</v>
      </c>
      <c r="L133" s="17">
        <f t="shared" si="46"/>
        <v>85000</v>
      </c>
      <c r="M133" s="116">
        <f t="shared" si="47"/>
        <v>0.02</v>
      </c>
      <c r="N133" s="47" t="str">
        <f t="shared" si="48"/>
        <v>15 Point</v>
      </c>
      <c r="O133" s="17">
        <f t="shared" si="49"/>
        <v>678300</v>
      </c>
      <c r="AP133" s="6"/>
      <c r="AQ133" s="235"/>
      <c r="AR133" s="80"/>
      <c r="AT133" s="6"/>
      <c r="AU133" s="17"/>
      <c r="AY133" s="6" t="s">
        <v>1142</v>
      </c>
      <c r="AZ133" s="235" t="s">
        <v>1138</v>
      </c>
      <c r="BA133" s="80" t="s">
        <v>1179</v>
      </c>
      <c r="BB133" s="6">
        <v>8</v>
      </c>
      <c r="BC133" s="17">
        <f t="shared" si="50"/>
        <v>85000</v>
      </c>
      <c r="BD133" s="116">
        <f t="shared" si="51"/>
        <v>0.02</v>
      </c>
      <c r="BE133" s="17">
        <f t="shared" si="52"/>
        <v>678300</v>
      </c>
      <c r="BF133" s="17"/>
      <c r="BG133" s="235" t="s">
        <v>1138</v>
      </c>
      <c r="BH133" s="250">
        <f t="shared" si="43"/>
        <v>855</v>
      </c>
      <c r="BI133" s="250">
        <f>SUMIF(Table13[Category],Table14[[#This Row],[Category]],Table13[[Quantity ]])</f>
        <v>215</v>
      </c>
      <c r="BJ133" s="250">
        <f>Table14[[#This Row],[Inventory]]-Table14[[#This Row],[Update ]]</f>
        <v>640</v>
      </c>
    </row>
    <row r="134" spans="1:62" ht="21" customHeight="1" x14ac:dyDescent="0.35">
      <c r="A134">
        <v>131</v>
      </c>
      <c r="B134" s="136">
        <v>44979</v>
      </c>
      <c r="C134" t="s">
        <v>1018</v>
      </c>
      <c r="D134" s="1" t="s">
        <v>163</v>
      </c>
      <c r="E134" t="s">
        <v>1095</v>
      </c>
      <c r="F134" s="6" t="s">
        <v>1119</v>
      </c>
      <c r="G134" s="6" t="s">
        <v>1152</v>
      </c>
      <c r="H134" s="235" t="str">
        <f t="shared" si="44"/>
        <v>Food Product</v>
      </c>
      <c r="I134" s="80" t="s">
        <v>1159</v>
      </c>
      <c r="J134" t="str">
        <f t="shared" si="45"/>
        <v>Silver</v>
      </c>
      <c r="K134" s="6">
        <v>9</v>
      </c>
      <c r="L134" s="17">
        <f t="shared" si="46"/>
        <v>75000</v>
      </c>
      <c r="M134" s="116">
        <f t="shared" si="47"/>
        <v>0.03</v>
      </c>
      <c r="N134" s="47" t="str">
        <f t="shared" si="48"/>
        <v>5 Point</v>
      </c>
      <c r="O134" s="17">
        <f t="shared" si="49"/>
        <v>672750</v>
      </c>
      <c r="AP134" s="6"/>
      <c r="AQ134" s="235"/>
      <c r="AR134" s="80"/>
      <c r="AT134" s="6"/>
      <c r="AU134" s="17"/>
      <c r="AY134" s="6" t="s">
        <v>1152</v>
      </c>
      <c r="AZ134" s="235" t="s">
        <v>1135</v>
      </c>
      <c r="BA134" s="80" t="s">
        <v>1159</v>
      </c>
      <c r="BB134" s="6">
        <v>9</v>
      </c>
      <c r="BC134" s="17">
        <f t="shared" si="50"/>
        <v>75000</v>
      </c>
      <c r="BD134" s="116">
        <f t="shared" si="51"/>
        <v>0.03</v>
      </c>
      <c r="BE134" s="17">
        <f t="shared" si="52"/>
        <v>672750</v>
      </c>
      <c r="BF134" s="17"/>
      <c r="BG134" s="235" t="s">
        <v>1135</v>
      </c>
      <c r="BH134" s="250">
        <f t="shared" si="43"/>
        <v>700</v>
      </c>
      <c r="BI134" s="250">
        <f>SUMIF(Table13[Category],Table14[[#This Row],[Category]],Table13[[Quantity ]])</f>
        <v>345</v>
      </c>
      <c r="BJ134" s="250">
        <f>Table14[[#This Row],[Inventory]]-Table14[[#This Row],[Update ]]</f>
        <v>355</v>
      </c>
    </row>
    <row r="135" spans="1:62" ht="21" customHeight="1" x14ac:dyDescent="0.35">
      <c r="A135">
        <v>132</v>
      </c>
      <c r="B135" s="136">
        <v>44979</v>
      </c>
      <c r="C135" t="s">
        <v>1019</v>
      </c>
      <c r="D135" s="1" t="s">
        <v>163</v>
      </c>
      <c r="E135" t="s">
        <v>1095</v>
      </c>
      <c r="F135" s="6" t="s">
        <v>1120</v>
      </c>
      <c r="G135" s="6" t="s">
        <v>1156</v>
      </c>
      <c r="H135" s="235" t="str">
        <f t="shared" si="44"/>
        <v>Food Product</v>
      </c>
      <c r="I135" s="80" t="s">
        <v>1160</v>
      </c>
      <c r="J135" t="str">
        <f t="shared" si="45"/>
        <v>Silver</v>
      </c>
      <c r="K135" s="6">
        <v>12</v>
      </c>
      <c r="L135" s="17">
        <f t="shared" si="46"/>
        <v>120000</v>
      </c>
      <c r="M135" s="116">
        <f t="shared" si="47"/>
        <v>0.03</v>
      </c>
      <c r="N135" s="47" t="str">
        <f t="shared" si="48"/>
        <v>20 Point</v>
      </c>
      <c r="O135" s="17">
        <f t="shared" si="49"/>
        <v>1436400</v>
      </c>
      <c r="AP135" s="6"/>
      <c r="AQ135" s="235"/>
      <c r="AR135" s="80"/>
      <c r="AT135" s="6"/>
      <c r="AU135" s="17"/>
      <c r="AY135" s="6" t="s">
        <v>1156</v>
      </c>
      <c r="AZ135" s="235" t="s">
        <v>1135</v>
      </c>
      <c r="BA135" s="80" t="s">
        <v>1160</v>
      </c>
      <c r="BB135" s="6">
        <v>12</v>
      </c>
      <c r="BC135" s="17">
        <f t="shared" si="50"/>
        <v>120000</v>
      </c>
      <c r="BD135" s="116">
        <f t="shared" si="51"/>
        <v>0.03</v>
      </c>
      <c r="BE135" s="17">
        <f t="shared" si="52"/>
        <v>1436400</v>
      </c>
      <c r="BF135" s="17"/>
      <c r="BG135" s="235" t="s">
        <v>1135</v>
      </c>
      <c r="BH135" s="250">
        <f t="shared" si="43"/>
        <v>700</v>
      </c>
      <c r="BI135" s="250">
        <f>SUMIF(Table13[Category],Table14[[#This Row],[Category]],Table13[[Quantity ]])</f>
        <v>345</v>
      </c>
      <c r="BJ135" s="250">
        <f>Table14[[#This Row],[Inventory]]-Table14[[#This Row],[Update ]]</f>
        <v>355</v>
      </c>
    </row>
    <row r="136" spans="1:62" ht="21" customHeight="1" x14ac:dyDescent="0.35">
      <c r="A136">
        <v>133</v>
      </c>
      <c r="B136" s="136">
        <v>44979</v>
      </c>
      <c r="C136" t="s">
        <v>1020</v>
      </c>
      <c r="D136" s="1" t="s">
        <v>163</v>
      </c>
      <c r="E136" t="s">
        <v>1095</v>
      </c>
      <c r="F136" s="6" t="s">
        <v>1103</v>
      </c>
      <c r="G136" s="6" t="s">
        <v>1151</v>
      </c>
      <c r="H136" s="235" t="str">
        <f t="shared" si="44"/>
        <v>Food Product</v>
      </c>
      <c r="I136" s="80" t="s">
        <v>1170</v>
      </c>
      <c r="J136" t="str">
        <f t="shared" si="45"/>
        <v>Gold</v>
      </c>
      <c r="K136" s="6">
        <v>11</v>
      </c>
      <c r="L136" s="17">
        <f t="shared" si="46"/>
        <v>55000</v>
      </c>
      <c r="M136" s="116">
        <f t="shared" si="47"/>
        <v>0.03</v>
      </c>
      <c r="N136" s="47" t="str">
        <f t="shared" si="48"/>
        <v>5 Point</v>
      </c>
      <c r="O136" s="17">
        <f t="shared" si="49"/>
        <v>603350</v>
      </c>
      <c r="AP136" s="6"/>
      <c r="AQ136" s="235"/>
      <c r="AR136" s="235"/>
      <c r="AT136" s="6"/>
      <c r="AU136" s="17"/>
      <c r="AY136" s="6" t="s">
        <v>1151</v>
      </c>
      <c r="AZ136" s="235" t="s">
        <v>1135</v>
      </c>
      <c r="BA136" s="80" t="s">
        <v>1170</v>
      </c>
      <c r="BB136" s="6">
        <v>11</v>
      </c>
      <c r="BC136" s="17">
        <f t="shared" si="50"/>
        <v>55000</v>
      </c>
      <c r="BD136" s="116">
        <f t="shared" si="51"/>
        <v>0.03</v>
      </c>
      <c r="BE136" s="17">
        <f t="shared" si="52"/>
        <v>603350</v>
      </c>
      <c r="BF136" s="17"/>
      <c r="BG136" s="235" t="s">
        <v>1135</v>
      </c>
      <c r="BH136" s="250">
        <f t="shared" si="43"/>
        <v>700</v>
      </c>
      <c r="BI136" s="250">
        <f>SUMIF(Table13[Category],Table14[[#This Row],[Category]],Table13[[Quantity ]])</f>
        <v>345</v>
      </c>
      <c r="BJ136" s="250">
        <f>Table14[[#This Row],[Inventory]]-Table14[[#This Row],[Update ]]</f>
        <v>355</v>
      </c>
    </row>
    <row r="137" spans="1:62" ht="21" customHeight="1" x14ac:dyDescent="0.35">
      <c r="A137">
        <v>134</v>
      </c>
      <c r="B137" s="136">
        <v>44980</v>
      </c>
      <c r="C137" t="s">
        <v>1021</v>
      </c>
      <c r="D137" s="1" t="s">
        <v>163</v>
      </c>
      <c r="E137" t="s">
        <v>1095</v>
      </c>
      <c r="F137" s="6" t="s">
        <v>1116</v>
      </c>
      <c r="G137" s="6" t="s">
        <v>1151</v>
      </c>
      <c r="H137" s="235" t="str">
        <f t="shared" si="44"/>
        <v>Food Product</v>
      </c>
      <c r="I137" s="80" t="s">
        <v>1170</v>
      </c>
      <c r="J137" t="str">
        <f t="shared" si="45"/>
        <v>Gold</v>
      </c>
      <c r="K137" s="6">
        <v>11</v>
      </c>
      <c r="L137" s="17">
        <f t="shared" si="46"/>
        <v>55000</v>
      </c>
      <c r="M137" s="116">
        <f t="shared" si="47"/>
        <v>0.03</v>
      </c>
      <c r="N137" s="47" t="str">
        <f t="shared" si="48"/>
        <v>5 Point</v>
      </c>
      <c r="O137" s="17">
        <f t="shared" si="49"/>
        <v>603350</v>
      </c>
      <c r="AP137" s="6"/>
      <c r="AQ137" s="235"/>
      <c r="AR137" s="80"/>
      <c r="AT137" s="6"/>
      <c r="AU137" s="17"/>
      <c r="AY137" s="6" t="s">
        <v>1151</v>
      </c>
      <c r="AZ137" s="235" t="s">
        <v>1135</v>
      </c>
      <c r="BA137" s="80" t="s">
        <v>1170</v>
      </c>
      <c r="BB137" s="6">
        <v>11</v>
      </c>
      <c r="BC137" s="17">
        <f t="shared" si="50"/>
        <v>55000</v>
      </c>
      <c r="BD137" s="116">
        <f t="shared" si="51"/>
        <v>0.03</v>
      </c>
      <c r="BE137" s="17">
        <f t="shared" si="52"/>
        <v>603350</v>
      </c>
      <c r="BF137" s="17"/>
      <c r="BG137" s="235" t="s">
        <v>1135</v>
      </c>
      <c r="BH137" s="250">
        <f t="shared" si="43"/>
        <v>700</v>
      </c>
      <c r="BI137" s="250">
        <f>SUMIF(Table13[Category],Table14[[#This Row],[Category]],Table13[[Quantity ]])</f>
        <v>345</v>
      </c>
      <c r="BJ137" s="250">
        <f>Table14[[#This Row],[Inventory]]-Table14[[#This Row],[Update ]]</f>
        <v>355</v>
      </c>
    </row>
    <row r="138" spans="1:62" ht="21" customHeight="1" x14ac:dyDescent="0.35">
      <c r="A138">
        <v>135</v>
      </c>
      <c r="B138" s="136">
        <v>44980</v>
      </c>
      <c r="C138" t="s">
        <v>1022</v>
      </c>
      <c r="D138" s="1" t="s">
        <v>162</v>
      </c>
      <c r="E138" t="s">
        <v>1095</v>
      </c>
      <c r="F138" s="6" t="s">
        <v>1123</v>
      </c>
      <c r="G138" s="6" t="s">
        <v>1151</v>
      </c>
      <c r="H138" s="235" t="str">
        <f t="shared" si="44"/>
        <v>Food Product</v>
      </c>
      <c r="I138" s="80" t="s">
        <v>1170</v>
      </c>
      <c r="J138" t="str">
        <f t="shared" si="45"/>
        <v>Gold</v>
      </c>
      <c r="K138" s="6">
        <v>15</v>
      </c>
      <c r="L138" s="17">
        <f t="shared" si="46"/>
        <v>55000</v>
      </c>
      <c r="M138" s="116">
        <f t="shared" si="47"/>
        <v>0.03</v>
      </c>
      <c r="N138" s="47" t="str">
        <f t="shared" si="48"/>
        <v>10 Point</v>
      </c>
      <c r="O138" s="17">
        <f t="shared" si="49"/>
        <v>823350</v>
      </c>
      <c r="AP138" s="6"/>
      <c r="AQ138" s="235"/>
      <c r="AR138" s="235"/>
      <c r="AT138" s="6"/>
      <c r="AU138" s="17"/>
      <c r="AY138" s="6" t="s">
        <v>1151</v>
      </c>
      <c r="AZ138" s="235" t="s">
        <v>1135</v>
      </c>
      <c r="BA138" s="80" t="s">
        <v>1170</v>
      </c>
      <c r="BB138" s="6">
        <v>15</v>
      </c>
      <c r="BC138" s="17">
        <f t="shared" si="50"/>
        <v>55000</v>
      </c>
      <c r="BD138" s="116">
        <f t="shared" si="51"/>
        <v>0.03</v>
      </c>
      <c r="BE138" s="17">
        <f t="shared" si="52"/>
        <v>823350</v>
      </c>
      <c r="BF138" s="17"/>
      <c r="BG138" s="235" t="s">
        <v>1135</v>
      </c>
      <c r="BH138" s="250">
        <f t="shared" si="43"/>
        <v>700</v>
      </c>
      <c r="BI138" s="250">
        <f>SUMIF(Table13[Category],Table14[[#This Row],[Category]],Table13[[Quantity ]])</f>
        <v>345</v>
      </c>
      <c r="BJ138" s="250">
        <f>Table14[[#This Row],[Inventory]]-Table14[[#This Row],[Update ]]</f>
        <v>355</v>
      </c>
    </row>
    <row r="139" spans="1:62" ht="21" customHeight="1" x14ac:dyDescent="0.35">
      <c r="A139">
        <v>136</v>
      </c>
      <c r="B139" s="136">
        <v>44980</v>
      </c>
      <c r="C139" t="s">
        <v>1023</v>
      </c>
      <c r="D139" s="1" t="s">
        <v>162</v>
      </c>
      <c r="E139" t="s">
        <v>1095</v>
      </c>
      <c r="F139" s="6" t="s">
        <v>1124</v>
      </c>
      <c r="G139" s="6" t="s">
        <v>1139</v>
      </c>
      <c r="H139" s="235" t="str">
        <f t="shared" si="44"/>
        <v>Food Product</v>
      </c>
      <c r="I139" s="80" t="s">
        <v>1160</v>
      </c>
      <c r="J139" t="str">
        <f t="shared" si="45"/>
        <v>Gold</v>
      </c>
      <c r="K139" s="6">
        <v>13</v>
      </c>
      <c r="L139" s="17">
        <f t="shared" si="46"/>
        <v>120000</v>
      </c>
      <c r="M139" s="116">
        <f t="shared" si="47"/>
        <v>0.03</v>
      </c>
      <c r="N139" s="47" t="str">
        <f t="shared" si="48"/>
        <v>15 Point</v>
      </c>
      <c r="O139" s="17">
        <f t="shared" si="49"/>
        <v>1556400</v>
      </c>
      <c r="AP139" s="6"/>
      <c r="AQ139" s="235"/>
      <c r="AR139" s="235"/>
      <c r="AT139" s="6"/>
      <c r="AU139" s="17"/>
      <c r="AY139" s="6" t="s">
        <v>1139</v>
      </c>
      <c r="AZ139" s="235" t="s">
        <v>1135</v>
      </c>
      <c r="BA139" s="80" t="s">
        <v>1160</v>
      </c>
      <c r="BB139" s="6">
        <v>13</v>
      </c>
      <c r="BC139" s="17">
        <f t="shared" si="50"/>
        <v>120000</v>
      </c>
      <c r="BD139" s="116">
        <f t="shared" si="51"/>
        <v>0.03</v>
      </c>
      <c r="BE139" s="17">
        <f t="shared" si="52"/>
        <v>1556400</v>
      </c>
      <c r="BF139" s="17"/>
      <c r="BG139" s="235" t="s">
        <v>1135</v>
      </c>
      <c r="BH139" s="250">
        <f t="shared" si="43"/>
        <v>700</v>
      </c>
      <c r="BI139" s="250">
        <f>SUMIF(Table13[Category],Table14[[#This Row],[Category]],Table13[[Quantity ]])</f>
        <v>345</v>
      </c>
      <c r="BJ139" s="250">
        <f>Table14[[#This Row],[Inventory]]-Table14[[#This Row],[Update ]]</f>
        <v>355</v>
      </c>
    </row>
    <row r="140" spans="1:62" ht="21" customHeight="1" x14ac:dyDescent="0.35">
      <c r="A140">
        <v>137</v>
      </c>
      <c r="B140" s="136">
        <v>44980</v>
      </c>
      <c r="C140" t="s">
        <v>1024</v>
      </c>
      <c r="D140" s="1" t="s">
        <v>163</v>
      </c>
      <c r="E140" t="s">
        <v>1095</v>
      </c>
      <c r="F140" s="6" t="s">
        <v>1125</v>
      </c>
      <c r="G140" s="6" t="s">
        <v>1139</v>
      </c>
      <c r="H140" s="235" t="str">
        <f t="shared" si="44"/>
        <v>Food Product</v>
      </c>
      <c r="I140" s="80" t="s">
        <v>1160</v>
      </c>
      <c r="J140" t="str">
        <f t="shared" si="45"/>
        <v>Gold</v>
      </c>
      <c r="K140" s="6">
        <v>2</v>
      </c>
      <c r="L140" s="17">
        <f t="shared" si="46"/>
        <v>120000</v>
      </c>
      <c r="M140" s="116">
        <f t="shared" si="47"/>
        <v>0.02</v>
      </c>
      <c r="N140" s="47" t="str">
        <f t="shared" si="48"/>
        <v>5 Point</v>
      </c>
      <c r="O140" s="17">
        <f t="shared" si="49"/>
        <v>237600</v>
      </c>
      <c r="AP140" s="6"/>
      <c r="AQ140" s="235"/>
      <c r="AR140" s="235"/>
      <c r="AT140" s="6"/>
      <c r="AU140" s="17"/>
      <c r="AY140" s="6" t="s">
        <v>1139</v>
      </c>
      <c r="AZ140" s="235" t="s">
        <v>1135</v>
      </c>
      <c r="BA140" s="80" t="s">
        <v>1160</v>
      </c>
      <c r="BB140" s="6">
        <v>2</v>
      </c>
      <c r="BC140" s="17">
        <f t="shared" si="50"/>
        <v>120000</v>
      </c>
      <c r="BD140" s="116">
        <f t="shared" si="51"/>
        <v>0.02</v>
      </c>
      <c r="BE140" s="17">
        <f t="shared" si="52"/>
        <v>237600</v>
      </c>
      <c r="BF140" s="17"/>
      <c r="BG140" s="235" t="s">
        <v>1135</v>
      </c>
      <c r="BH140" s="250">
        <f t="shared" si="43"/>
        <v>700</v>
      </c>
      <c r="BI140" s="250">
        <f>SUMIF(Table13[Category],Table14[[#This Row],[Category]],Table13[[Quantity ]])</f>
        <v>345</v>
      </c>
      <c r="BJ140" s="250">
        <f>Table14[[#This Row],[Inventory]]-Table14[[#This Row],[Update ]]</f>
        <v>355</v>
      </c>
    </row>
    <row r="141" spans="1:62" ht="21" customHeight="1" x14ac:dyDescent="0.35">
      <c r="A141">
        <v>138</v>
      </c>
      <c r="B141" s="136">
        <v>44981</v>
      </c>
      <c r="C141" t="s">
        <v>1025</v>
      </c>
      <c r="D141" s="1" t="s">
        <v>162</v>
      </c>
      <c r="E141" t="s">
        <v>1095</v>
      </c>
      <c r="F141" s="6" t="s">
        <v>1126</v>
      </c>
      <c r="G141" s="6" t="s">
        <v>1157</v>
      </c>
      <c r="H141" s="235" t="str">
        <f t="shared" si="44"/>
        <v>Non Food Product</v>
      </c>
      <c r="I141" s="235" t="s">
        <v>1175</v>
      </c>
      <c r="J141" t="str">
        <f t="shared" si="45"/>
        <v>Platinum</v>
      </c>
      <c r="K141" s="6">
        <v>2</v>
      </c>
      <c r="L141" s="17">
        <f t="shared" si="46"/>
        <v>115000</v>
      </c>
      <c r="M141" s="116">
        <f t="shared" si="47"/>
        <v>0.02</v>
      </c>
      <c r="N141" s="47" t="str">
        <f t="shared" si="48"/>
        <v>25 Point</v>
      </c>
      <c r="O141" s="17">
        <f t="shared" si="49"/>
        <v>227700</v>
      </c>
      <c r="AP141" s="6"/>
      <c r="AQ141" s="235"/>
      <c r="AR141" s="80"/>
      <c r="AT141" s="6"/>
      <c r="AU141" s="17"/>
      <c r="AY141" s="6" t="s">
        <v>1157</v>
      </c>
      <c r="AZ141" s="235" t="s">
        <v>1136</v>
      </c>
      <c r="BA141" s="235" t="s">
        <v>1175</v>
      </c>
      <c r="BB141" s="6">
        <v>2</v>
      </c>
      <c r="BC141" s="17">
        <f t="shared" si="50"/>
        <v>115000</v>
      </c>
      <c r="BD141" s="116">
        <f t="shared" si="51"/>
        <v>0.02</v>
      </c>
      <c r="BE141" s="17">
        <f t="shared" si="52"/>
        <v>227700</v>
      </c>
      <c r="BF141" s="17"/>
      <c r="BG141" s="235" t="s">
        <v>1136</v>
      </c>
      <c r="BH141" s="250">
        <f t="shared" si="43"/>
        <v>900</v>
      </c>
      <c r="BI141" s="250">
        <f>SUMIF(Table13[Category],Table14[[#This Row],[Category]],Table13[[Quantity ]])</f>
        <v>299</v>
      </c>
      <c r="BJ141" s="250">
        <f>Table14[[#This Row],[Inventory]]-Table14[[#This Row],[Update ]]</f>
        <v>601</v>
      </c>
    </row>
    <row r="142" spans="1:62" ht="21" customHeight="1" x14ac:dyDescent="0.35">
      <c r="A142">
        <v>139</v>
      </c>
      <c r="B142" s="136">
        <v>44981</v>
      </c>
      <c r="C142" t="s">
        <v>1026</v>
      </c>
      <c r="D142" s="1" t="s">
        <v>162</v>
      </c>
      <c r="E142" t="s">
        <v>1095</v>
      </c>
      <c r="F142" s="6" t="s">
        <v>1127</v>
      </c>
      <c r="G142" s="6" t="s">
        <v>1157</v>
      </c>
      <c r="H142" s="235" t="str">
        <f t="shared" si="44"/>
        <v>Non Food Product</v>
      </c>
      <c r="I142" s="235" t="s">
        <v>1175</v>
      </c>
      <c r="J142" t="str">
        <f t="shared" si="45"/>
        <v>Platinum</v>
      </c>
      <c r="K142" s="6">
        <v>2</v>
      </c>
      <c r="L142" s="17">
        <f t="shared" si="46"/>
        <v>115000</v>
      </c>
      <c r="M142" s="116">
        <f t="shared" si="47"/>
        <v>0.02</v>
      </c>
      <c r="N142" s="47" t="str">
        <f t="shared" si="48"/>
        <v>25 Point</v>
      </c>
      <c r="O142" s="17">
        <f t="shared" si="49"/>
        <v>227700</v>
      </c>
      <c r="AP142" s="6"/>
      <c r="AQ142" s="235"/>
      <c r="AR142" s="80"/>
      <c r="AT142" s="6"/>
      <c r="AU142" s="17"/>
      <c r="AY142" s="6" t="s">
        <v>1157</v>
      </c>
      <c r="AZ142" s="235" t="s">
        <v>1136</v>
      </c>
      <c r="BA142" s="235" t="s">
        <v>1175</v>
      </c>
      <c r="BB142" s="6">
        <v>2</v>
      </c>
      <c r="BC142" s="17">
        <f t="shared" si="50"/>
        <v>115000</v>
      </c>
      <c r="BD142" s="116">
        <f t="shared" si="51"/>
        <v>0.02</v>
      </c>
      <c r="BE142" s="17">
        <f t="shared" si="52"/>
        <v>227700</v>
      </c>
      <c r="BF142" s="17"/>
      <c r="BG142" s="235" t="s">
        <v>1136</v>
      </c>
      <c r="BH142" s="250">
        <f t="shared" si="43"/>
        <v>900</v>
      </c>
      <c r="BI142" s="250">
        <f>SUMIF(Table13[Category],Table14[[#This Row],[Category]],Table13[[Quantity ]])</f>
        <v>299</v>
      </c>
      <c r="BJ142" s="250">
        <f>Table14[[#This Row],[Inventory]]-Table14[[#This Row],[Update ]]</f>
        <v>601</v>
      </c>
    </row>
    <row r="143" spans="1:62" ht="21" customHeight="1" x14ac:dyDescent="0.35">
      <c r="A143">
        <v>140</v>
      </c>
      <c r="B143" s="136">
        <v>44981</v>
      </c>
      <c r="C143" t="s">
        <v>1027</v>
      </c>
      <c r="D143" s="1" t="s">
        <v>162</v>
      </c>
      <c r="E143" t="s">
        <v>1095</v>
      </c>
      <c r="F143" s="6" t="s">
        <v>1103</v>
      </c>
      <c r="G143" s="6" t="s">
        <v>1141</v>
      </c>
      <c r="H143" s="235" t="str">
        <f t="shared" si="44"/>
        <v>Perishable</v>
      </c>
      <c r="I143" s="235" t="s">
        <v>1184</v>
      </c>
      <c r="J143" t="str">
        <f t="shared" si="45"/>
        <v>Gold</v>
      </c>
      <c r="K143" s="6">
        <v>3</v>
      </c>
      <c r="L143" s="17">
        <f t="shared" si="46"/>
        <v>25500</v>
      </c>
      <c r="M143" s="116">
        <f t="shared" si="47"/>
        <v>0.02</v>
      </c>
      <c r="N143" s="47" t="str">
        <f t="shared" si="48"/>
        <v>5 Point</v>
      </c>
      <c r="O143" s="17">
        <f t="shared" si="49"/>
        <v>75990</v>
      </c>
      <c r="AP143" s="6"/>
      <c r="AQ143" s="235"/>
      <c r="AR143" s="80"/>
      <c r="AT143" s="6"/>
      <c r="AU143" s="17"/>
      <c r="AY143" s="6" t="s">
        <v>1141</v>
      </c>
      <c r="AZ143" s="235" t="s">
        <v>1137</v>
      </c>
      <c r="BA143" s="235" t="s">
        <v>1184</v>
      </c>
      <c r="BB143" s="6">
        <v>3</v>
      </c>
      <c r="BC143" s="17">
        <f t="shared" si="50"/>
        <v>25500</v>
      </c>
      <c r="BD143" s="116">
        <f t="shared" si="51"/>
        <v>0.02</v>
      </c>
      <c r="BE143" s="17">
        <f t="shared" si="52"/>
        <v>75990</v>
      </c>
      <c r="BF143" s="17"/>
      <c r="BG143" s="235" t="s">
        <v>1137</v>
      </c>
      <c r="BH143" s="250">
        <f t="shared" si="43"/>
        <v>755</v>
      </c>
      <c r="BI143" s="250">
        <f>SUMIF(Table13[Category],Table14[[#This Row],[Category]],Table13[[Quantity ]])</f>
        <v>241</v>
      </c>
      <c r="BJ143" s="250">
        <f>Table14[[#This Row],[Inventory]]-Table14[[#This Row],[Update ]]</f>
        <v>514</v>
      </c>
    </row>
    <row r="144" spans="1:62" ht="21" customHeight="1" x14ac:dyDescent="0.35">
      <c r="A144">
        <v>141</v>
      </c>
      <c r="B144" s="136">
        <v>44982</v>
      </c>
      <c r="C144" t="s">
        <v>1028</v>
      </c>
      <c r="D144" s="1" t="s">
        <v>162</v>
      </c>
      <c r="E144" t="s">
        <v>1096</v>
      </c>
      <c r="F144" s="6" t="s">
        <v>1128</v>
      </c>
      <c r="G144" s="6" t="s">
        <v>1144</v>
      </c>
      <c r="H144" s="235" t="str">
        <f t="shared" si="44"/>
        <v>Perishable</v>
      </c>
      <c r="I144" s="235" t="s">
        <v>1184</v>
      </c>
      <c r="J144" t="str">
        <f t="shared" si="45"/>
        <v>Gold</v>
      </c>
      <c r="K144" s="6">
        <v>4</v>
      </c>
      <c r="L144" s="17">
        <f t="shared" si="46"/>
        <v>25500</v>
      </c>
      <c r="M144" s="116">
        <f t="shared" si="47"/>
        <v>0.02</v>
      </c>
      <c r="N144" s="47" t="str">
        <f t="shared" si="48"/>
        <v>25 Point</v>
      </c>
      <c r="O144" s="17">
        <f t="shared" ref="O144" si="53">(K144*L144)-(L144*M144)</f>
        <v>101490</v>
      </c>
      <c r="AP144" s="6"/>
      <c r="AQ144" s="235"/>
      <c r="AR144" s="235"/>
      <c r="AT144" s="6"/>
      <c r="AU144" s="17"/>
      <c r="AY144" s="6" t="s">
        <v>1144</v>
      </c>
      <c r="AZ144" s="235" t="s">
        <v>1137</v>
      </c>
      <c r="BA144" s="235" t="s">
        <v>1184</v>
      </c>
      <c r="BB144" s="6">
        <v>4</v>
      </c>
      <c r="BC144" s="17">
        <f t="shared" si="50"/>
        <v>25500</v>
      </c>
      <c r="BD144" s="116">
        <f t="shared" si="51"/>
        <v>0.02</v>
      </c>
      <c r="BE144" s="17">
        <f t="shared" ref="BE144" si="54">(BB144*BC144)-(BC144*BD144)</f>
        <v>101490</v>
      </c>
      <c r="BF144" s="17"/>
      <c r="BG144" s="235" t="s">
        <v>1137</v>
      </c>
      <c r="BH144" s="250">
        <f t="shared" si="43"/>
        <v>755</v>
      </c>
      <c r="BI144" s="250">
        <f>SUMIF(Table13[Category],Table14[[#This Row],[Category]],Table13[[Quantity ]])</f>
        <v>241</v>
      </c>
      <c r="BJ144" s="250">
        <f>Table14[[#This Row],[Inventory]]-Table14[[#This Row],[Update ]]</f>
        <v>514</v>
      </c>
    </row>
    <row r="145" spans="1:62" ht="21" customHeight="1" x14ac:dyDescent="0.35">
      <c r="A145">
        <v>142</v>
      </c>
      <c r="B145" s="136">
        <v>44982</v>
      </c>
      <c r="C145" t="s">
        <v>1029</v>
      </c>
      <c r="D145" s="1" t="s">
        <v>163</v>
      </c>
      <c r="E145" t="s">
        <v>1096</v>
      </c>
      <c r="F145" s="6" t="s">
        <v>1128</v>
      </c>
      <c r="G145" s="6" t="s">
        <v>1149</v>
      </c>
      <c r="H145" s="235" t="str">
        <f t="shared" si="44"/>
        <v>Non Food Product</v>
      </c>
      <c r="I145" s="235" t="s">
        <v>1177</v>
      </c>
      <c r="J145" t="str">
        <f t="shared" si="45"/>
        <v>Gold</v>
      </c>
      <c r="K145" s="6">
        <v>5</v>
      </c>
      <c r="L145" s="17">
        <f t="shared" si="46"/>
        <v>195000</v>
      </c>
      <c r="M145" s="116">
        <f t="shared" si="47"/>
        <v>0.02</v>
      </c>
      <c r="N145" s="47" t="str">
        <f t="shared" si="48"/>
        <v>25 Point</v>
      </c>
      <c r="O145" s="17">
        <f t="shared" ref="O145:O183" si="55">(K145*L145)-(L145*M145)</f>
        <v>971100</v>
      </c>
      <c r="AP145" s="6"/>
      <c r="AQ145" s="235"/>
      <c r="AR145" s="235"/>
      <c r="AT145" s="6"/>
      <c r="AU145" s="17"/>
      <c r="AY145" s="6" t="s">
        <v>1149</v>
      </c>
      <c r="AZ145" s="235" t="s">
        <v>1136</v>
      </c>
      <c r="BA145" s="235" t="s">
        <v>1177</v>
      </c>
      <c r="BB145" s="6">
        <v>5</v>
      </c>
      <c r="BC145" s="17">
        <f t="shared" si="50"/>
        <v>195000</v>
      </c>
      <c r="BD145" s="116">
        <f t="shared" si="51"/>
        <v>0.02</v>
      </c>
      <c r="BE145" s="17">
        <f t="shared" ref="BE145:BE183" si="56">(BB145*BC145)-(BC145*BD145)</f>
        <v>971100</v>
      </c>
      <c r="BF145" s="17"/>
      <c r="BG145" s="235" t="s">
        <v>1136</v>
      </c>
      <c r="BH145" s="250">
        <f t="shared" si="43"/>
        <v>900</v>
      </c>
      <c r="BI145" s="250">
        <f>SUMIF(Table13[Category],Table14[[#This Row],[Category]],Table13[[Quantity ]])</f>
        <v>299</v>
      </c>
      <c r="BJ145" s="250">
        <f>Table14[[#This Row],[Inventory]]-Table14[[#This Row],[Update ]]</f>
        <v>601</v>
      </c>
    </row>
    <row r="146" spans="1:62" ht="21" customHeight="1" x14ac:dyDescent="0.35">
      <c r="A146">
        <v>143</v>
      </c>
      <c r="B146" s="136">
        <v>44982</v>
      </c>
      <c r="C146" t="s">
        <v>1030</v>
      </c>
      <c r="D146" s="1" t="s">
        <v>163</v>
      </c>
      <c r="E146" t="s">
        <v>1096</v>
      </c>
      <c r="F146" s="6" t="s">
        <v>1129</v>
      </c>
      <c r="G146" s="6" t="s">
        <v>1150</v>
      </c>
      <c r="H146" s="235" t="str">
        <f t="shared" si="44"/>
        <v>Non Food Product</v>
      </c>
      <c r="I146" s="235" t="s">
        <v>1176</v>
      </c>
      <c r="J146" t="str">
        <f t="shared" si="45"/>
        <v>Gold</v>
      </c>
      <c r="K146" s="6">
        <v>7</v>
      </c>
      <c r="L146" s="17">
        <f t="shared" si="46"/>
        <v>45500</v>
      </c>
      <c r="M146" s="116">
        <f t="shared" si="47"/>
        <v>0.02</v>
      </c>
      <c r="N146" s="47" t="str">
        <f t="shared" si="48"/>
        <v>25 Point</v>
      </c>
      <c r="O146" s="17">
        <f t="shared" si="55"/>
        <v>317590</v>
      </c>
      <c r="AP146" s="6"/>
      <c r="AQ146" s="235"/>
      <c r="AR146" s="80"/>
      <c r="AT146" s="6"/>
      <c r="AU146" s="17"/>
      <c r="AY146" s="6" t="s">
        <v>1150</v>
      </c>
      <c r="AZ146" s="235" t="s">
        <v>1136</v>
      </c>
      <c r="BA146" s="235" t="s">
        <v>1176</v>
      </c>
      <c r="BB146" s="6">
        <v>7</v>
      </c>
      <c r="BC146" s="17">
        <f t="shared" si="50"/>
        <v>45500</v>
      </c>
      <c r="BD146" s="116">
        <f t="shared" si="51"/>
        <v>0.02</v>
      </c>
      <c r="BE146" s="17">
        <f t="shared" si="56"/>
        <v>317590</v>
      </c>
      <c r="BF146" s="17"/>
      <c r="BG146" s="235" t="s">
        <v>1136</v>
      </c>
      <c r="BH146" s="250">
        <f t="shared" si="43"/>
        <v>900</v>
      </c>
      <c r="BI146" s="250">
        <f>SUMIF(Table13[Category],Table14[[#This Row],[Category]],Table13[[Quantity ]])</f>
        <v>299</v>
      </c>
      <c r="BJ146" s="250">
        <f>Table14[[#This Row],[Inventory]]-Table14[[#This Row],[Update ]]</f>
        <v>601</v>
      </c>
    </row>
    <row r="147" spans="1:62" ht="21" customHeight="1" x14ac:dyDescent="0.35">
      <c r="A147">
        <v>144</v>
      </c>
      <c r="B147" s="136">
        <v>44982</v>
      </c>
      <c r="C147" t="s">
        <v>1031</v>
      </c>
      <c r="D147" s="1" t="s">
        <v>163</v>
      </c>
      <c r="E147" t="s">
        <v>1096</v>
      </c>
      <c r="F147" s="6" t="s">
        <v>1118</v>
      </c>
      <c r="G147" s="6" t="s">
        <v>1150</v>
      </c>
      <c r="H147" s="235" t="str">
        <f t="shared" si="44"/>
        <v>Non Food Product</v>
      </c>
      <c r="I147" s="235" t="s">
        <v>1176</v>
      </c>
      <c r="J147" t="str">
        <f t="shared" si="45"/>
        <v>Silver</v>
      </c>
      <c r="K147" s="6">
        <v>7</v>
      </c>
      <c r="L147" s="17">
        <f t="shared" si="46"/>
        <v>45500</v>
      </c>
      <c r="M147" s="116">
        <f t="shared" si="47"/>
        <v>0.02</v>
      </c>
      <c r="N147" s="47" t="str">
        <f t="shared" si="48"/>
        <v>15 Point</v>
      </c>
      <c r="O147" s="17">
        <f t="shared" si="55"/>
        <v>317590</v>
      </c>
      <c r="AP147" s="6"/>
      <c r="AQ147" s="235"/>
      <c r="AR147" s="235"/>
      <c r="AT147" s="6"/>
      <c r="AU147" s="17"/>
      <c r="AY147" s="6" t="s">
        <v>1150</v>
      </c>
      <c r="AZ147" s="235" t="s">
        <v>1136</v>
      </c>
      <c r="BA147" s="235" t="s">
        <v>1176</v>
      </c>
      <c r="BB147" s="6">
        <v>7</v>
      </c>
      <c r="BC147" s="17">
        <f t="shared" si="50"/>
        <v>45500</v>
      </c>
      <c r="BD147" s="116">
        <f t="shared" si="51"/>
        <v>0.02</v>
      </c>
      <c r="BE147" s="17">
        <f t="shared" si="56"/>
        <v>317590</v>
      </c>
      <c r="BF147" s="17"/>
      <c r="BG147" s="235" t="s">
        <v>1136</v>
      </c>
      <c r="BH147" s="250">
        <f t="shared" si="43"/>
        <v>900</v>
      </c>
      <c r="BI147" s="250">
        <f>SUMIF(Table13[Category],Table14[[#This Row],[Category]],Table13[[Quantity ]])</f>
        <v>299</v>
      </c>
      <c r="BJ147" s="250">
        <f>Table14[[#This Row],[Inventory]]-Table14[[#This Row],[Update ]]</f>
        <v>601</v>
      </c>
    </row>
    <row r="148" spans="1:62" ht="21" customHeight="1" x14ac:dyDescent="0.35">
      <c r="A148">
        <v>145</v>
      </c>
      <c r="B148" s="136">
        <v>44982</v>
      </c>
      <c r="C148" t="s">
        <v>1032</v>
      </c>
      <c r="D148" s="1" t="s">
        <v>163</v>
      </c>
      <c r="E148" t="s">
        <v>1096</v>
      </c>
      <c r="F148" s="6" t="s">
        <v>1118</v>
      </c>
      <c r="G148" s="6" t="s">
        <v>1140</v>
      </c>
      <c r="H148" s="235" t="str">
        <f t="shared" si="44"/>
        <v>Non Food Product</v>
      </c>
      <c r="I148" s="235" t="s">
        <v>1176</v>
      </c>
      <c r="J148" t="str">
        <f t="shared" si="45"/>
        <v>Silver</v>
      </c>
      <c r="K148" s="6">
        <v>5</v>
      </c>
      <c r="L148" s="17">
        <f t="shared" si="46"/>
        <v>45500</v>
      </c>
      <c r="M148" s="116">
        <f t="shared" si="47"/>
        <v>0.02</v>
      </c>
      <c r="N148" s="47" t="str">
        <f t="shared" si="48"/>
        <v>15 Point</v>
      </c>
      <c r="O148" s="17">
        <f t="shared" si="55"/>
        <v>226590</v>
      </c>
      <c r="AP148" s="6"/>
      <c r="AQ148" s="235"/>
      <c r="AR148" s="80"/>
      <c r="AT148" s="6"/>
      <c r="AU148" s="17"/>
      <c r="AY148" s="6" t="s">
        <v>1140</v>
      </c>
      <c r="AZ148" s="235" t="s">
        <v>1136</v>
      </c>
      <c r="BA148" s="235" t="s">
        <v>1176</v>
      </c>
      <c r="BB148" s="6">
        <v>5</v>
      </c>
      <c r="BC148" s="17">
        <f t="shared" si="50"/>
        <v>45500</v>
      </c>
      <c r="BD148" s="116">
        <f t="shared" si="51"/>
        <v>0.02</v>
      </c>
      <c r="BE148" s="17">
        <f t="shared" si="56"/>
        <v>226590</v>
      </c>
      <c r="BF148" s="17"/>
      <c r="BG148" s="235" t="s">
        <v>1136</v>
      </c>
      <c r="BH148" s="250">
        <f t="shared" si="43"/>
        <v>900</v>
      </c>
      <c r="BI148" s="250">
        <f>SUMIF(Table13[Category],Table14[[#This Row],[Category]],Table13[[Quantity ]])</f>
        <v>299</v>
      </c>
      <c r="BJ148" s="250">
        <f>Table14[[#This Row],[Inventory]]-Table14[[#This Row],[Update ]]</f>
        <v>601</v>
      </c>
    </row>
    <row r="149" spans="1:62" ht="21" customHeight="1" x14ac:dyDescent="0.35">
      <c r="A149">
        <v>146</v>
      </c>
      <c r="B149" s="136">
        <v>44983</v>
      </c>
      <c r="C149" t="s">
        <v>1033</v>
      </c>
      <c r="D149" s="1" t="s">
        <v>162</v>
      </c>
      <c r="E149" t="s">
        <v>1096</v>
      </c>
      <c r="F149" s="6" t="s">
        <v>1127</v>
      </c>
      <c r="G149" s="6" t="s">
        <v>1149</v>
      </c>
      <c r="H149" s="235" t="str">
        <f t="shared" si="44"/>
        <v>Non Food Product</v>
      </c>
      <c r="I149" s="235" t="s">
        <v>1177</v>
      </c>
      <c r="J149" t="str">
        <f t="shared" si="45"/>
        <v>Platinum</v>
      </c>
      <c r="K149" s="6">
        <v>4</v>
      </c>
      <c r="L149" s="17">
        <f t="shared" si="46"/>
        <v>195000</v>
      </c>
      <c r="M149" s="116">
        <f t="shared" si="47"/>
        <v>0.02</v>
      </c>
      <c r="N149" s="47" t="str">
        <f t="shared" si="48"/>
        <v>25 Point</v>
      </c>
      <c r="O149" s="17">
        <f t="shared" si="55"/>
        <v>776100</v>
      </c>
      <c r="AP149" s="6"/>
      <c r="AQ149" s="235"/>
      <c r="AR149" s="80"/>
      <c r="AT149" s="6"/>
      <c r="AU149" s="17"/>
      <c r="AY149" s="6" t="s">
        <v>1149</v>
      </c>
      <c r="AZ149" s="235" t="s">
        <v>1136</v>
      </c>
      <c r="BA149" s="235" t="s">
        <v>1177</v>
      </c>
      <c r="BB149" s="6">
        <v>4</v>
      </c>
      <c r="BC149" s="17">
        <f t="shared" si="50"/>
        <v>195000</v>
      </c>
      <c r="BD149" s="116">
        <f t="shared" si="51"/>
        <v>0.02</v>
      </c>
      <c r="BE149" s="17">
        <f t="shared" si="56"/>
        <v>776100</v>
      </c>
      <c r="BF149" s="17"/>
      <c r="BG149" s="235" t="s">
        <v>1136</v>
      </c>
      <c r="BH149" s="250">
        <f t="shared" si="43"/>
        <v>900</v>
      </c>
      <c r="BI149" s="250">
        <f>SUMIF(Table13[Category],Table14[[#This Row],[Category]],Table13[[Quantity ]])</f>
        <v>299</v>
      </c>
      <c r="BJ149" s="250">
        <f>Table14[[#This Row],[Inventory]]-Table14[[#This Row],[Update ]]</f>
        <v>601</v>
      </c>
    </row>
    <row r="150" spans="1:62" ht="21" customHeight="1" x14ac:dyDescent="0.35">
      <c r="A150">
        <v>147</v>
      </c>
      <c r="B150" s="136">
        <v>44983</v>
      </c>
      <c r="C150" t="s">
        <v>1034</v>
      </c>
      <c r="D150" s="1" t="s">
        <v>163</v>
      </c>
      <c r="E150" t="s">
        <v>1093</v>
      </c>
      <c r="F150" s="6" t="s">
        <v>1121</v>
      </c>
      <c r="G150" s="6" t="s">
        <v>1139</v>
      </c>
      <c r="H150" s="235" t="str">
        <f t="shared" si="44"/>
        <v>Food Product</v>
      </c>
      <c r="I150" s="80" t="s">
        <v>1159</v>
      </c>
      <c r="J150" t="str">
        <f t="shared" si="45"/>
        <v>Silver</v>
      </c>
      <c r="K150" s="6">
        <v>6</v>
      </c>
      <c r="L150" s="17">
        <f t="shared" si="46"/>
        <v>75000</v>
      </c>
      <c r="M150" s="116">
        <f t="shared" si="47"/>
        <v>0.02</v>
      </c>
      <c r="N150" s="47" t="str">
        <f t="shared" si="48"/>
        <v>5 Point</v>
      </c>
      <c r="O150" s="17">
        <f t="shared" si="55"/>
        <v>448500</v>
      </c>
      <c r="AP150" s="6"/>
      <c r="AQ150" s="235"/>
      <c r="AR150" s="80"/>
      <c r="AT150" s="6"/>
      <c r="AU150" s="17"/>
      <c r="AY150" s="6" t="s">
        <v>1139</v>
      </c>
      <c r="AZ150" s="235" t="s">
        <v>1135</v>
      </c>
      <c r="BA150" s="80" t="s">
        <v>1159</v>
      </c>
      <c r="BB150" s="6">
        <v>6</v>
      </c>
      <c r="BC150" s="17">
        <f t="shared" si="50"/>
        <v>75000</v>
      </c>
      <c r="BD150" s="116">
        <f t="shared" si="51"/>
        <v>0.02</v>
      </c>
      <c r="BE150" s="17">
        <f t="shared" si="56"/>
        <v>448500</v>
      </c>
      <c r="BF150" s="17"/>
      <c r="BG150" s="235" t="s">
        <v>1135</v>
      </c>
      <c r="BH150" s="250">
        <f t="shared" si="43"/>
        <v>700</v>
      </c>
      <c r="BI150" s="250">
        <f>SUMIF(Table13[Category],Table14[[#This Row],[Category]],Table13[[Quantity ]])</f>
        <v>345</v>
      </c>
      <c r="BJ150" s="250">
        <f>Table14[[#This Row],[Inventory]]-Table14[[#This Row],[Update ]]</f>
        <v>355</v>
      </c>
    </row>
    <row r="151" spans="1:62" ht="21" customHeight="1" x14ac:dyDescent="0.35">
      <c r="A151">
        <v>148</v>
      </c>
      <c r="B151" s="136">
        <v>44983</v>
      </c>
      <c r="C151" t="s">
        <v>1035</v>
      </c>
      <c r="D151" s="1" t="s">
        <v>163</v>
      </c>
      <c r="E151" t="s">
        <v>1096</v>
      </c>
      <c r="F151" s="6" t="s">
        <v>1121</v>
      </c>
      <c r="G151" s="6" t="s">
        <v>1151</v>
      </c>
      <c r="H151" s="235" t="str">
        <f t="shared" si="44"/>
        <v>Food Product</v>
      </c>
      <c r="I151" s="80" t="s">
        <v>1170</v>
      </c>
      <c r="J151" t="str">
        <f t="shared" si="45"/>
        <v>Silver</v>
      </c>
      <c r="K151" s="6">
        <v>8</v>
      </c>
      <c r="L151" s="17">
        <f t="shared" si="46"/>
        <v>55000</v>
      </c>
      <c r="M151" s="116">
        <f t="shared" si="47"/>
        <v>0.02</v>
      </c>
      <c r="N151" s="47" t="str">
        <f t="shared" si="48"/>
        <v>5 Point</v>
      </c>
      <c r="O151" s="17">
        <f t="shared" si="55"/>
        <v>438900</v>
      </c>
      <c r="AP151" s="6"/>
      <c r="AQ151" s="235"/>
      <c r="AR151" s="80"/>
      <c r="AT151" s="6"/>
      <c r="AU151" s="17"/>
      <c r="AY151" s="6" t="s">
        <v>1151</v>
      </c>
      <c r="AZ151" s="235" t="s">
        <v>1135</v>
      </c>
      <c r="BA151" s="80" t="s">
        <v>1170</v>
      </c>
      <c r="BB151" s="6">
        <v>8</v>
      </c>
      <c r="BC151" s="17">
        <f t="shared" si="50"/>
        <v>55000</v>
      </c>
      <c r="BD151" s="116">
        <f t="shared" si="51"/>
        <v>0.02</v>
      </c>
      <c r="BE151" s="17">
        <f t="shared" si="56"/>
        <v>438900</v>
      </c>
      <c r="BF151" s="17"/>
      <c r="BG151" s="235" t="s">
        <v>1135</v>
      </c>
      <c r="BH151" s="250">
        <f t="shared" si="43"/>
        <v>700</v>
      </c>
      <c r="BI151" s="250">
        <f>SUMIF(Table13[Category],Table14[[#This Row],[Category]],Table13[[Quantity ]])</f>
        <v>345</v>
      </c>
      <c r="BJ151" s="250">
        <f>Table14[[#This Row],[Inventory]]-Table14[[#This Row],[Update ]]</f>
        <v>355</v>
      </c>
    </row>
    <row r="152" spans="1:62" ht="21" customHeight="1" x14ac:dyDescent="0.35">
      <c r="A152">
        <v>149</v>
      </c>
      <c r="B152" s="136">
        <v>44983</v>
      </c>
      <c r="C152" t="s">
        <v>1036</v>
      </c>
      <c r="D152" s="1" t="s">
        <v>162</v>
      </c>
      <c r="E152" t="s">
        <v>1096</v>
      </c>
      <c r="F152" s="6" t="s">
        <v>1128</v>
      </c>
      <c r="G152" s="6" t="s">
        <v>1152</v>
      </c>
      <c r="H152" s="235" t="str">
        <f t="shared" si="44"/>
        <v>Food Product</v>
      </c>
      <c r="I152" s="80" t="s">
        <v>1160</v>
      </c>
      <c r="J152" t="str">
        <f t="shared" si="45"/>
        <v>Gold</v>
      </c>
      <c r="K152" s="6">
        <v>8</v>
      </c>
      <c r="L152" s="17">
        <f t="shared" si="46"/>
        <v>120000</v>
      </c>
      <c r="M152" s="116">
        <f t="shared" si="47"/>
        <v>0.02</v>
      </c>
      <c r="N152" s="47" t="str">
        <f t="shared" si="48"/>
        <v>25 Point</v>
      </c>
      <c r="O152" s="17">
        <f t="shared" si="55"/>
        <v>957600</v>
      </c>
      <c r="AP152" s="6"/>
      <c r="AQ152" s="235"/>
      <c r="AR152" s="235"/>
      <c r="AT152" s="6"/>
      <c r="AU152" s="17"/>
      <c r="AY152" s="6" t="s">
        <v>1152</v>
      </c>
      <c r="AZ152" s="235" t="s">
        <v>1135</v>
      </c>
      <c r="BA152" s="80" t="s">
        <v>1160</v>
      </c>
      <c r="BB152" s="6">
        <v>8</v>
      </c>
      <c r="BC152" s="17">
        <f t="shared" si="50"/>
        <v>120000</v>
      </c>
      <c r="BD152" s="116">
        <f t="shared" si="51"/>
        <v>0.02</v>
      </c>
      <c r="BE152" s="17">
        <f t="shared" si="56"/>
        <v>957600</v>
      </c>
      <c r="BF152" s="17"/>
      <c r="BG152" s="235" t="s">
        <v>1135</v>
      </c>
      <c r="BH152" s="250">
        <f t="shared" si="43"/>
        <v>700</v>
      </c>
      <c r="BI152" s="250">
        <f>SUMIF(Table13[Category],Table14[[#This Row],[Category]],Table13[[Quantity ]])</f>
        <v>345</v>
      </c>
      <c r="BJ152" s="250">
        <f>Table14[[#This Row],[Inventory]]-Table14[[#This Row],[Update ]]</f>
        <v>355</v>
      </c>
    </row>
    <row r="153" spans="1:62" ht="21" customHeight="1" x14ac:dyDescent="0.35">
      <c r="A153">
        <v>150</v>
      </c>
      <c r="B153" s="136">
        <v>44984</v>
      </c>
      <c r="C153" t="s">
        <v>1037</v>
      </c>
      <c r="D153" s="1" t="s">
        <v>163</v>
      </c>
      <c r="E153" t="s">
        <v>1093</v>
      </c>
      <c r="F153" s="6" t="s">
        <v>1127</v>
      </c>
      <c r="G153" s="6" t="s">
        <v>1144</v>
      </c>
      <c r="H153" s="235" t="str">
        <f t="shared" si="44"/>
        <v>Perishable</v>
      </c>
      <c r="I153" s="235" t="s">
        <v>1184</v>
      </c>
      <c r="J153" t="str">
        <f t="shared" si="45"/>
        <v>Platinum</v>
      </c>
      <c r="K153" s="6">
        <v>9</v>
      </c>
      <c r="L153" s="17">
        <f t="shared" si="46"/>
        <v>25500</v>
      </c>
      <c r="M153" s="116">
        <f t="shared" si="47"/>
        <v>0.03</v>
      </c>
      <c r="N153" s="47" t="str">
        <f t="shared" si="48"/>
        <v>25 Point</v>
      </c>
      <c r="O153" s="17">
        <f t="shared" si="55"/>
        <v>228735</v>
      </c>
      <c r="AP153" s="6"/>
      <c r="AQ153" s="235"/>
      <c r="AR153" s="235"/>
      <c r="AT153" s="6"/>
      <c r="AU153" s="17"/>
      <c r="AY153" s="6" t="s">
        <v>1144</v>
      </c>
      <c r="AZ153" s="235" t="s">
        <v>1137</v>
      </c>
      <c r="BA153" s="235" t="s">
        <v>1184</v>
      </c>
      <c r="BB153" s="6">
        <v>9</v>
      </c>
      <c r="BC153" s="17">
        <f t="shared" si="50"/>
        <v>25500</v>
      </c>
      <c r="BD153" s="116">
        <f t="shared" si="51"/>
        <v>0.03</v>
      </c>
      <c r="BE153" s="17">
        <f t="shared" si="56"/>
        <v>228735</v>
      </c>
      <c r="BF153" s="17"/>
      <c r="BG153" s="235" t="s">
        <v>1137</v>
      </c>
      <c r="BH153" s="250">
        <f t="shared" si="43"/>
        <v>755</v>
      </c>
      <c r="BI153" s="250">
        <f>SUMIF(Table13[Category],Table14[[#This Row],[Category]],Table13[[Quantity ]])</f>
        <v>241</v>
      </c>
      <c r="BJ153" s="250">
        <f>Table14[[#This Row],[Inventory]]-Table14[[#This Row],[Update ]]</f>
        <v>514</v>
      </c>
    </row>
    <row r="154" spans="1:62" ht="21" customHeight="1" x14ac:dyDescent="0.35">
      <c r="A154">
        <v>151</v>
      </c>
      <c r="B154" s="136">
        <v>44984</v>
      </c>
      <c r="C154" t="s">
        <v>1038</v>
      </c>
      <c r="D154" s="1" t="s">
        <v>162</v>
      </c>
      <c r="E154" t="s">
        <v>1093</v>
      </c>
      <c r="F154" s="6" t="s">
        <v>1118</v>
      </c>
      <c r="G154" s="6" t="s">
        <v>1152</v>
      </c>
      <c r="H154" s="235" t="str">
        <f t="shared" si="44"/>
        <v>Food Product</v>
      </c>
      <c r="I154" s="80" t="s">
        <v>1160</v>
      </c>
      <c r="J154" t="str">
        <f t="shared" si="45"/>
        <v>Silver</v>
      </c>
      <c r="K154" s="6">
        <v>11</v>
      </c>
      <c r="L154" s="17">
        <f t="shared" si="46"/>
        <v>120000</v>
      </c>
      <c r="M154" s="116">
        <f t="shared" si="47"/>
        <v>0.03</v>
      </c>
      <c r="N154" s="47" t="str">
        <f t="shared" si="48"/>
        <v>15 Point</v>
      </c>
      <c r="O154" s="17">
        <f t="shared" si="55"/>
        <v>1316400</v>
      </c>
      <c r="AP154" s="6"/>
      <c r="AQ154" s="235"/>
      <c r="AR154" s="235"/>
      <c r="AT154" s="6"/>
      <c r="AU154" s="17"/>
      <c r="AY154" s="6" t="s">
        <v>1152</v>
      </c>
      <c r="AZ154" s="235" t="s">
        <v>1135</v>
      </c>
      <c r="BA154" s="80" t="s">
        <v>1160</v>
      </c>
      <c r="BB154" s="6">
        <v>11</v>
      </c>
      <c r="BC154" s="17">
        <f t="shared" si="50"/>
        <v>120000</v>
      </c>
      <c r="BD154" s="116">
        <f t="shared" si="51"/>
        <v>0.03</v>
      </c>
      <c r="BE154" s="17">
        <f t="shared" si="56"/>
        <v>1316400</v>
      </c>
      <c r="BF154" s="17"/>
      <c r="BG154" s="235" t="s">
        <v>1135</v>
      </c>
      <c r="BH154" s="250">
        <f t="shared" ref="BH154:BH183" si="57">IF(AZ154="Food Product",700,IF(AZ154="Non Food Product",900,IF(AZ154="General Merchandise Product",855,755)))</f>
        <v>700</v>
      </c>
      <c r="BI154" s="250">
        <f>SUMIF(Table13[Category],Table14[[#This Row],[Category]],Table13[[Quantity ]])</f>
        <v>345</v>
      </c>
      <c r="BJ154" s="250">
        <f>Table14[[#This Row],[Inventory]]-Table14[[#This Row],[Update ]]</f>
        <v>355</v>
      </c>
    </row>
    <row r="155" spans="1:62" ht="21" customHeight="1" x14ac:dyDescent="0.35">
      <c r="A155">
        <v>152</v>
      </c>
      <c r="B155" s="136">
        <v>44984</v>
      </c>
      <c r="C155" t="s">
        <v>1039</v>
      </c>
      <c r="D155" s="1" t="s">
        <v>162</v>
      </c>
      <c r="E155" t="s">
        <v>1093</v>
      </c>
      <c r="F155" s="6" t="s">
        <v>1118</v>
      </c>
      <c r="G155" s="6" t="s">
        <v>1139</v>
      </c>
      <c r="H155" s="235" t="str">
        <f t="shared" si="44"/>
        <v>Food Product</v>
      </c>
      <c r="I155" s="80" t="s">
        <v>1170</v>
      </c>
      <c r="J155" t="str">
        <f t="shared" si="45"/>
        <v>Silver</v>
      </c>
      <c r="K155" s="6">
        <v>10</v>
      </c>
      <c r="L155" s="17">
        <f t="shared" si="46"/>
        <v>55000</v>
      </c>
      <c r="M155" s="116">
        <f t="shared" si="47"/>
        <v>0.03</v>
      </c>
      <c r="N155" s="47" t="str">
        <f t="shared" si="48"/>
        <v>15 Point</v>
      </c>
      <c r="O155" s="17">
        <f t="shared" si="55"/>
        <v>548350</v>
      </c>
      <c r="AP155" s="6"/>
      <c r="AQ155" s="235"/>
      <c r="AR155" s="235"/>
      <c r="AT155" s="6"/>
      <c r="AU155" s="17"/>
      <c r="AY155" s="6" t="s">
        <v>1139</v>
      </c>
      <c r="AZ155" s="235" t="s">
        <v>1135</v>
      </c>
      <c r="BA155" s="80" t="s">
        <v>1170</v>
      </c>
      <c r="BB155" s="6">
        <v>10</v>
      </c>
      <c r="BC155" s="17">
        <f t="shared" si="50"/>
        <v>55000</v>
      </c>
      <c r="BD155" s="116">
        <f t="shared" si="51"/>
        <v>0.03</v>
      </c>
      <c r="BE155" s="17">
        <f t="shared" si="56"/>
        <v>548350</v>
      </c>
      <c r="BF155" s="17"/>
      <c r="BG155" s="235" t="s">
        <v>1135</v>
      </c>
      <c r="BH155" s="250">
        <f t="shared" si="57"/>
        <v>700</v>
      </c>
      <c r="BI155" s="250">
        <f>SUMIF(Table13[Category],Table14[[#This Row],[Category]],Table13[[Quantity ]])</f>
        <v>345</v>
      </c>
      <c r="BJ155" s="250">
        <f>Table14[[#This Row],[Inventory]]-Table14[[#This Row],[Update ]]</f>
        <v>355</v>
      </c>
    </row>
    <row r="156" spans="1:62" ht="21" customHeight="1" x14ac:dyDescent="0.35">
      <c r="A156">
        <v>153</v>
      </c>
      <c r="B156" s="136">
        <v>44984</v>
      </c>
      <c r="C156" t="s">
        <v>1040</v>
      </c>
      <c r="D156" s="1" t="s">
        <v>162</v>
      </c>
      <c r="E156" t="s">
        <v>1096</v>
      </c>
      <c r="F156" s="6" t="s">
        <v>1128</v>
      </c>
      <c r="G156" s="6" t="s">
        <v>1152</v>
      </c>
      <c r="H156" s="235" t="str">
        <f t="shared" si="44"/>
        <v>Food Product</v>
      </c>
      <c r="I156" s="80" t="s">
        <v>1160</v>
      </c>
      <c r="J156" t="str">
        <f t="shared" si="45"/>
        <v>Gold</v>
      </c>
      <c r="K156" s="6">
        <v>9</v>
      </c>
      <c r="L156" s="17">
        <f t="shared" si="46"/>
        <v>120000</v>
      </c>
      <c r="M156" s="116">
        <f t="shared" si="47"/>
        <v>0.03</v>
      </c>
      <c r="N156" s="47" t="str">
        <f t="shared" si="48"/>
        <v>25 Point</v>
      </c>
      <c r="O156" s="17">
        <f t="shared" si="55"/>
        <v>1076400</v>
      </c>
      <c r="AP156" s="6"/>
      <c r="AQ156" s="235"/>
      <c r="AR156" s="235"/>
      <c r="AT156" s="6"/>
      <c r="AU156" s="17"/>
      <c r="AY156" s="6" t="s">
        <v>1152</v>
      </c>
      <c r="AZ156" s="235" t="s">
        <v>1135</v>
      </c>
      <c r="BA156" s="80" t="s">
        <v>1160</v>
      </c>
      <c r="BB156" s="6">
        <v>9</v>
      </c>
      <c r="BC156" s="17">
        <f t="shared" si="50"/>
        <v>120000</v>
      </c>
      <c r="BD156" s="116">
        <f t="shared" si="51"/>
        <v>0.03</v>
      </c>
      <c r="BE156" s="17">
        <f t="shared" si="56"/>
        <v>1076400</v>
      </c>
      <c r="BF156" s="17"/>
      <c r="BG156" s="235" t="s">
        <v>1135</v>
      </c>
      <c r="BH156" s="250">
        <f t="shared" si="57"/>
        <v>700</v>
      </c>
      <c r="BI156" s="250">
        <f>SUMIF(Table13[Category],Table14[[#This Row],[Category]],Table13[[Quantity ]])</f>
        <v>345</v>
      </c>
      <c r="BJ156" s="250">
        <f>Table14[[#This Row],[Inventory]]-Table14[[#This Row],[Update ]]</f>
        <v>355</v>
      </c>
    </row>
    <row r="157" spans="1:62" ht="21" customHeight="1" x14ac:dyDescent="0.35">
      <c r="A157">
        <v>154</v>
      </c>
      <c r="B157" s="136">
        <v>44985</v>
      </c>
      <c r="C157" t="s">
        <v>1041</v>
      </c>
      <c r="D157" s="1" t="s">
        <v>162</v>
      </c>
      <c r="E157" t="s">
        <v>1096</v>
      </c>
      <c r="F157" s="6" t="s">
        <v>1128</v>
      </c>
      <c r="G157" s="6" t="s">
        <v>1153</v>
      </c>
      <c r="H157" s="235" t="str">
        <f t="shared" si="44"/>
        <v>General Merchandise Product</v>
      </c>
      <c r="I157" s="80" t="s">
        <v>1180</v>
      </c>
      <c r="J157" t="str">
        <f t="shared" si="45"/>
        <v>Gold</v>
      </c>
      <c r="K157" s="6">
        <v>5</v>
      </c>
      <c r="L157" s="17">
        <f t="shared" si="46"/>
        <v>75000</v>
      </c>
      <c r="M157" s="116">
        <f t="shared" si="47"/>
        <v>0.02</v>
      </c>
      <c r="N157" s="47" t="str">
        <f t="shared" si="48"/>
        <v>25 Point</v>
      </c>
      <c r="O157" s="17">
        <f t="shared" si="55"/>
        <v>373500</v>
      </c>
      <c r="AP157" s="6"/>
      <c r="AQ157" s="235"/>
      <c r="AR157" s="235"/>
      <c r="AT157" s="6"/>
      <c r="AU157" s="17"/>
      <c r="AY157" s="6" t="s">
        <v>1153</v>
      </c>
      <c r="AZ157" s="235" t="s">
        <v>1138</v>
      </c>
      <c r="BA157" s="80" t="s">
        <v>1180</v>
      </c>
      <c r="BB157" s="6">
        <v>5</v>
      </c>
      <c r="BC157" s="17">
        <f t="shared" si="50"/>
        <v>75000</v>
      </c>
      <c r="BD157" s="116">
        <f t="shared" si="51"/>
        <v>0.02</v>
      </c>
      <c r="BE157" s="17">
        <f t="shared" si="56"/>
        <v>373500</v>
      </c>
      <c r="BF157" s="17"/>
      <c r="BG157" s="235" t="s">
        <v>1138</v>
      </c>
      <c r="BH157" s="250">
        <f t="shared" si="57"/>
        <v>855</v>
      </c>
      <c r="BI157" s="250">
        <f>SUMIF(Table13[Category],Table14[[#This Row],[Category]],Table13[[Quantity ]])</f>
        <v>215</v>
      </c>
      <c r="BJ157" s="250">
        <f>Table14[[#This Row],[Inventory]]-Table14[[#This Row],[Update ]]</f>
        <v>640</v>
      </c>
    </row>
    <row r="158" spans="1:62" ht="21" customHeight="1" x14ac:dyDescent="0.35">
      <c r="A158">
        <v>155</v>
      </c>
      <c r="B158" s="136">
        <v>44985</v>
      </c>
      <c r="C158" t="s">
        <v>1042</v>
      </c>
      <c r="D158" s="1" t="s">
        <v>162</v>
      </c>
      <c r="E158" t="s">
        <v>1096</v>
      </c>
      <c r="F158" s="6" t="s">
        <v>1127</v>
      </c>
      <c r="G158" s="6" t="s">
        <v>1153</v>
      </c>
      <c r="H158" s="235" t="str">
        <f t="shared" si="44"/>
        <v>General Merchandise Product</v>
      </c>
      <c r="I158" s="80" t="s">
        <v>1179</v>
      </c>
      <c r="J158" t="str">
        <f t="shared" si="45"/>
        <v>Platinum</v>
      </c>
      <c r="K158" s="6">
        <v>5</v>
      </c>
      <c r="L158" s="17">
        <f t="shared" si="46"/>
        <v>85000</v>
      </c>
      <c r="M158" s="116">
        <f t="shared" si="47"/>
        <v>0.02</v>
      </c>
      <c r="N158" s="47" t="str">
        <f t="shared" si="48"/>
        <v>25 Point</v>
      </c>
      <c r="O158" s="17">
        <f t="shared" si="55"/>
        <v>423300</v>
      </c>
      <c r="AP158" s="6"/>
      <c r="AQ158" s="235"/>
      <c r="AR158" s="235"/>
      <c r="AT158" s="6"/>
      <c r="AU158" s="17"/>
      <c r="AY158" s="6" t="s">
        <v>1153</v>
      </c>
      <c r="AZ158" s="235" t="s">
        <v>1138</v>
      </c>
      <c r="BA158" s="80" t="s">
        <v>1179</v>
      </c>
      <c r="BB158" s="6">
        <v>5</v>
      </c>
      <c r="BC158" s="17">
        <f t="shared" si="50"/>
        <v>85000</v>
      </c>
      <c r="BD158" s="116">
        <f t="shared" si="51"/>
        <v>0.02</v>
      </c>
      <c r="BE158" s="17">
        <f t="shared" si="56"/>
        <v>423300</v>
      </c>
      <c r="BF158" s="17"/>
      <c r="BG158" s="235" t="s">
        <v>1138</v>
      </c>
      <c r="BH158" s="250">
        <f t="shared" si="57"/>
        <v>855</v>
      </c>
      <c r="BI158" s="250">
        <f>SUMIF(Table13[Category],Table14[[#This Row],[Category]],Table13[[Quantity ]])</f>
        <v>215</v>
      </c>
      <c r="BJ158" s="250">
        <f>Table14[[#This Row],[Inventory]]-Table14[[#This Row],[Update ]]</f>
        <v>640</v>
      </c>
    </row>
    <row r="159" spans="1:62" ht="21" customHeight="1" x14ac:dyDescent="0.35">
      <c r="A159">
        <v>156</v>
      </c>
      <c r="B159" s="136">
        <v>44985</v>
      </c>
      <c r="C159" t="s">
        <v>1043</v>
      </c>
      <c r="D159" s="1" t="s">
        <v>163</v>
      </c>
      <c r="E159" t="s">
        <v>1096</v>
      </c>
      <c r="F159" s="6" t="s">
        <v>1127</v>
      </c>
      <c r="G159" s="6" t="s">
        <v>1152</v>
      </c>
      <c r="H159" s="235" t="str">
        <f t="shared" si="44"/>
        <v>Food Product</v>
      </c>
      <c r="I159" s="80" t="s">
        <v>1170</v>
      </c>
      <c r="J159" t="str">
        <f t="shared" si="45"/>
        <v>Platinum</v>
      </c>
      <c r="K159" s="6">
        <v>3</v>
      </c>
      <c r="L159" s="17">
        <f t="shared" si="46"/>
        <v>55000</v>
      </c>
      <c r="M159" s="116">
        <f t="shared" si="47"/>
        <v>0.02</v>
      </c>
      <c r="N159" s="47" t="str">
        <f t="shared" si="48"/>
        <v>25 Point</v>
      </c>
      <c r="O159" s="17">
        <f t="shared" si="55"/>
        <v>163900</v>
      </c>
      <c r="AP159" s="6"/>
      <c r="AQ159" s="235"/>
      <c r="AR159" s="235"/>
      <c r="AT159" s="6"/>
      <c r="AU159" s="17"/>
      <c r="AY159" s="6" t="s">
        <v>1152</v>
      </c>
      <c r="AZ159" s="235" t="s">
        <v>1135</v>
      </c>
      <c r="BA159" s="80" t="s">
        <v>1170</v>
      </c>
      <c r="BB159" s="6">
        <v>3</v>
      </c>
      <c r="BC159" s="17">
        <f t="shared" si="50"/>
        <v>55000</v>
      </c>
      <c r="BD159" s="116">
        <f t="shared" si="51"/>
        <v>0.02</v>
      </c>
      <c r="BE159" s="17">
        <f t="shared" si="56"/>
        <v>163900</v>
      </c>
      <c r="BF159" s="17"/>
      <c r="BG159" s="235" t="s">
        <v>1135</v>
      </c>
      <c r="BH159" s="250">
        <f t="shared" si="57"/>
        <v>700</v>
      </c>
      <c r="BI159" s="250">
        <f>SUMIF(Table13[Category],Table14[[#This Row],[Category]],Table13[[Quantity ]])</f>
        <v>345</v>
      </c>
      <c r="BJ159" s="250">
        <f>Table14[[#This Row],[Inventory]]-Table14[[#This Row],[Update ]]</f>
        <v>355</v>
      </c>
    </row>
    <row r="160" spans="1:62" ht="21" customHeight="1" x14ac:dyDescent="0.35">
      <c r="A160">
        <v>157</v>
      </c>
      <c r="B160" s="136">
        <v>44985</v>
      </c>
      <c r="C160" t="s">
        <v>1044</v>
      </c>
      <c r="D160" s="1" t="s">
        <v>162</v>
      </c>
      <c r="E160" t="s">
        <v>1093</v>
      </c>
      <c r="F160" s="6" t="s">
        <v>1128</v>
      </c>
      <c r="G160" s="6" t="s">
        <v>1144</v>
      </c>
      <c r="H160" s="235" t="str">
        <f t="shared" si="44"/>
        <v>Perishable</v>
      </c>
      <c r="I160" s="235" t="s">
        <v>1184</v>
      </c>
      <c r="J160" t="str">
        <f t="shared" si="45"/>
        <v>Gold</v>
      </c>
      <c r="K160" s="6">
        <v>2</v>
      </c>
      <c r="L160" s="17">
        <f t="shared" si="46"/>
        <v>25500</v>
      </c>
      <c r="M160" s="116">
        <f t="shared" ref="M160" si="58">IF(K160&gt;8,3%,2%)</f>
        <v>0.02</v>
      </c>
      <c r="N160" s="47" t="str">
        <f t="shared" si="48"/>
        <v>25 Point</v>
      </c>
      <c r="O160" s="17">
        <f t="shared" si="55"/>
        <v>50490</v>
      </c>
      <c r="AP160" s="6"/>
      <c r="AQ160" s="235"/>
      <c r="AR160" s="235"/>
      <c r="AT160" s="6"/>
      <c r="AU160" s="17"/>
      <c r="AY160" s="6" t="s">
        <v>1144</v>
      </c>
      <c r="AZ160" s="235" t="s">
        <v>1137</v>
      </c>
      <c r="BA160" s="235" t="s">
        <v>1184</v>
      </c>
      <c r="BB160" s="6">
        <v>2</v>
      </c>
      <c r="BC160" s="17">
        <f t="shared" si="50"/>
        <v>25500</v>
      </c>
      <c r="BD160" s="116">
        <f t="shared" ref="BD160" si="59">IF(BB160&gt;8,3%,2%)</f>
        <v>0.02</v>
      </c>
      <c r="BE160" s="17">
        <f t="shared" si="56"/>
        <v>50490</v>
      </c>
      <c r="BF160" s="17"/>
      <c r="BG160" s="235" t="s">
        <v>1137</v>
      </c>
      <c r="BH160" s="250">
        <f t="shared" si="57"/>
        <v>755</v>
      </c>
      <c r="BI160" s="250">
        <f>SUMIF(Table13[Category],Table14[[#This Row],[Category]],Table13[[Quantity ]])</f>
        <v>241</v>
      </c>
      <c r="BJ160" s="250">
        <f>Table14[[#This Row],[Inventory]]-Table14[[#This Row],[Update ]]</f>
        <v>514</v>
      </c>
    </row>
    <row r="161" spans="1:62" ht="21" customHeight="1" x14ac:dyDescent="0.35">
      <c r="A161">
        <v>158</v>
      </c>
      <c r="B161" s="136">
        <v>44985</v>
      </c>
      <c r="C161" t="s">
        <v>1069</v>
      </c>
      <c r="D161" s="1" t="s">
        <v>162</v>
      </c>
      <c r="E161" t="s">
        <v>1093</v>
      </c>
      <c r="F161" s="6" t="s">
        <v>1128</v>
      </c>
      <c r="G161" s="6" t="s">
        <v>1153</v>
      </c>
      <c r="H161" s="235" t="str">
        <f t="shared" si="44"/>
        <v>General Merchandise Product</v>
      </c>
      <c r="I161" s="80" t="s">
        <v>1180</v>
      </c>
      <c r="J161" t="str">
        <f t="shared" si="45"/>
        <v>Gold</v>
      </c>
      <c r="K161" s="6">
        <v>2</v>
      </c>
      <c r="L161" s="17">
        <f t="shared" si="46"/>
        <v>75000</v>
      </c>
      <c r="M161" s="116">
        <f t="shared" ref="M161:M183" si="60">IF(K161&gt;8,3%,2%)</f>
        <v>0.02</v>
      </c>
      <c r="N161" s="47" t="str">
        <f t="shared" si="48"/>
        <v>25 Point</v>
      </c>
      <c r="O161" s="17">
        <f t="shared" si="55"/>
        <v>148500</v>
      </c>
      <c r="AP161" s="6"/>
      <c r="AQ161" s="235"/>
      <c r="AR161" s="80"/>
      <c r="AT161" s="6"/>
      <c r="AU161" s="17"/>
      <c r="AY161" s="6" t="s">
        <v>1153</v>
      </c>
      <c r="AZ161" s="235" t="s">
        <v>1138</v>
      </c>
      <c r="BA161" s="80" t="s">
        <v>1180</v>
      </c>
      <c r="BB161" s="6">
        <v>2</v>
      </c>
      <c r="BC161" s="17">
        <f t="shared" si="50"/>
        <v>75000</v>
      </c>
      <c r="BD161" s="116">
        <f t="shared" ref="BD161:BD183" si="61">IF(BB161&gt;8,3%,2%)</f>
        <v>0.02</v>
      </c>
      <c r="BE161" s="17">
        <f t="shared" si="56"/>
        <v>148500</v>
      </c>
      <c r="BF161" s="17"/>
      <c r="BG161" s="235" t="s">
        <v>1138</v>
      </c>
      <c r="BH161" s="250">
        <f t="shared" si="57"/>
        <v>855</v>
      </c>
      <c r="BI161" s="250">
        <f>SUMIF(Table13[Category],Table14[[#This Row],[Category]],Table13[[Quantity ]])</f>
        <v>215</v>
      </c>
      <c r="BJ161" s="250">
        <f>Table14[[#This Row],[Inventory]]-Table14[[#This Row],[Update ]]</f>
        <v>640</v>
      </c>
    </row>
    <row r="162" spans="1:62" ht="21" customHeight="1" x14ac:dyDescent="0.35">
      <c r="A162">
        <v>159</v>
      </c>
      <c r="B162" s="136">
        <v>44985</v>
      </c>
      <c r="C162" t="s">
        <v>1070</v>
      </c>
      <c r="D162" s="1" t="s">
        <v>163</v>
      </c>
      <c r="E162" t="s">
        <v>1096</v>
      </c>
      <c r="F162" s="6" t="s">
        <v>1128</v>
      </c>
      <c r="G162" s="6" t="s">
        <v>1144</v>
      </c>
      <c r="H162" s="235" t="str">
        <f t="shared" si="44"/>
        <v>Perishable</v>
      </c>
      <c r="I162" s="235" t="s">
        <v>1186</v>
      </c>
      <c r="J162" t="str">
        <f t="shared" si="45"/>
        <v>Gold</v>
      </c>
      <c r="K162" s="6">
        <v>2</v>
      </c>
      <c r="L162" s="17">
        <f t="shared" si="46"/>
        <v>69999</v>
      </c>
      <c r="M162" s="116">
        <f t="shared" si="60"/>
        <v>0.02</v>
      </c>
      <c r="N162" s="47" t="str">
        <f t="shared" si="48"/>
        <v>25 Point</v>
      </c>
      <c r="O162" s="17">
        <f t="shared" si="55"/>
        <v>138598.01999999999</v>
      </c>
      <c r="AP162" s="6"/>
      <c r="AQ162" s="235"/>
      <c r="AR162" s="80"/>
      <c r="AT162" s="6"/>
      <c r="AU162" s="17"/>
      <c r="AY162" s="6" t="s">
        <v>1144</v>
      </c>
      <c r="AZ162" s="235" t="s">
        <v>1137</v>
      </c>
      <c r="BA162" s="235" t="s">
        <v>1186</v>
      </c>
      <c r="BB162" s="6">
        <v>2</v>
      </c>
      <c r="BC162" s="17">
        <f t="shared" si="50"/>
        <v>69999</v>
      </c>
      <c r="BD162" s="116">
        <f t="shared" si="61"/>
        <v>0.02</v>
      </c>
      <c r="BE162" s="17">
        <f t="shared" si="56"/>
        <v>138598.01999999999</v>
      </c>
      <c r="BF162" s="17"/>
      <c r="BG162" s="235" t="s">
        <v>1137</v>
      </c>
      <c r="BH162" s="250">
        <f t="shared" si="57"/>
        <v>755</v>
      </c>
      <c r="BI162" s="250">
        <f>SUMIF(Table13[Category],Table14[[#This Row],[Category]],Table13[[Quantity ]])</f>
        <v>241</v>
      </c>
      <c r="BJ162" s="250">
        <f>Table14[[#This Row],[Inventory]]-Table14[[#This Row],[Update ]]</f>
        <v>514</v>
      </c>
    </row>
    <row r="163" spans="1:62" ht="21" customHeight="1" x14ac:dyDescent="0.35">
      <c r="A163">
        <v>160</v>
      </c>
      <c r="B163" s="136">
        <v>44986</v>
      </c>
      <c r="C163" t="s">
        <v>1071</v>
      </c>
      <c r="D163" s="1" t="s">
        <v>163</v>
      </c>
      <c r="E163" t="s">
        <v>1093</v>
      </c>
      <c r="F163" s="6" t="s">
        <v>1127</v>
      </c>
      <c r="G163" s="6" t="s">
        <v>1144</v>
      </c>
      <c r="H163" s="235" t="str">
        <f t="shared" si="44"/>
        <v>Perishable</v>
      </c>
      <c r="I163" s="235" t="s">
        <v>1184</v>
      </c>
      <c r="J163" t="str">
        <f t="shared" si="45"/>
        <v>Platinum</v>
      </c>
      <c r="K163" s="6">
        <v>4</v>
      </c>
      <c r="L163" s="17">
        <f t="shared" si="46"/>
        <v>25500</v>
      </c>
      <c r="M163" s="116">
        <f t="shared" si="60"/>
        <v>0.02</v>
      </c>
      <c r="N163" s="47" t="str">
        <f t="shared" si="48"/>
        <v>25 Point</v>
      </c>
      <c r="O163" s="17">
        <f t="shared" si="55"/>
        <v>101490</v>
      </c>
      <c r="AP163" s="6"/>
      <c r="AQ163" s="235"/>
      <c r="AR163" s="80"/>
      <c r="AT163" s="6"/>
      <c r="AU163" s="17"/>
      <c r="AY163" s="6" t="s">
        <v>1144</v>
      </c>
      <c r="AZ163" s="235" t="s">
        <v>1137</v>
      </c>
      <c r="BA163" s="235" t="s">
        <v>1184</v>
      </c>
      <c r="BB163" s="6">
        <v>4</v>
      </c>
      <c r="BC163" s="17">
        <f t="shared" si="50"/>
        <v>25500</v>
      </c>
      <c r="BD163" s="116">
        <f t="shared" si="61"/>
        <v>0.02</v>
      </c>
      <c r="BE163" s="17">
        <f t="shared" si="56"/>
        <v>101490</v>
      </c>
      <c r="BF163" s="17"/>
      <c r="BG163" s="235" t="s">
        <v>1137</v>
      </c>
      <c r="BH163" s="250">
        <f t="shared" si="57"/>
        <v>755</v>
      </c>
      <c r="BI163" s="250">
        <f>SUMIF(Table13[Category],Table14[[#This Row],[Category]],Table13[[Quantity ]])</f>
        <v>241</v>
      </c>
      <c r="BJ163" s="250">
        <f>Table14[[#This Row],[Inventory]]-Table14[[#This Row],[Update ]]</f>
        <v>514</v>
      </c>
    </row>
    <row r="164" spans="1:62" ht="21" customHeight="1" x14ac:dyDescent="0.35">
      <c r="A164">
        <v>161</v>
      </c>
      <c r="B164" s="136">
        <v>44986</v>
      </c>
      <c r="C164" t="s">
        <v>1072</v>
      </c>
      <c r="D164" s="1" t="s">
        <v>162</v>
      </c>
      <c r="E164" t="s">
        <v>1096</v>
      </c>
      <c r="F164" s="6" t="s">
        <v>1127</v>
      </c>
      <c r="G164" s="6" t="s">
        <v>1144</v>
      </c>
      <c r="H164" s="235" t="str">
        <f t="shared" ref="H164:H195" si="62">VLOOKUP(LEFT(G164,2),Category,2,0)</f>
        <v>Perishable</v>
      </c>
      <c r="I164" s="235" t="s">
        <v>1184</v>
      </c>
      <c r="J164" t="str">
        <f t="shared" ref="J164:J183" si="63">VLOOKUP(LEFT(F164,1),Barcode,2,0)</f>
        <v>Platinum</v>
      </c>
      <c r="K164" s="6">
        <v>5</v>
      </c>
      <c r="L164" s="17">
        <f t="shared" ref="L164:L183" si="64">INDEX($S$40:$S$69,MATCH(I164,$R$40:$R$69,0))</f>
        <v>25500</v>
      </c>
      <c r="M164" s="116">
        <f t="shared" si="60"/>
        <v>0.02</v>
      </c>
      <c r="N164" s="47" t="str">
        <f t="shared" ref="N164:N183" si="65">HLOOKUP(VALUE(RIGHT(F164,2)),Point,2,0)</f>
        <v>25 Point</v>
      </c>
      <c r="O164" s="17">
        <f t="shared" si="55"/>
        <v>126990</v>
      </c>
      <c r="AP164" s="6"/>
      <c r="AQ164" s="235"/>
      <c r="AR164" s="80"/>
      <c r="AT164" s="6"/>
      <c r="AU164" s="17"/>
      <c r="AY164" s="6" t="s">
        <v>1144</v>
      </c>
      <c r="AZ164" s="235" t="s">
        <v>1137</v>
      </c>
      <c r="BA164" s="235" t="s">
        <v>1184</v>
      </c>
      <c r="BB164" s="6">
        <v>5</v>
      </c>
      <c r="BC164" s="17">
        <f t="shared" ref="BC164:BC183" si="66">INDEX($S$40:$S$69,MATCH(BA164,$R$40:$R$69,0))</f>
        <v>25500</v>
      </c>
      <c r="BD164" s="116">
        <f t="shared" si="61"/>
        <v>0.02</v>
      </c>
      <c r="BE164" s="17">
        <f t="shared" si="56"/>
        <v>126990</v>
      </c>
      <c r="BF164" s="17"/>
      <c r="BG164" s="235" t="s">
        <v>1137</v>
      </c>
      <c r="BH164" s="250">
        <f t="shared" si="57"/>
        <v>755</v>
      </c>
      <c r="BI164" s="250">
        <f>SUMIF(Table13[Category],Table14[[#This Row],[Category]],Table13[[Quantity ]])</f>
        <v>241</v>
      </c>
      <c r="BJ164" s="250">
        <f>Table14[[#This Row],[Inventory]]-Table14[[#This Row],[Update ]]</f>
        <v>514</v>
      </c>
    </row>
    <row r="165" spans="1:62" ht="21" customHeight="1" x14ac:dyDescent="0.35">
      <c r="A165">
        <v>162</v>
      </c>
      <c r="B165" s="136">
        <v>44986</v>
      </c>
      <c r="C165" t="s">
        <v>1073</v>
      </c>
      <c r="D165" s="1" t="s">
        <v>163</v>
      </c>
      <c r="E165" t="s">
        <v>1096</v>
      </c>
      <c r="F165" s="6" t="s">
        <v>1121</v>
      </c>
      <c r="G165" s="6" t="s">
        <v>1152</v>
      </c>
      <c r="H165" s="235" t="str">
        <f t="shared" si="62"/>
        <v>Food Product</v>
      </c>
      <c r="I165" s="80" t="s">
        <v>1160</v>
      </c>
      <c r="J165" t="str">
        <f t="shared" si="63"/>
        <v>Silver</v>
      </c>
      <c r="K165" s="6">
        <v>5</v>
      </c>
      <c r="L165" s="17">
        <f t="shared" si="64"/>
        <v>120000</v>
      </c>
      <c r="M165" s="116">
        <f t="shared" si="60"/>
        <v>0.02</v>
      </c>
      <c r="N165" s="47" t="str">
        <f t="shared" si="65"/>
        <v>5 Point</v>
      </c>
      <c r="O165" s="17">
        <f t="shared" si="55"/>
        <v>597600</v>
      </c>
      <c r="AP165" s="6"/>
      <c r="AQ165" s="235"/>
      <c r="AR165" s="80"/>
      <c r="AT165" s="6"/>
      <c r="AU165" s="17"/>
      <c r="AY165" s="6" t="s">
        <v>1152</v>
      </c>
      <c r="AZ165" s="235" t="s">
        <v>1135</v>
      </c>
      <c r="BA165" s="80" t="s">
        <v>1160</v>
      </c>
      <c r="BB165" s="6">
        <v>5</v>
      </c>
      <c r="BC165" s="17">
        <f t="shared" si="66"/>
        <v>120000</v>
      </c>
      <c r="BD165" s="116">
        <f t="shared" si="61"/>
        <v>0.02</v>
      </c>
      <c r="BE165" s="17">
        <f t="shared" si="56"/>
        <v>597600</v>
      </c>
      <c r="BF165" s="17"/>
      <c r="BG165" s="235" t="s">
        <v>1135</v>
      </c>
      <c r="BH165" s="250">
        <f t="shared" si="57"/>
        <v>700</v>
      </c>
      <c r="BI165" s="250">
        <f>SUMIF(Table13[Category],Table14[[#This Row],[Category]],Table13[[Quantity ]])</f>
        <v>345</v>
      </c>
      <c r="BJ165" s="250">
        <f>Table14[[#This Row],[Inventory]]-Table14[[#This Row],[Update ]]</f>
        <v>355</v>
      </c>
    </row>
    <row r="166" spans="1:62" ht="21" customHeight="1" x14ac:dyDescent="0.35">
      <c r="A166">
        <v>163</v>
      </c>
      <c r="B166" s="136">
        <v>44986</v>
      </c>
      <c r="C166" t="s">
        <v>1074</v>
      </c>
      <c r="D166" s="1" t="s">
        <v>162</v>
      </c>
      <c r="E166" t="s">
        <v>1096</v>
      </c>
      <c r="F166" s="6" t="s">
        <v>1118</v>
      </c>
      <c r="G166" s="6" t="s">
        <v>1152</v>
      </c>
      <c r="H166" s="235" t="str">
        <f t="shared" si="62"/>
        <v>Food Product</v>
      </c>
      <c r="I166" s="80" t="s">
        <v>1160</v>
      </c>
      <c r="J166" t="str">
        <f t="shared" si="63"/>
        <v>Silver</v>
      </c>
      <c r="K166" s="6">
        <v>7</v>
      </c>
      <c r="L166" s="17">
        <f t="shared" si="64"/>
        <v>120000</v>
      </c>
      <c r="M166" s="116">
        <f t="shared" si="60"/>
        <v>0.02</v>
      </c>
      <c r="N166" s="47" t="str">
        <f t="shared" si="65"/>
        <v>15 Point</v>
      </c>
      <c r="O166" s="17">
        <f t="shared" si="55"/>
        <v>837600</v>
      </c>
      <c r="AP166" s="6"/>
      <c r="AQ166" s="235"/>
      <c r="AR166" s="80"/>
      <c r="AT166" s="6"/>
      <c r="AU166" s="17"/>
      <c r="AY166" s="6" t="s">
        <v>1152</v>
      </c>
      <c r="AZ166" s="235" t="s">
        <v>1135</v>
      </c>
      <c r="BA166" s="80" t="s">
        <v>1160</v>
      </c>
      <c r="BB166" s="6">
        <v>7</v>
      </c>
      <c r="BC166" s="17">
        <f t="shared" si="66"/>
        <v>120000</v>
      </c>
      <c r="BD166" s="116">
        <f t="shared" si="61"/>
        <v>0.02</v>
      </c>
      <c r="BE166" s="17">
        <f t="shared" si="56"/>
        <v>837600</v>
      </c>
      <c r="BF166" s="17"/>
      <c r="BG166" s="235" t="s">
        <v>1135</v>
      </c>
      <c r="BH166" s="250">
        <f t="shared" si="57"/>
        <v>700</v>
      </c>
      <c r="BI166" s="250">
        <f>SUMIF(Table13[Category],Table14[[#This Row],[Category]],Table13[[Quantity ]])</f>
        <v>345</v>
      </c>
      <c r="BJ166" s="250">
        <f>Table14[[#This Row],[Inventory]]-Table14[[#This Row],[Update ]]</f>
        <v>355</v>
      </c>
    </row>
    <row r="167" spans="1:62" ht="21" customHeight="1" x14ac:dyDescent="0.35">
      <c r="A167">
        <v>164</v>
      </c>
      <c r="B167" s="136">
        <v>44986</v>
      </c>
      <c r="C167" t="s">
        <v>1075</v>
      </c>
      <c r="D167" s="1" t="s">
        <v>163</v>
      </c>
      <c r="E167" t="s">
        <v>1096</v>
      </c>
      <c r="F167" s="6" t="s">
        <v>1127</v>
      </c>
      <c r="G167" s="6" t="s">
        <v>1152</v>
      </c>
      <c r="H167" s="235" t="str">
        <f t="shared" si="62"/>
        <v>Food Product</v>
      </c>
      <c r="I167" s="80" t="s">
        <v>1170</v>
      </c>
      <c r="J167" t="str">
        <f t="shared" si="63"/>
        <v>Platinum</v>
      </c>
      <c r="K167" s="6">
        <v>7</v>
      </c>
      <c r="L167" s="17">
        <f t="shared" si="64"/>
        <v>55000</v>
      </c>
      <c r="M167" s="116">
        <f t="shared" si="60"/>
        <v>0.02</v>
      </c>
      <c r="N167" s="47" t="str">
        <f t="shared" si="65"/>
        <v>25 Point</v>
      </c>
      <c r="O167" s="17">
        <f t="shared" si="55"/>
        <v>383900</v>
      </c>
      <c r="AP167" s="6"/>
      <c r="AQ167" s="235"/>
      <c r="AR167" s="80"/>
      <c r="AT167" s="6"/>
      <c r="AU167" s="17"/>
      <c r="AY167" s="6" t="s">
        <v>1152</v>
      </c>
      <c r="AZ167" s="235" t="s">
        <v>1135</v>
      </c>
      <c r="BA167" s="80" t="s">
        <v>1170</v>
      </c>
      <c r="BB167" s="6">
        <v>7</v>
      </c>
      <c r="BC167" s="17">
        <f t="shared" si="66"/>
        <v>55000</v>
      </c>
      <c r="BD167" s="116">
        <f t="shared" si="61"/>
        <v>0.02</v>
      </c>
      <c r="BE167" s="17">
        <f t="shared" si="56"/>
        <v>383900</v>
      </c>
      <c r="BF167" s="17"/>
      <c r="BG167" s="235" t="s">
        <v>1135</v>
      </c>
      <c r="BH167" s="250">
        <f t="shared" si="57"/>
        <v>700</v>
      </c>
      <c r="BI167" s="250">
        <f>SUMIF(Table13[Category],Table14[[#This Row],[Category]],Table13[[Quantity ]])</f>
        <v>345</v>
      </c>
      <c r="BJ167" s="250">
        <f>Table14[[#This Row],[Inventory]]-Table14[[#This Row],[Update ]]</f>
        <v>355</v>
      </c>
    </row>
    <row r="168" spans="1:62" ht="21" customHeight="1" x14ac:dyDescent="0.35">
      <c r="A168">
        <v>165</v>
      </c>
      <c r="B168" s="136">
        <v>44987</v>
      </c>
      <c r="C168" t="s">
        <v>1076</v>
      </c>
      <c r="D168" s="1" t="s">
        <v>163</v>
      </c>
      <c r="E168" t="s">
        <v>1096</v>
      </c>
      <c r="F168" s="6" t="s">
        <v>1121</v>
      </c>
      <c r="G168" s="6" t="s">
        <v>1149</v>
      </c>
      <c r="H168" s="235" t="str">
        <f t="shared" si="62"/>
        <v>Non Food Product</v>
      </c>
      <c r="I168" s="235" t="s">
        <v>1177</v>
      </c>
      <c r="J168" t="str">
        <f t="shared" si="63"/>
        <v>Silver</v>
      </c>
      <c r="K168" s="6">
        <v>7</v>
      </c>
      <c r="L168" s="17">
        <f t="shared" si="64"/>
        <v>195000</v>
      </c>
      <c r="M168" s="116">
        <f t="shared" si="60"/>
        <v>0.02</v>
      </c>
      <c r="N168" s="47" t="str">
        <f t="shared" si="65"/>
        <v>5 Point</v>
      </c>
      <c r="O168" s="17">
        <f t="shared" si="55"/>
        <v>1361100</v>
      </c>
      <c r="AP168" s="6"/>
      <c r="AQ168" s="235"/>
      <c r="AR168" s="80"/>
      <c r="AT168" s="6"/>
      <c r="AU168" s="17"/>
      <c r="AY168" s="6" t="s">
        <v>1149</v>
      </c>
      <c r="AZ168" s="235" t="s">
        <v>1136</v>
      </c>
      <c r="BA168" s="235" t="s">
        <v>1177</v>
      </c>
      <c r="BB168" s="6">
        <v>7</v>
      </c>
      <c r="BC168" s="17">
        <f t="shared" si="66"/>
        <v>195000</v>
      </c>
      <c r="BD168" s="116">
        <f t="shared" si="61"/>
        <v>0.02</v>
      </c>
      <c r="BE168" s="17">
        <f t="shared" si="56"/>
        <v>1361100</v>
      </c>
      <c r="BF168" s="17"/>
      <c r="BG168" s="235" t="s">
        <v>1136</v>
      </c>
      <c r="BH168" s="250">
        <f t="shared" si="57"/>
        <v>900</v>
      </c>
      <c r="BI168" s="250">
        <f>SUMIF(Table13[Category],Table14[[#This Row],[Category]],Table13[[Quantity ]])</f>
        <v>299</v>
      </c>
      <c r="BJ168" s="250">
        <f>Table14[[#This Row],[Inventory]]-Table14[[#This Row],[Update ]]</f>
        <v>601</v>
      </c>
    </row>
    <row r="169" spans="1:62" ht="21" customHeight="1" x14ac:dyDescent="0.35">
      <c r="A169">
        <v>166</v>
      </c>
      <c r="B169" s="136">
        <v>44987</v>
      </c>
      <c r="C169" t="s">
        <v>1077</v>
      </c>
      <c r="D169" s="1" t="s">
        <v>162</v>
      </c>
      <c r="E169" t="s">
        <v>1096</v>
      </c>
      <c r="F169" s="6" t="s">
        <v>1118</v>
      </c>
      <c r="G169" s="6" t="s">
        <v>1150</v>
      </c>
      <c r="H169" s="235" t="str">
        <f t="shared" si="62"/>
        <v>Non Food Product</v>
      </c>
      <c r="I169" s="235" t="s">
        <v>1177</v>
      </c>
      <c r="J169" t="str">
        <f t="shared" si="63"/>
        <v>Silver</v>
      </c>
      <c r="K169" s="6">
        <v>8</v>
      </c>
      <c r="L169" s="17">
        <f t="shared" si="64"/>
        <v>195000</v>
      </c>
      <c r="M169" s="116">
        <f t="shared" si="60"/>
        <v>0.02</v>
      </c>
      <c r="N169" s="47" t="str">
        <f t="shared" si="65"/>
        <v>15 Point</v>
      </c>
      <c r="O169" s="17">
        <f t="shared" si="55"/>
        <v>1556100</v>
      </c>
      <c r="AP169" s="6"/>
      <c r="AQ169" s="235"/>
      <c r="AR169" s="80"/>
      <c r="AT169" s="6"/>
      <c r="AU169" s="17"/>
      <c r="AY169" s="6" t="s">
        <v>1150</v>
      </c>
      <c r="AZ169" s="235" t="s">
        <v>1136</v>
      </c>
      <c r="BA169" s="235" t="s">
        <v>1177</v>
      </c>
      <c r="BB169" s="6">
        <v>8</v>
      </c>
      <c r="BC169" s="17">
        <f t="shared" si="66"/>
        <v>195000</v>
      </c>
      <c r="BD169" s="116">
        <f t="shared" si="61"/>
        <v>0.02</v>
      </c>
      <c r="BE169" s="17">
        <f t="shared" si="56"/>
        <v>1556100</v>
      </c>
      <c r="BF169" s="17"/>
      <c r="BG169" s="235" t="s">
        <v>1136</v>
      </c>
      <c r="BH169" s="250">
        <f t="shared" si="57"/>
        <v>900</v>
      </c>
      <c r="BI169" s="250">
        <f>SUMIF(Table13[Category],Table14[[#This Row],[Category]],Table13[[Quantity ]])</f>
        <v>299</v>
      </c>
      <c r="BJ169" s="250">
        <f>Table14[[#This Row],[Inventory]]-Table14[[#This Row],[Update ]]</f>
        <v>601</v>
      </c>
    </row>
    <row r="170" spans="1:62" ht="21" customHeight="1" x14ac:dyDescent="0.35">
      <c r="A170">
        <v>167</v>
      </c>
      <c r="B170" s="136">
        <v>44987</v>
      </c>
      <c r="C170" t="s">
        <v>1078</v>
      </c>
      <c r="D170" s="1" t="s">
        <v>163</v>
      </c>
      <c r="E170" t="s">
        <v>1096</v>
      </c>
      <c r="F170" s="6" t="s">
        <v>1128</v>
      </c>
      <c r="G170" s="6" t="s">
        <v>1153</v>
      </c>
      <c r="H170" s="235" t="str">
        <f t="shared" si="62"/>
        <v>General Merchandise Product</v>
      </c>
      <c r="I170" s="80" t="s">
        <v>1180</v>
      </c>
      <c r="J170" t="str">
        <f t="shared" si="63"/>
        <v>Gold</v>
      </c>
      <c r="K170" s="6">
        <v>5</v>
      </c>
      <c r="L170" s="17">
        <f t="shared" si="64"/>
        <v>75000</v>
      </c>
      <c r="M170" s="116">
        <f t="shared" si="60"/>
        <v>0.02</v>
      </c>
      <c r="N170" s="47" t="str">
        <f t="shared" si="65"/>
        <v>25 Point</v>
      </c>
      <c r="O170" s="17">
        <f t="shared" si="55"/>
        <v>373500</v>
      </c>
      <c r="AP170" s="6"/>
      <c r="AQ170" s="235"/>
      <c r="AR170" s="235"/>
      <c r="AT170" s="6"/>
      <c r="AU170" s="17"/>
      <c r="AY170" s="6" t="s">
        <v>1153</v>
      </c>
      <c r="AZ170" s="235" t="s">
        <v>1138</v>
      </c>
      <c r="BA170" s="80" t="s">
        <v>1180</v>
      </c>
      <c r="BB170" s="6">
        <v>5</v>
      </c>
      <c r="BC170" s="17">
        <f t="shared" si="66"/>
        <v>75000</v>
      </c>
      <c r="BD170" s="116">
        <f t="shared" si="61"/>
        <v>0.02</v>
      </c>
      <c r="BE170" s="17">
        <f t="shared" si="56"/>
        <v>373500</v>
      </c>
      <c r="BF170" s="17"/>
      <c r="BG170" s="235" t="s">
        <v>1138</v>
      </c>
      <c r="BH170" s="250">
        <f t="shared" si="57"/>
        <v>855</v>
      </c>
      <c r="BI170" s="250">
        <f>SUMIF(Table13[Category],Table14[[#This Row],[Category]],Table13[[Quantity ]])</f>
        <v>215</v>
      </c>
      <c r="BJ170" s="250">
        <f>Table14[[#This Row],[Inventory]]-Table14[[#This Row],[Update ]]</f>
        <v>640</v>
      </c>
    </row>
    <row r="171" spans="1:62" ht="21" customHeight="1" x14ac:dyDescent="0.35">
      <c r="A171">
        <v>168</v>
      </c>
      <c r="B171" s="136">
        <v>44987</v>
      </c>
      <c r="C171" t="s">
        <v>1079</v>
      </c>
      <c r="D171" s="1" t="s">
        <v>162</v>
      </c>
      <c r="E171" t="s">
        <v>1093</v>
      </c>
      <c r="F171" s="6" t="s">
        <v>1128</v>
      </c>
      <c r="G171" s="6" t="s">
        <v>1149</v>
      </c>
      <c r="H171" s="235" t="str">
        <f t="shared" si="62"/>
        <v>Non Food Product</v>
      </c>
      <c r="I171" s="235" t="s">
        <v>1175</v>
      </c>
      <c r="J171" t="str">
        <f t="shared" si="63"/>
        <v>Gold</v>
      </c>
      <c r="K171" s="6">
        <v>4</v>
      </c>
      <c r="L171" s="17">
        <f t="shared" si="64"/>
        <v>115000</v>
      </c>
      <c r="M171" s="116">
        <f t="shared" si="60"/>
        <v>0.02</v>
      </c>
      <c r="N171" s="47" t="str">
        <f t="shared" si="65"/>
        <v>25 Point</v>
      </c>
      <c r="O171" s="17">
        <f t="shared" si="55"/>
        <v>457700</v>
      </c>
      <c r="AP171" s="6"/>
      <c r="AQ171" s="235"/>
      <c r="AR171" s="235"/>
      <c r="AT171" s="6"/>
      <c r="AU171" s="17"/>
      <c r="AY171" s="6" t="s">
        <v>1149</v>
      </c>
      <c r="AZ171" s="235" t="s">
        <v>1136</v>
      </c>
      <c r="BA171" s="235" t="s">
        <v>1175</v>
      </c>
      <c r="BB171" s="6">
        <v>4</v>
      </c>
      <c r="BC171" s="17">
        <f t="shared" si="66"/>
        <v>115000</v>
      </c>
      <c r="BD171" s="116">
        <f t="shared" si="61"/>
        <v>0.02</v>
      </c>
      <c r="BE171" s="17">
        <f t="shared" si="56"/>
        <v>457700</v>
      </c>
      <c r="BF171" s="17"/>
      <c r="BG171" s="235" t="s">
        <v>1136</v>
      </c>
      <c r="BH171" s="250">
        <f t="shared" si="57"/>
        <v>900</v>
      </c>
      <c r="BI171" s="250">
        <f>SUMIF(Table13[Category],Table14[[#This Row],[Category]],Table13[[Quantity ]])</f>
        <v>299</v>
      </c>
      <c r="BJ171" s="250">
        <f>Table14[[#This Row],[Inventory]]-Table14[[#This Row],[Update ]]</f>
        <v>601</v>
      </c>
    </row>
    <row r="172" spans="1:62" ht="21" customHeight="1" x14ac:dyDescent="0.35">
      <c r="A172">
        <v>169</v>
      </c>
      <c r="B172" s="136">
        <v>44987</v>
      </c>
      <c r="C172" t="s">
        <v>1080</v>
      </c>
      <c r="D172" s="1" t="s">
        <v>162</v>
      </c>
      <c r="E172" t="s">
        <v>1093</v>
      </c>
      <c r="F172" s="6" t="s">
        <v>1128</v>
      </c>
      <c r="G172" s="6" t="s">
        <v>1151</v>
      </c>
      <c r="H172" s="235" t="str">
        <f t="shared" si="62"/>
        <v>Food Product</v>
      </c>
      <c r="I172" s="80" t="s">
        <v>1170</v>
      </c>
      <c r="J172" t="str">
        <f t="shared" si="63"/>
        <v>Gold</v>
      </c>
      <c r="K172" s="6">
        <v>6</v>
      </c>
      <c r="L172" s="17">
        <f t="shared" si="64"/>
        <v>55000</v>
      </c>
      <c r="M172" s="116">
        <f t="shared" si="60"/>
        <v>0.02</v>
      </c>
      <c r="N172" s="47" t="str">
        <f t="shared" si="65"/>
        <v>25 Point</v>
      </c>
      <c r="O172" s="17">
        <f t="shared" si="55"/>
        <v>328900</v>
      </c>
      <c r="AP172" s="6"/>
      <c r="AQ172" s="235"/>
      <c r="AR172" s="235"/>
      <c r="AT172" s="6"/>
      <c r="AU172" s="17"/>
      <c r="AY172" s="6" t="s">
        <v>1151</v>
      </c>
      <c r="AZ172" s="235" t="s">
        <v>1135</v>
      </c>
      <c r="BA172" s="80" t="s">
        <v>1170</v>
      </c>
      <c r="BB172" s="6">
        <v>6</v>
      </c>
      <c r="BC172" s="17">
        <f t="shared" si="66"/>
        <v>55000</v>
      </c>
      <c r="BD172" s="116">
        <f t="shared" si="61"/>
        <v>0.02</v>
      </c>
      <c r="BE172" s="17">
        <f t="shared" si="56"/>
        <v>328900</v>
      </c>
      <c r="BF172" s="17"/>
      <c r="BG172" s="235" t="s">
        <v>1135</v>
      </c>
      <c r="BH172" s="250">
        <f t="shared" si="57"/>
        <v>700</v>
      </c>
      <c r="BI172" s="250">
        <f>SUMIF(Table13[Category],Table14[[#This Row],[Category]],Table13[[Quantity ]])</f>
        <v>345</v>
      </c>
      <c r="BJ172" s="250">
        <f>Table14[[#This Row],[Inventory]]-Table14[[#This Row],[Update ]]</f>
        <v>355</v>
      </c>
    </row>
    <row r="173" spans="1:62" ht="21" customHeight="1" x14ac:dyDescent="0.35">
      <c r="A173">
        <v>170</v>
      </c>
      <c r="B173" s="136">
        <v>44987</v>
      </c>
      <c r="C173" t="s">
        <v>1081</v>
      </c>
      <c r="D173" s="1" t="s">
        <v>162</v>
      </c>
      <c r="E173" t="s">
        <v>1093</v>
      </c>
      <c r="F173" s="6" t="s">
        <v>1118</v>
      </c>
      <c r="G173" s="6" t="s">
        <v>1139</v>
      </c>
      <c r="H173" s="235" t="str">
        <f t="shared" si="62"/>
        <v>Food Product</v>
      </c>
      <c r="I173" s="80" t="s">
        <v>1160</v>
      </c>
      <c r="J173" t="str">
        <f t="shared" si="63"/>
        <v>Silver</v>
      </c>
      <c r="K173" s="6">
        <v>8</v>
      </c>
      <c r="L173" s="17">
        <f t="shared" si="64"/>
        <v>120000</v>
      </c>
      <c r="M173" s="116">
        <f t="shared" si="60"/>
        <v>0.02</v>
      </c>
      <c r="N173" s="47" t="str">
        <f t="shared" si="65"/>
        <v>15 Point</v>
      </c>
      <c r="O173" s="17">
        <f t="shared" si="55"/>
        <v>957600</v>
      </c>
      <c r="AP173" s="6"/>
      <c r="AQ173" s="235"/>
      <c r="AR173" s="235"/>
      <c r="AT173" s="6"/>
      <c r="AU173" s="17"/>
      <c r="AY173" s="6" t="s">
        <v>1139</v>
      </c>
      <c r="AZ173" s="235" t="s">
        <v>1135</v>
      </c>
      <c r="BA173" s="80" t="s">
        <v>1160</v>
      </c>
      <c r="BB173" s="6">
        <v>8</v>
      </c>
      <c r="BC173" s="17">
        <f t="shared" si="66"/>
        <v>120000</v>
      </c>
      <c r="BD173" s="116">
        <f t="shared" si="61"/>
        <v>0.02</v>
      </c>
      <c r="BE173" s="17">
        <f t="shared" si="56"/>
        <v>957600</v>
      </c>
      <c r="BF173" s="17"/>
      <c r="BG173" s="235" t="s">
        <v>1135</v>
      </c>
      <c r="BH173" s="250">
        <f t="shared" si="57"/>
        <v>700</v>
      </c>
      <c r="BI173" s="250">
        <f>SUMIF(Table13[Category],Table14[[#This Row],[Category]],Table13[[Quantity ]])</f>
        <v>345</v>
      </c>
      <c r="BJ173" s="250">
        <f>Table14[[#This Row],[Inventory]]-Table14[[#This Row],[Update ]]</f>
        <v>355</v>
      </c>
    </row>
    <row r="174" spans="1:62" ht="21" customHeight="1" x14ac:dyDescent="0.35">
      <c r="A174">
        <v>171</v>
      </c>
      <c r="B174" s="136">
        <v>44988</v>
      </c>
      <c r="C174" t="s">
        <v>1082</v>
      </c>
      <c r="D174" s="1" t="s">
        <v>162</v>
      </c>
      <c r="E174" t="s">
        <v>1093</v>
      </c>
      <c r="F174" s="6" t="s">
        <v>1118</v>
      </c>
      <c r="G174" s="6" t="s">
        <v>1139</v>
      </c>
      <c r="H174" s="235" t="str">
        <f t="shared" si="62"/>
        <v>Food Product</v>
      </c>
      <c r="I174" s="80" t="s">
        <v>1159</v>
      </c>
      <c r="J174" t="str">
        <f t="shared" si="63"/>
        <v>Silver</v>
      </c>
      <c r="K174" s="6">
        <v>8</v>
      </c>
      <c r="L174" s="17">
        <f t="shared" si="64"/>
        <v>75000</v>
      </c>
      <c r="M174" s="116">
        <f t="shared" si="60"/>
        <v>0.02</v>
      </c>
      <c r="N174" s="47" t="str">
        <f t="shared" si="65"/>
        <v>15 Point</v>
      </c>
      <c r="O174" s="17">
        <f t="shared" si="55"/>
        <v>598500</v>
      </c>
      <c r="AP174" s="6"/>
      <c r="AQ174" s="235"/>
      <c r="AR174" s="235"/>
      <c r="AT174" s="6"/>
      <c r="AU174" s="17"/>
      <c r="AY174" s="6" t="s">
        <v>1139</v>
      </c>
      <c r="AZ174" s="235" t="s">
        <v>1135</v>
      </c>
      <c r="BA174" s="80" t="s">
        <v>1159</v>
      </c>
      <c r="BB174" s="6">
        <v>8</v>
      </c>
      <c r="BC174" s="17">
        <f t="shared" si="66"/>
        <v>75000</v>
      </c>
      <c r="BD174" s="116">
        <f t="shared" si="61"/>
        <v>0.02</v>
      </c>
      <c r="BE174" s="17">
        <f t="shared" si="56"/>
        <v>598500</v>
      </c>
      <c r="BF174" s="17"/>
      <c r="BG174" s="235" t="s">
        <v>1135</v>
      </c>
      <c r="BH174" s="250">
        <f t="shared" si="57"/>
        <v>700</v>
      </c>
      <c r="BI174" s="250">
        <f>SUMIF(Table13[Category],Table14[[#This Row],[Category]],Table13[[Quantity ]])</f>
        <v>345</v>
      </c>
      <c r="BJ174" s="250">
        <f>Table14[[#This Row],[Inventory]]-Table14[[#This Row],[Update ]]</f>
        <v>355</v>
      </c>
    </row>
    <row r="175" spans="1:62" ht="21" customHeight="1" x14ac:dyDescent="0.35">
      <c r="A175">
        <v>172</v>
      </c>
      <c r="B175" s="136">
        <v>44988</v>
      </c>
      <c r="C175" t="s">
        <v>1083</v>
      </c>
      <c r="D175" s="1" t="s">
        <v>162</v>
      </c>
      <c r="E175" t="s">
        <v>1093</v>
      </c>
      <c r="F175" s="6" t="s">
        <v>1118</v>
      </c>
      <c r="G175" s="6" t="s">
        <v>1157</v>
      </c>
      <c r="H175" s="235" t="str">
        <f t="shared" si="62"/>
        <v>Non Food Product</v>
      </c>
      <c r="I175" s="235" t="s">
        <v>1177</v>
      </c>
      <c r="J175" t="str">
        <f t="shared" si="63"/>
        <v>Silver</v>
      </c>
      <c r="K175" s="6">
        <v>9</v>
      </c>
      <c r="L175" s="17">
        <f t="shared" si="64"/>
        <v>195000</v>
      </c>
      <c r="M175" s="116">
        <f t="shared" si="60"/>
        <v>0.03</v>
      </c>
      <c r="N175" s="47" t="str">
        <f t="shared" si="65"/>
        <v>15 Point</v>
      </c>
      <c r="O175" s="17">
        <f t="shared" si="55"/>
        <v>1749150</v>
      </c>
      <c r="AP175" s="6"/>
      <c r="AQ175" s="235"/>
      <c r="AR175" s="235"/>
      <c r="AT175" s="6"/>
      <c r="AU175" s="17"/>
      <c r="AY175" s="6" t="s">
        <v>1157</v>
      </c>
      <c r="AZ175" s="235" t="s">
        <v>1136</v>
      </c>
      <c r="BA175" s="235" t="s">
        <v>1177</v>
      </c>
      <c r="BB175" s="6">
        <v>9</v>
      </c>
      <c r="BC175" s="17">
        <f t="shared" si="66"/>
        <v>195000</v>
      </c>
      <c r="BD175" s="116">
        <f t="shared" si="61"/>
        <v>0.03</v>
      </c>
      <c r="BE175" s="17">
        <f t="shared" si="56"/>
        <v>1749150</v>
      </c>
      <c r="BF175" s="17"/>
      <c r="BG175" s="235" t="s">
        <v>1136</v>
      </c>
      <c r="BH175" s="250">
        <f t="shared" si="57"/>
        <v>900</v>
      </c>
      <c r="BI175" s="250">
        <f>SUMIF(Table13[Category],Table14[[#This Row],[Category]],Table13[[Quantity ]])</f>
        <v>299</v>
      </c>
      <c r="BJ175" s="250">
        <f>Table14[[#This Row],[Inventory]]-Table14[[#This Row],[Update ]]</f>
        <v>601</v>
      </c>
    </row>
    <row r="176" spans="1:62" ht="21" customHeight="1" x14ac:dyDescent="0.35">
      <c r="A176">
        <v>173</v>
      </c>
      <c r="B176" s="136">
        <v>44988</v>
      </c>
      <c r="C176" t="s">
        <v>1084</v>
      </c>
      <c r="D176" s="1" t="s">
        <v>163</v>
      </c>
      <c r="E176" t="s">
        <v>1092</v>
      </c>
      <c r="F176" s="6" t="s">
        <v>1127</v>
      </c>
      <c r="G176" s="6" t="s">
        <v>1157</v>
      </c>
      <c r="H176" s="235" t="str">
        <f t="shared" si="62"/>
        <v>Non Food Product</v>
      </c>
      <c r="I176" s="235" t="s">
        <v>1177</v>
      </c>
      <c r="J176" t="str">
        <f t="shared" si="63"/>
        <v>Platinum</v>
      </c>
      <c r="K176" s="6">
        <v>11</v>
      </c>
      <c r="L176" s="17">
        <f t="shared" si="64"/>
        <v>195000</v>
      </c>
      <c r="M176" s="116">
        <f t="shared" si="60"/>
        <v>0.03</v>
      </c>
      <c r="N176" s="47" t="str">
        <f t="shared" si="65"/>
        <v>25 Point</v>
      </c>
      <c r="O176" s="17">
        <f t="shared" si="55"/>
        <v>2139150</v>
      </c>
      <c r="AP176" s="6"/>
      <c r="AQ176" s="235"/>
      <c r="AR176" s="235"/>
      <c r="AT176" s="6"/>
      <c r="AU176" s="17"/>
      <c r="AY176" s="6" t="s">
        <v>1157</v>
      </c>
      <c r="AZ176" s="235" t="s">
        <v>1136</v>
      </c>
      <c r="BA176" s="235" t="s">
        <v>1177</v>
      </c>
      <c r="BB176" s="6">
        <v>11</v>
      </c>
      <c r="BC176" s="17">
        <f t="shared" si="66"/>
        <v>195000</v>
      </c>
      <c r="BD176" s="116">
        <f t="shared" si="61"/>
        <v>0.03</v>
      </c>
      <c r="BE176" s="17">
        <f t="shared" si="56"/>
        <v>2139150</v>
      </c>
      <c r="BF176" s="17"/>
      <c r="BG176" s="235" t="s">
        <v>1136</v>
      </c>
      <c r="BH176" s="250">
        <f t="shared" si="57"/>
        <v>900</v>
      </c>
      <c r="BI176" s="250">
        <f>SUMIF(Table13[Category],Table14[[#This Row],[Category]],Table13[[Quantity ]])</f>
        <v>299</v>
      </c>
      <c r="BJ176" s="250">
        <f>Table14[[#This Row],[Inventory]]-Table14[[#This Row],[Update ]]</f>
        <v>601</v>
      </c>
    </row>
    <row r="177" spans="1:62" ht="21" customHeight="1" x14ac:dyDescent="0.35">
      <c r="A177">
        <v>174</v>
      </c>
      <c r="B177" s="136">
        <v>44989</v>
      </c>
      <c r="C177" t="s">
        <v>1085</v>
      </c>
      <c r="D177" s="1" t="s">
        <v>163</v>
      </c>
      <c r="E177" t="s">
        <v>1092</v>
      </c>
      <c r="F177" s="6" t="s">
        <v>1103</v>
      </c>
      <c r="G177" s="6" t="s">
        <v>1141</v>
      </c>
      <c r="H177" s="235" t="str">
        <f t="shared" si="62"/>
        <v>Perishable</v>
      </c>
      <c r="I177" s="235" t="s">
        <v>1184</v>
      </c>
      <c r="J177" t="str">
        <f t="shared" si="63"/>
        <v>Gold</v>
      </c>
      <c r="K177" s="6">
        <v>10</v>
      </c>
      <c r="L177" s="17">
        <f t="shared" si="64"/>
        <v>25500</v>
      </c>
      <c r="M177" s="116">
        <f t="shared" si="60"/>
        <v>0.03</v>
      </c>
      <c r="N177" s="47" t="str">
        <f t="shared" si="65"/>
        <v>5 Point</v>
      </c>
      <c r="O177" s="17">
        <f t="shared" si="55"/>
        <v>254235</v>
      </c>
      <c r="AP177" s="6"/>
      <c r="AQ177" s="235"/>
      <c r="AR177" s="235"/>
      <c r="AT177" s="6"/>
      <c r="AU177" s="17"/>
      <c r="AY177" s="6" t="s">
        <v>1141</v>
      </c>
      <c r="AZ177" s="235" t="s">
        <v>1137</v>
      </c>
      <c r="BA177" s="235" t="s">
        <v>1184</v>
      </c>
      <c r="BB177" s="6">
        <v>10</v>
      </c>
      <c r="BC177" s="17">
        <f t="shared" si="66"/>
        <v>25500</v>
      </c>
      <c r="BD177" s="116">
        <f t="shared" si="61"/>
        <v>0.03</v>
      </c>
      <c r="BE177" s="17">
        <f t="shared" si="56"/>
        <v>254235</v>
      </c>
      <c r="BF177" s="17"/>
      <c r="BG177" s="235" t="s">
        <v>1137</v>
      </c>
      <c r="BH177" s="250">
        <f t="shared" si="57"/>
        <v>755</v>
      </c>
      <c r="BI177" s="250">
        <f>SUMIF(Table13[Category],Table14[[#This Row],[Category]],Table13[[Quantity ]])</f>
        <v>241</v>
      </c>
      <c r="BJ177" s="250">
        <f>Table14[[#This Row],[Inventory]]-Table14[[#This Row],[Update ]]</f>
        <v>514</v>
      </c>
    </row>
    <row r="178" spans="1:62" ht="21" customHeight="1" x14ac:dyDescent="0.35">
      <c r="A178">
        <v>175</v>
      </c>
      <c r="B178" s="136">
        <v>44989</v>
      </c>
      <c r="C178" t="s">
        <v>1086</v>
      </c>
      <c r="D178" s="1" t="s">
        <v>162</v>
      </c>
      <c r="E178" t="s">
        <v>1092</v>
      </c>
      <c r="F178" s="6" t="s">
        <v>1116</v>
      </c>
      <c r="G178" s="6" t="s">
        <v>1144</v>
      </c>
      <c r="H178" s="235" t="str">
        <f t="shared" si="62"/>
        <v>Perishable</v>
      </c>
      <c r="I178" s="235" t="s">
        <v>1184</v>
      </c>
      <c r="J178" t="str">
        <f t="shared" si="63"/>
        <v>Gold</v>
      </c>
      <c r="K178" s="6">
        <v>9</v>
      </c>
      <c r="L178" s="17">
        <f t="shared" si="64"/>
        <v>25500</v>
      </c>
      <c r="M178" s="116">
        <f t="shared" si="60"/>
        <v>0.03</v>
      </c>
      <c r="N178" s="47" t="str">
        <f t="shared" si="65"/>
        <v>5 Point</v>
      </c>
      <c r="O178" s="17">
        <f t="shared" si="55"/>
        <v>228735</v>
      </c>
      <c r="AP178" s="6"/>
      <c r="AQ178" s="235"/>
      <c r="AR178" s="235"/>
      <c r="AT178" s="6"/>
      <c r="AU178" s="17"/>
      <c r="AY178" s="6" t="s">
        <v>1144</v>
      </c>
      <c r="AZ178" s="235" t="s">
        <v>1137</v>
      </c>
      <c r="BA178" s="235" t="s">
        <v>1184</v>
      </c>
      <c r="BB178" s="6">
        <v>9</v>
      </c>
      <c r="BC178" s="17">
        <f t="shared" si="66"/>
        <v>25500</v>
      </c>
      <c r="BD178" s="116">
        <f t="shared" si="61"/>
        <v>0.03</v>
      </c>
      <c r="BE178" s="17">
        <f t="shared" si="56"/>
        <v>228735</v>
      </c>
      <c r="BF178" s="17"/>
      <c r="BG178" s="235" t="s">
        <v>1137</v>
      </c>
      <c r="BH178" s="250">
        <f t="shared" si="57"/>
        <v>755</v>
      </c>
      <c r="BI178" s="250">
        <f>SUMIF(Table13[Category],Table14[[#This Row],[Category]],Table13[[Quantity ]])</f>
        <v>241</v>
      </c>
      <c r="BJ178" s="250">
        <f>Table14[[#This Row],[Inventory]]-Table14[[#This Row],[Update ]]</f>
        <v>514</v>
      </c>
    </row>
    <row r="179" spans="1:62" ht="21" customHeight="1" x14ac:dyDescent="0.35">
      <c r="A179">
        <v>176</v>
      </c>
      <c r="B179" s="136">
        <v>44989</v>
      </c>
      <c r="C179" t="s">
        <v>1087</v>
      </c>
      <c r="D179" s="1" t="s">
        <v>162</v>
      </c>
      <c r="E179" t="s">
        <v>1096</v>
      </c>
      <c r="F179" s="6" t="s">
        <v>1123</v>
      </c>
      <c r="G179" s="6" t="s">
        <v>1149</v>
      </c>
      <c r="H179" s="235" t="str">
        <f t="shared" si="62"/>
        <v>Non Food Product</v>
      </c>
      <c r="I179" s="235" t="s">
        <v>1174</v>
      </c>
      <c r="J179" t="str">
        <f t="shared" si="63"/>
        <v>Gold</v>
      </c>
      <c r="K179" s="6">
        <v>5</v>
      </c>
      <c r="L179" s="17">
        <f t="shared" si="64"/>
        <v>85500</v>
      </c>
      <c r="M179" s="116">
        <f t="shared" si="60"/>
        <v>0.02</v>
      </c>
      <c r="N179" s="47" t="str">
        <f t="shared" si="65"/>
        <v>10 Point</v>
      </c>
      <c r="O179" s="17">
        <f t="shared" si="55"/>
        <v>425790</v>
      </c>
      <c r="AP179" s="6"/>
      <c r="AQ179" s="235"/>
      <c r="AR179" s="80"/>
      <c r="AT179" s="6"/>
      <c r="AU179" s="17"/>
      <c r="AY179" s="6" t="s">
        <v>1149</v>
      </c>
      <c r="AZ179" s="235" t="s">
        <v>1136</v>
      </c>
      <c r="BA179" s="235" t="s">
        <v>1174</v>
      </c>
      <c r="BB179" s="6">
        <v>5</v>
      </c>
      <c r="BC179" s="17">
        <f t="shared" si="66"/>
        <v>85500</v>
      </c>
      <c r="BD179" s="116">
        <f t="shared" si="61"/>
        <v>0.02</v>
      </c>
      <c r="BE179" s="17">
        <f t="shared" si="56"/>
        <v>425790</v>
      </c>
      <c r="BF179" s="17"/>
      <c r="BG179" s="235" t="s">
        <v>1136</v>
      </c>
      <c r="BH179" s="250">
        <f t="shared" si="57"/>
        <v>900</v>
      </c>
      <c r="BI179" s="250">
        <f>SUMIF(Table13[Category],Table14[[#This Row],[Category]],Table13[[Quantity ]])</f>
        <v>299</v>
      </c>
      <c r="BJ179" s="250">
        <f>Table14[[#This Row],[Inventory]]-Table14[[#This Row],[Update ]]</f>
        <v>601</v>
      </c>
    </row>
    <row r="180" spans="1:62" ht="21" customHeight="1" x14ac:dyDescent="0.35">
      <c r="A180">
        <v>177</v>
      </c>
      <c r="B180" s="136">
        <v>44989</v>
      </c>
      <c r="C180" t="s">
        <v>1088</v>
      </c>
      <c r="D180" s="1" t="s">
        <v>162</v>
      </c>
      <c r="E180" t="s">
        <v>1092</v>
      </c>
      <c r="F180" s="6" t="s">
        <v>1124</v>
      </c>
      <c r="G180" s="6" t="s">
        <v>1150</v>
      </c>
      <c r="H180" s="235" t="str">
        <f t="shared" si="62"/>
        <v>Non Food Product</v>
      </c>
      <c r="I180" s="235" t="s">
        <v>1178</v>
      </c>
      <c r="J180" t="str">
        <f t="shared" si="63"/>
        <v>Gold</v>
      </c>
      <c r="K180" s="6">
        <v>7</v>
      </c>
      <c r="L180" s="17">
        <f t="shared" si="64"/>
        <v>225000</v>
      </c>
      <c r="M180" s="116">
        <f t="shared" si="60"/>
        <v>0.02</v>
      </c>
      <c r="N180" s="47" t="str">
        <f t="shared" si="65"/>
        <v>15 Point</v>
      </c>
      <c r="O180" s="17">
        <f t="shared" si="55"/>
        <v>1570500</v>
      </c>
      <c r="AP180" s="6"/>
      <c r="AQ180" s="235"/>
      <c r="AR180" s="80"/>
      <c r="AT180" s="6"/>
      <c r="AU180" s="17"/>
      <c r="AY180" s="6" t="s">
        <v>1150</v>
      </c>
      <c r="AZ180" s="235" t="s">
        <v>1136</v>
      </c>
      <c r="BA180" s="235" t="s">
        <v>1178</v>
      </c>
      <c r="BB180" s="6">
        <v>7</v>
      </c>
      <c r="BC180" s="17">
        <f t="shared" si="66"/>
        <v>225000</v>
      </c>
      <c r="BD180" s="116">
        <f t="shared" si="61"/>
        <v>0.02</v>
      </c>
      <c r="BE180" s="17">
        <f t="shared" si="56"/>
        <v>1570500</v>
      </c>
      <c r="BF180" s="17"/>
      <c r="BG180" s="235" t="s">
        <v>1136</v>
      </c>
      <c r="BH180" s="250">
        <f t="shared" si="57"/>
        <v>900</v>
      </c>
      <c r="BI180" s="250">
        <f>SUMIF(Table13[Category],Table14[[#This Row],[Category]],Table13[[Quantity ]])</f>
        <v>299</v>
      </c>
      <c r="BJ180" s="250">
        <f>Table14[[#This Row],[Inventory]]-Table14[[#This Row],[Update ]]</f>
        <v>601</v>
      </c>
    </row>
    <row r="181" spans="1:62" ht="21" customHeight="1" x14ac:dyDescent="0.35">
      <c r="A181">
        <v>178</v>
      </c>
      <c r="B181" s="136">
        <v>44990</v>
      </c>
      <c r="C181" t="s">
        <v>1089</v>
      </c>
      <c r="D181" s="1" t="s">
        <v>163</v>
      </c>
      <c r="E181" t="s">
        <v>1096</v>
      </c>
      <c r="F181" s="6" t="s">
        <v>1127</v>
      </c>
      <c r="G181" s="6" t="s">
        <v>1150</v>
      </c>
      <c r="H181" s="235" t="str">
        <f t="shared" si="62"/>
        <v>Non Food Product</v>
      </c>
      <c r="I181" s="235" t="s">
        <v>1178</v>
      </c>
      <c r="J181" t="str">
        <f t="shared" si="63"/>
        <v>Platinum</v>
      </c>
      <c r="K181" s="6">
        <v>7</v>
      </c>
      <c r="L181" s="17">
        <f t="shared" si="64"/>
        <v>225000</v>
      </c>
      <c r="M181" s="116">
        <f t="shared" si="60"/>
        <v>0.02</v>
      </c>
      <c r="N181" s="47" t="str">
        <f t="shared" si="65"/>
        <v>25 Point</v>
      </c>
      <c r="O181" s="17">
        <f t="shared" si="55"/>
        <v>1570500</v>
      </c>
      <c r="AP181" s="6"/>
      <c r="AQ181" s="235"/>
      <c r="AR181" s="80"/>
      <c r="AT181" s="6"/>
      <c r="AU181" s="17"/>
      <c r="AY181" s="6" t="s">
        <v>1150</v>
      </c>
      <c r="AZ181" s="235" t="s">
        <v>1136</v>
      </c>
      <c r="BA181" s="235" t="s">
        <v>1178</v>
      </c>
      <c r="BB181" s="6">
        <v>7</v>
      </c>
      <c r="BC181" s="17">
        <f t="shared" si="66"/>
        <v>225000</v>
      </c>
      <c r="BD181" s="116">
        <f t="shared" si="61"/>
        <v>0.02</v>
      </c>
      <c r="BE181" s="17">
        <f t="shared" si="56"/>
        <v>1570500</v>
      </c>
      <c r="BF181" s="17"/>
      <c r="BG181" s="235" t="s">
        <v>1136</v>
      </c>
      <c r="BH181" s="250">
        <f t="shared" si="57"/>
        <v>900</v>
      </c>
      <c r="BI181" s="250">
        <f>SUMIF(Table13[Category],Table14[[#This Row],[Category]],Table13[[Quantity ]])</f>
        <v>299</v>
      </c>
      <c r="BJ181" s="250">
        <f>Table14[[#This Row],[Inventory]]-Table14[[#This Row],[Update ]]</f>
        <v>601</v>
      </c>
    </row>
    <row r="182" spans="1:62" ht="21" customHeight="1" x14ac:dyDescent="0.35">
      <c r="A182">
        <v>179</v>
      </c>
      <c r="B182" s="136">
        <v>44990</v>
      </c>
      <c r="C182" t="s">
        <v>1090</v>
      </c>
      <c r="D182" s="1" t="s">
        <v>162</v>
      </c>
      <c r="E182" t="s">
        <v>1096</v>
      </c>
      <c r="F182" s="6" t="s">
        <v>1118</v>
      </c>
      <c r="G182" s="6" t="s">
        <v>1140</v>
      </c>
      <c r="H182" s="235" t="str">
        <f t="shared" si="62"/>
        <v>Non Food Product</v>
      </c>
      <c r="I182" s="235" t="s">
        <v>1178</v>
      </c>
      <c r="J182" t="str">
        <f t="shared" si="63"/>
        <v>Silver</v>
      </c>
      <c r="K182" s="6">
        <v>7</v>
      </c>
      <c r="L182" s="17">
        <f t="shared" si="64"/>
        <v>225000</v>
      </c>
      <c r="M182" s="116">
        <f t="shared" si="60"/>
        <v>0.02</v>
      </c>
      <c r="N182" s="47" t="str">
        <f t="shared" si="65"/>
        <v>15 Point</v>
      </c>
      <c r="O182" s="17">
        <f t="shared" si="55"/>
        <v>1570500</v>
      </c>
      <c r="AP182" s="6"/>
      <c r="AQ182" s="235"/>
      <c r="AR182" s="235"/>
      <c r="AT182" s="6"/>
      <c r="AU182" s="17"/>
      <c r="AY182" s="6" t="s">
        <v>1140</v>
      </c>
      <c r="AZ182" s="235" t="s">
        <v>1136</v>
      </c>
      <c r="BA182" s="235" t="s">
        <v>1178</v>
      </c>
      <c r="BB182" s="6">
        <v>7</v>
      </c>
      <c r="BC182" s="17">
        <f t="shared" si="66"/>
        <v>225000</v>
      </c>
      <c r="BD182" s="116">
        <f t="shared" si="61"/>
        <v>0.02</v>
      </c>
      <c r="BE182" s="17">
        <f t="shared" si="56"/>
        <v>1570500</v>
      </c>
      <c r="BF182" s="17"/>
      <c r="BG182" s="235" t="s">
        <v>1136</v>
      </c>
      <c r="BH182" s="250">
        <f t="shared" si="57"/>
        <v>900</v>
      </c>
      <c r="BI182" s="250">
        <f>SUMIF(Table13[Category],Table14[[#This Row],[Category]],Table13[[Quantity ]])</f>
        <v>299</v>
      </c>
      <c r="BJ182" s="250">
        <f>Table14[[#This Row],[Inventory]]-Table14[[#This Row],[Update ]]</f>
        <v>601</v>
      </c>
    </row>
    <row r="183" spans="1:62" ht="21" customHeight="1" x14ac:dyDescent="0.35">
      <c r="A183">
        <v>180</v>
      </c>
      <c r="B183" s="136">
        <v>44990</v>
      </c>
      <c r="C183" t="s">
        <v>1091</v>
      </c>
      <c r="D183" s="1" t="s">
        <v>162</v>
      </c>
      <c r="E183" t="s">
        <v>1096</v>
      </c>
      <c r="F183" s="6" t="s">
        <v>1118</v>
      </c>
      <c r="G183" s="6" t="s">
        <v>1149</v>
      </c>
      <c r="H183" s="235" t="str">
        <f t="shared" si="62"/>
        <v>Non Food Product</v>
      </c>
      <c r="I183" s="235" t="s">
        <v>1174</v>
      </c>
      <c r="J183" t="str">
        <f t="shared" si="63"/>
        <v>Silver</v>
      </c>
      <c r="K183" s="6">
        <v>8</v>
      </c>
      <c r="L183" s="17">
        <f t="shared" si="64"/>
        <v>85500</v>
      </c>
      <c r="M183" s="116">
        <f t="shared" si="60"/>
        <v>0.02</v>
      </c>
      <c r="N183" s="47" t="str">
        <f t="shared" si="65"/>
        <v>15 Point</v>
      </c>
      <c r="O183" s="17">
        <f t="shared" si="55"/>
        <v>682290</v>
      </c>
      <c r="AP183" s="6"/>
      <c r="AQ183" s="235"/>
      <c r="AR183" s="80"/>
      <c r="AT183" s="6"/>
      <c r="AU183" s="17"/>
      <c r="AY183" s="6" t="s">
        <v>1149</v>
      </c>
      <c r="AZ183" s="235" t="s">
        <v>1136</v>
      </c>
      <c r="BA183" s="235" t="s">
        <v>1174</v>
      </c>
      <c r="BB183" s="6">
        <v>8</v>
      </c>
      <c r="BC183" s="17">
        <f t="shared" si="66"/>
        <v>85500</v>
      </c>
      <c r="BD183" s="116">
        <f t="shared" si="61"/>
        <v>0.02</v>
      </c>
      <c r="BE183" s="17">
        <f t="shared" si="56"/>
        <v>682290</v>
      </c>
      <c r="BF183" s="17"/>
      <c r="BG183" s="235" t="s">
        <v>1136</v>
      </c>
      <c r="BH183" s="250">
        <f t="shared" si="57"/>
        <v>900</v>
      </c>
      <c r="BI183" s="250">
        <f>SUMIF(Table13[Category],Table14[[#This Row],[Category]],Table13[[Quantity ]])</f>
        <v>299</v>
      </c>
      <c r="BJ183" s="250">
        <f>Table14[[#This Row],[Inventory]]-Table14[[#This Row],[Update ]]</f>
        <v>601</v>
      </c>
    </row>
    <row r="184" spans="1:62" ht="21" customHeight="1" x14ac:dyDescent="0.35">
      <c r="K184" s="6">
        <f>SUM(K4:K183)</f>
        <v>1100</v>
      </c>
      <c r="O184" s="17">
        <f>SUM(O4:O183)</f>
        <v>104827888.20999999</v>
      </c>
      <c r="AP184" s="6"/>
      <c r="AQ184" s="235"/>
      <c r="AR184" s="80"/>
      <c r="AT184" s="6"/>
      <c r="AU184" s="17"/>
      <c r="BB184" s="6">
        <f>SUM(BB4:BB183)</f>
        <v>1100</v>
      </c>
      <c r="BE184" s="17">
        <f>SUM(BE4:BE183)</f>
        <v>104827888.20999999</v>
      </c>
      <c r="BF184" s="17"/>
      <c r="BH184" s="250"/>
      <c r="BI184" s="250"/>
      <c r="BJ184" s="250"/>
    </row>
    <row r="185" spans="1:62" ht="21" customHeight="1" x14ac:dyDescent="0.35">
      <c r="O185" s="17">
        <f>AVERAGE(O4:O183)</f>
        <v>582377.15672222222</v>
      </c>
      <c r="AP185" s="6"/>
      <c r="AQ185" s="235"/>
      <c r="AR185" s="80"/>
      <c r="AT185" s="6"/>
      <c r="AU185" s="17"/>
      <c r="BE185" s="17">
        <f>AVERAGE(BE4:BE183)</f>
        <v>582377.15672222222</v>
      </c>
      <c r="BF185" s="17"/>
      <c r="BH185" s="17"/>
      <c r="BI185" s="17"/>
      <c r="BJ185" s="17"/>
    </row>
    <row r="186" spans="1:62" ht="21" customHeight="1" x14ac:dyDescent="0.35">
      <c r="AP186" s="6"/>
      <c r="AQ186" s="235"/>
      <c r="AR186" s="80"/>
      <c r="AT186" s="6"/>
      <c r="AU186" s="17"/>
      <c r="AZ186" s="235" t="s">
        <v>1316</v>
      </c>
      <c r="BA186" s="6">
        <f>COUNTIF(Table13[Category],AZ167)</f>
        <v>53</v>
      </c>
    </row>
    <row r="187" spans="1:62" ht="21" customHeight="1" x14ac:dyDescent="0.35">
      <c r="AP187" s="6"/>
      <c r="AQ187" s="235"/>
      <c r="AR187" s="80"/>
      <c r="AT187" s="6"/>
      <c r="AU187" s="17"/>
      <c r="AZ187" s="235" t="s">
        <v>1136</v>
      </c>
      <c r="BA187" s="6">
        <f>COUNTIF(Table13[Category],AZ179)</f>
        <v>47</v>
      </c>
    </row>
    <row r="188" spans="1:62" ht="21" customHeight="1" x14ac:dyDescent="0.35">
      <c r="AP188" s="6"/>
      <c r="AQ188" s="235"/>
      <c r="AR188" s="80"/>
      <c r="AT188" s="6"/>
      <c r="AU188" s="17"/>
      <c r="AZ188" s="235" t="s">
        <v>1138</v>
      </c>
      <c r="BA188" s="6">
        <f>COUNTIF(Table13[Category],AZ170)</f>
        <v>34</v>
      </c>
    </row>
    <row r="189" spans="1:62" ht="21" customHeight="1" x14ac:dyDescent="0.35">
      <c r="AP189" s="6"/>
      <c r="AQ189" s="235"/>
      <c r="AR189" s="235"/>
      <c r="AT189" s="6"/>
      <c r="AU189" s="17"/>
      <c r="AZ189" s="235" t="s">
        <v>1137</v>
      </c>
      <c r="BA189" s="6">
        <f>COUNTIF(Table13[Category],AZ177)</f>
        <v>46</v>
      </c>
    </row>
    <row r="190" spans="1:62" ht="21" customHeight="1" x14ac:dyDescent="0.35">
      <c r="AP190" s="6"/>
      <c r="AQ190" s="235"/>
      <c r="AR190" s="80"/>
      <c r="AT190" s="6"/>
      <c r="AU190" s="17"/>
    </row>
    <row r="191" spans="1:62" ht="21" customHeight="1" x14ac:dyDescent="0.35">
      <c r="AP191" s="6"/>
      <c r="AQ191" s="235"/>
      <c r="AR191" s="235"/>
      <c r="AT191" s="6"/>
      <c r="AU191" s="17"/>
    </row>
    <row r="192" spans="1:62" ht="21" customHeight="1" x14ac:dyDescent="0.35">
      <c r="AP192" s="6"/>
      <c r="AQ192" s="235"/>
      <c r="AR192" s="235"/>
      <c r="AT192" s="6"/>
      <c r="AU192" s="17"/>
    </row>
    <row r="193" spans="42:47" ht="21" customHeight="1" x14ac:dyDescent="0.35">
      <c r="AP193" s="6"/>
      <c r="AQ193" s="235"/>
      <c r="AR193" s="235"/>
      <c r="AT193" s="6"/>
      <c r="AU193" s="17"/>
    </row>
    <row r="194" spans="42:47" ht="21" customHeight="1" x14ac:dyDescent="0.35">
      <c r="AP194" s="6"/>
      <c r="AQ194" s="235"/>
      <c r="AR194" s="80"/>
      <c r="AT194" s="6"/>
      <c r="AU194" s="17"/>
    </row>
    <row r="195" spans="42:47" ht="21" customHeight="1" x14ac:dyDescent="0.35">
      <c r="AP195" s="6"/>
      <c r="AQ195" s="235"/>
      <c r="AR195" s="80"/>
      <c r="AT195" s="6"/>
      <c r="AU195" s="17"/>
    </row>
    <row r="196" spans="42:47" ht="21" customHeight="1" x14ac:dyDescent="0.35">
      <c r="AP196" s="6"/>
      <c r="AQ196" s="235"/>
      <c r="AR196" s="80"/>
      <c r="AT196" s="6"/>
      <c r="AU196" s="17"/>
    </row>
    <row r="197" spans="42:47" ht="21" customHeight="1" x14ac:dyDescent="0.35">
      <c r="AP197" s="6"/>
      <c r="AQ197" s="235"/>
      <c r="AR197" s="235"/>
      <c r="AT197" s="6"/>
      <c r="AU197" s="17"/>
    </row>
    <row r="198" spans="42:47" ht="21" customHeight="1" x14ac:dyDescent="0.35">
      <c r="AP198" s="6"/>
      <c r="AQ198" s="235"/>
      <c r="AR198" s="235"/>
      <c r="AT198" s="6"/>
      <c r="AU198" s="17"/>
    </row>
    <row r="199" spans="42:47" ht="21" customHeight="1" x14ac:dyDescent="0.35">
      <c r="AP199" s="6"/>
      <c r="AQ199" s="235"/>
      <c r="AR199" s="80"/>
      <c r="AT199" s="6"/>
      <c r="AU199" s="17"/>
    </row>
    <row r="200" spans="42:47" ht="21" customHeight="1" x14ac:dyDescent="0.35">
      <c r="AP200" s="6"/>
      <c r="AQ200" s="235"/>
      <c r="AR200" s="235"/>
      <c r="AT200" s="6"/>
      <c r="AU200" s="17"/>
    </row>
    <row r="201" spans="42:47" ht="21" customHeight="1" x14ac:dyDescent="0.35">
      <c r="AP201" s="6"/>
      <c r="AQ201" s="235"/>
      <c r="AR201" s="80"/>
      <c r="AT201" s="6"/>
      <c r="AU201" s="17"/>
    </row>
    <row r="202" spans="42:47" ht="21" customHeight="1" x14ac:dyDescent="0.35">
      <c r="AP202" s="6"/>
      <c r="AQ202" s="235"/>
      <c r="AR202" s="80"/>
      <c r="AT202" s="6"/>
      <c r="AU202" s="17"/>
    </row>
    <row r="203" spans="42:47" ht="21" customHeight="1" x14ac:dyDescent="0.35">
      <c r="AP203" s="6"/>
      <c r="AQ203" s="235"/>
      <c r="AR203" s="80"/>
      <c r="AT203" s="6"/>
      <c r="AU203" s="17"/>
    </row>
    <row r="204" spans="42:47" ht="21" customHeight="1" x14ac:dyDescent="0.35">
      <c r="AP204" s="6"/>
      <c r="AQ204" s="235"/>
      <c r="AR204" s="235"/>
      <c r="AT204" s="6"/>
      <c r="AU204" s="17"/>
    </row>
    <row r="205" spans="42:47" ht="21" customHeight="1" x14ac:dyDescent="0.35">
      <c r="AP205" s="6"/>
      <c r="AQ205" s="235"/>
      <c r="AR205" s="235"/>
      <c r="AT205" s="6"/>
      <c r="AU205" s="17"/>
    </row>
    <row r="206" spans="42:47" ht="21" customHeight="1" x14ac:dyDescent="0.35">
      <c r="AP206" s="6"/>
      <c r="AQ206" s="235"/>
      <c r="AR206" s="235"/>
      <c r="AT206" s="6"/>
      <c r="AU206" s="17"/>
    </row>
    <row r="207" spans="42:47" ht="21" customHeight="1" x14ac:dyDescent="0.35">
      <c r="AP207" s="6"/>
      <c r="AQ207" s="235"/>
      <c r="AR207" s="235"/>
      <c r="AT207" s="6"/>
      <c r="AU207" s="17"/>
    </row>
    <row r="208" spans="42:47" ht="21" customHeight="1" x14ac:dyDescent="0.35">
      <c r="AP208" s="6"/>
      <c r="AQ208" s="235"/>
      <c r="AR208" s="235"/>
      <c r="AT208" s="6"/>
      <c r="AU208" s="17"/>
    </row>
    <row r="209" spans="42:47" ht="21" customHeight="1" x14ac:dyDescent="0.35">
      <c r="AP209" s="6"/>
      <c r="AQ209" s="235"/>
      <c r="AR209" s="235"/>
      <c r="AT209" s="6"/>
      <c r="AU209" s="17"/>
    </row>
    <row r="210" spans="42:47" ht="21" customHeight="1" x14ac:dyDescent="0.35">
      <c r="AP210" s="6"/>
      <c r="AQ210" s="235"/>
      <c r="AR210" s="235"/>
      <c r="AT210" s="6"/>
      <c r="AU210" s="17"/>
    </row>
    <row r="211" spans="42:47" ht="21" customHeight="1" x14ac:dyDescent="0.35">
      <c r="AP211" s="6"/>
      <c r="AQ211" s="235"/>
      <c r="AR211" s="235"/>
      <c r="AT211" s="6"/>
      <c r="AU211" s="17"/>
    </row>
    <row r="212" spans="42:47" ht="21" customHeight="1" x14ac:dyDescent="0.35">
      <c r="AP212" s="6"/>
      <c r="AQ212" s="235"/>
      <c r="AR212" s="235"/>
      <c r="AT212" s="6"/>
      <c r="AU212" s="17"/>
    </row>
  </sheetData>
  <scenarios current="3" show="3" sqref="AD45">
    <scenario name="Food Product" locked="1" count="6" user="Microsoft Office User" comment="Created by Microsoft Office User on 04/06/2023_x000a_Modified by Microsoft Office User on 04/06/2023">
      <inputCells r="AD36" val="94245" numFmtId="165"/>
      <inputCells r="AD37" val="100"/>
      <inputCells r="AD39" val="500000"/>
      <inputCells r="AD40" val="850000"/>
      <inputCells r="AD41" val="350000"/>
      <inputCells r="AD42" val="1700000"/>
    </scenario>
    <scenario name="Non Food Product" locked="1" count="6" user="Microsoft Office User" comment="Created by Microsoft Office User on 04/06/2023_x000a_Modified by Microsoft Office User on 04/06/2023">
      <inputCells r="AE36" val="135628" numFmtId="165"/>
      <inputCells r="AE37" val="150"/>
      <inputCells r="AE39" val="930000"/>
      <inputCells r="AE40" val="1162500"/>
      <inputCells r="AE41" val="675000"/>
      <inputCells r="AE42" val="2767500"/>
    </scenario>
    <scenario name="General Merchandise Product" locked="1" count="6" user="Microsoft Office User" comment="Created by Microsoft Office User on 04/06/2023_x000a_Modified by Microsoft Office User on 04/06/2023">
      <inputCells r="AF36" val="92559" numFmtId="165"/>
      <inputCells r="AF37" val="200"/>
      <inputCells r="AF39" val="1400000"/>
      <inputCells r="AF40" val="1600000"/>
      <inputCells r="AF41" val="2300000"/>
      <inputCells r="AF42" val="5300000"/>
    </scenario>
    <scenario name="Perishable" locked="1" count="6" user="Microsoft Office User" comment="Created by Microsoft Office User on 04/06/2023_x000a_Modified by Microsoft Office User on 04/06/2023">
      <inputCells r="AG36" val="52731" numFmtId="165"/>
      <inputCells r="AG37" val="250"/>
      <inputCells r="AG39" val="875000"/>
      <inputCells r="AG40" val="1950000"/>
      <inputCells r="AG41" val="1750000"/>
      <inputCells r="AG42" val="4575000"/>
    </scenario>
  </scenarios>
  <mergeCells count="1">
    <mergeCell ref="B2:M2"/>
  </mergeCells>
  <dataValidations count="1">
    <dataValidation type="list" allowBlank="1" showInputMessage="1" showErrorMessage="1" sqref="AJ33" xr:uid="{930A2CCB-80F2-2A4A-950C-5DB095E9C195}">
      <formula1>$AL$33:$AL$36</formula1>
    </dataValidation>
  </dataValidations>
  <pageMargins left="0.7" right="0.7" top="0.75" bottom="0.75" header="0.3" footer="0.3"/>
  <ignoredErrors>
    <ignoredError sqref="BH88:BH89" calculatedColumn="1"/>
  </ignoredErrors>
  <drawing r:id="rId1"/>
  <legacyDrawing r:id="rId2"/>
  <mc:AlternateContent xmlns:mc="http://schemas.openxmlformats.org/markup-compatibility/2006">
    <mc:Choice Requires="x14">
      <controls>
        <mc:AlternateContent xmlns:mc="http://schemas.openxmlformats.org/markup-compatibility/2006">
          <mc:Choice Requires="x14">
            <control shapeId="25604" r:id="rId3" name="Button 4">
              <controlPr defaultSize="0" print="0" autoFill="0" autoPict="0" macro="[0]!Macro13">
                <anchor moveWithCells="1" sizeWithCells="1">
                  <from>
                    <xdr:col>38</xdr:col>
                    <xdr:colOff>393700</xdr:colOff>
                    <xdr:row>31</xdr:row>
                    <xdr:rowOff>25400</xdr:rowOff>
                  </from>
                  <to>
                    <xdr:col>38</xdr:col>
                    <xdr:colOff>1917700</xdr:colOff>
                    <xdr:row>32</xdr:row>
                    <xdr:rowOff>127000</xdr:rowOff>
                  </to>
                </anchor>
              </controlPr>
            </control>
          </mc:Choice>
        </mc:AlternateContent>
      </controls>
    </mc:Choice>
  </mc:AlternateContent>
  <tableParts count="2">
    <tablePart r:id="rId4"/>
    <tablePart r:id="rId5"/>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8A4DA-7523-1742-A087-F3A5B44FBC1E}">
  <sheetPr>
    <tabColor theme="8" tint="0.39997558519241921"/>
  </sheetPr>
  <dimension ref="A2:BJ212"/>
  <sheetViews>
    <sheetView zoomScale="81" workbookViewId="0">
      <selection activeCell="BJ16" sqref="BJ16"/>
    </sheetView>
  </sheetViews>
  <sheetFormatPr defaultColWidth="10.83203125" defaultRowHeight="21" customHeight="1" x14ac:dyDescent="0.35"/>
  <cols>
    <col min="3" max="3" width="25.83203125" customWidth="1"/>
    <col min="4" max="4" width="8.83203125" customWidth="1"/>
    <col min="5" max="5" width="13.33203125" customWidth="1"/>
    <col min="6" max="6" width="13.83203125" style="6" customWidth="1"/>
    <col min="7" max="7" width="10.83203125" style="6"/>
    <col min="8" max="8" width="25.6640625" bestFit="1" customWidth="1"/>
    <col min="9" max="9" width="31.5" customWidth="1"/>
    <col min="11" max="11" width="10.5" style="6" customWidth="1"/>
    <col min="12" max="12" width="13.33203125" style="17" customWidth="1"/>
    <col min="14" max="14" width="13.83203125" style="47" customWidth="1"/>
    <col min="15" max="15" width="17.6640625" customWidth="1"/>
    <col min="17" max="17" width="15" customWidth="1"/>
    <col min="18" max="18" width="29.5" bestFit="1" customWidth="1"/>
    <col min="19" max="19" width="18.33203125" customWidth="1"/>
    <col min="20" max="20" width="29" customWidth="1"/>
    <col min="21" max="21" width="26.1640625" bestFit="1" customWidth="1"/>
    <col min="22" max="22" width="15.1640625" bestFit="1" customWidth="1"/>
    <col min="27" max="27" width="10.83203125" style="84"/>
    <col min="29" max="29" width="22" customWidth="1"/>
    <col min="30" max="30" width="19.33203125" customWidth="1"/>
    <col min="31" max="31" width="18.6640625" customWidth="1"/>
    <col min="32" max="32" width="26.1640625" bestFit="1" customWidth="1"/>
    <col min="33" max="33" width="18.83203125" customWidth="1"/>
    <col min="36" max="36" width="21.83203125" customWidth="1"/>
    <col min="37" max="37" width="18.83203125" customWidth="1"/>
    <col min="38" max="38" width="19.1640625" customWidth="1"/>
    <col min="39" max="39" width="26.1640625" bestFit="1" customWidth="1"/>
    <col min="40" max="40" width="10" bestFit="1" customWidth="1"/>
    <col min="43" max="43" width="25.6640625" bestFit="1" customWidth="1"/>
    <col min="44" max="44" width="29.5" bestFit="1" customWidth="1"/>
    <col min="47" max="47" width="12.1640625" bestFit="1" customWidth="1"/>
    <col min="50" max="50" width="10.6640625"/>
    <col min="51" max="51" width="12.1640625" style="6" customWidth="1"/>
    <col min="52" max="52" width="25.6640625" bestFit="1" customWidth="1"/>
    <col min="53" max="53" width="31.5" customWidth="1"/>
    <col min="54" max="54" width="11.1640625" style="6" customWidth="1"/>
    <col min="55" max="55" width="13.33203125" style="17" customWidth="1"/>
    <col min="57" max="58" width="17.6640625" customWidth="1"/>
    <col min="59" max="59" width="25.6640625" bestFit="1" customWidth="1"/>
    <col min="60" max="61" width="13.1640625" customWidth="1"/>
    <col min="62" max="62" width="14.5" customWidth="1"/>
  </cols>
  <sheetData>
    <row r="2" spans="1:62" ht="21" customHeight="1" x14ac:dyDescent="0.35">
      <c r="B2" s="262" t="s">
        <v>1099</v>
      </c>
      <c r="C2" s="262"/>
      <c r="D2" s="262"/>
      <c r="E2" s="262"/>
      <c r="F2" s="262"/>
      <c r="G2" s="262"/>
      <c r="H2" s="262"/>
      <c r="I2" s="262"/>
      <c r="J2" s="262"/>
      <c r="K2" s="262"/>
      <c r="L2" s="262"/>
      <c r="M2" s="262"/>
      <c r="AY2"/>
      <c r="BB2"/>
      <c r="BC2"/>
    </row>
    <row r="3" spans="1:62" s="13" customFormat="1" ht="21" customHeight="1" x14ac:dyDescent="0.35">
      <c r="B3" s="13" t="s">
        <v>1002</v>
      </c>
      <c r="C3" s="13" t="s">
        <v>999</v>
      </c>
      <c r="D3" s="13" t="s">
        <v>5</v>
      </c>
      <c r="E3" s="13" t="s">
        <v>1001</v>
      </c>
      <c r="F3" s="13" t="s">
        <v>1000</v>
      </c>
      <c r="G3" s="13" t="s">
        <v>992</v>
      </c>
      <c r="H3" s="13" t="s">
        <v>993</v>
      </c>
      <c r="I3" s="13" t="s">
        <v>991</v>
      </c>
      <c r="J3" s="13" t="s">
        <v>994</v>
      </c>
      <c r="K3" s="13" t="s">
        <v>996</v>
      </c>
      <c r="L3" s="236" t="s">
        <v>998</v>
      </c>
      <c r="M3" s="13" t="s">
        <v>997</v>
      </c>
      <c r="N3" s="13" t="s">
        <v>1098</v>
      </c>
      <c r="O3" s="13" t="s">
        <v>580</v>
      </c>
      <c r="Q3" s="13" t="s">
        <v>1000</v>
      </c>
      <c r="S3" s="14" t="s">
        <v>992</v>
      </c>
      <c r="AA3" s="85"/>
      <c r="AY3" s="13" t="s">
        <v>992</v>
      </c>
      <c r="AZ3" s="13" t="s">
        <v>993</v>
      </c>
      <c r="BA3" s="13" t="s">
        <v>991</v>
      </c>
      <c r="BB3" s="13" t="s">
        <v>996</v>
      </c>
      <c r="BC3" s="236" t="s">
        <v>998</v>
      </c>
      <c r="BD3" s="13" t="s">
        <v>997</v>
      </c>
      <c r="BE3" s="13" t="s">
        <v>580</v>
      </c>
      <c r="BG3" s="13" t="s">
        <v>993</v>
      </c>
      <c r="BH3" s="13" t="s">
        <v>1313</v>
      </c>
      <c r="BI3" s="13" t="s">
        <v>1314</v>
      </c>
      <c r="BJ3" s="13" t="s">
        <v>1315</v>
      </c>
    </row>
    <row r="4" spans="1:62" ht="21" customHeight="1" x14ac:dyDescent="0.35">
      <c r="A4">
        <v>1</v>
      </c>
      <c r="B4" s="136">
        <v>44959</v>
      </c>
      <c r="C4" s="4" t="s">
        <v>73</v>
      </c>
      <c r="D4" s="1" t="s">
        <v>162</v>
      </c>
      <c r="E4" t="s">
        <v>1092</v>
      </c>
      <c r="F4" s="6" t="s">
        <v>1112</v>
      </c>
      <c r="G4" s="6" t="s">
        <v>1141</v>
      </c>
      <c r="H4" s="235"/>
      <c r="I4" s="235" t="s">
        <v>1185</v>
      </c>
      <c r="K4" s="6">
        <v>5</v>
      </c>
      <c r="L4" s="17">
        <f t="shared" ref="L4:L35" si="0">INDEX($S$40:$S$69,MATCH(I4,$R$40:$R$69,0))</f>
        <v>49999</v>
      </c>
      <c r="M4" s="116"/>
      <c r="O4" s="17">
        <f t="shared" ref="O4:O35" si="1">(K4*L4)-(L4*M4)</f>
        <v>249995</v>
      </c>
      <c r="Q4" t="s">
        <v>1097</v>
      </c>
      <c r="S4" t="s">
        <v>991</v>
      </c>
      <c r="AY4" s="6" t="s">
        <v>1141</v>
      </c>
      <c r="AZ4" s="235" t="s">
        <v>1137</v>
      </c>
      <c r="BA4" s="235" t="s">
        <v>1185</v>
      </c>
      <c r="BB4" s="6">
        <v>5</v>
      </c>
      <c r="BC4" s="17">
        <f t="shared" ref="BC4:BC35" si="2">INDEX($S$40:$S$69,MATCH(BA4,$R$40:$R$69,0))</f>
        <v>49999</v>
      </c>
      <c r="BD4" s="116">
        <f t="shared" ref="BD4:BD35" si="3">IF(BB4&gt;8,3%,2%)</f>
        <v>0.02</v>
      </c>
      <c r="BE4" s="17">
        <f t="shared" ref="BE4:BE35" si="4">(BB4*BC4)-(BC4*BD4)</f>
        <v>248995.02</v>
      </c>
      <c r="BF4" s="17"/>
      <c r="BG4" s="235" t="s">
        <v>1137</v>
      </c>
      <c r="BH4" s="250">
        <f t="shared" ref="BH4:BH35" si="5">IF(AZ4="Food Product",700,IF(AZ4="Non Food Product",900,IF(AZ4="General Merchandise Product",855,755)))</f>
        <v>755</v>
      </c>
      <c r="BI4" s="250"/>
      <c r="BJ4" s="250"/>
    </row>
    <row r="5" spans="1:62" ht="21" customHeight="1" x14ac:dyDescent="0.35">
      <c r="A5">
        <v>2</v>
      </c>
      <c r="B5" s="136">
        <v>44959</v>
      </c>
      <c r="C5" s="4" t="s">
        <v>74</v>
      </c>
      <c r="D5" s="1" t="s">
        <v>162</v>
      </c>
      <c r="E5" t="s">
        <v>1093</v>
      </c>
      <c r="F5" s="6" t="s">
        <v>1113</v>
      </c>
      <c r="G5" s="6" t="s">
        <v>1143</v>
      </c>
      <c r="H5" s="235"/>
      <c r="I5" s="235" t="s">
        <v>1186</v>
      </c>
      <c r="K5" s="6">
        <v>8</v>
      </c>
      <c r="L5" s="17">
        <f t="shared" si="0"/>
        <v>69999</v>
      </c>
      <c r="M5" s="116"/>
      <c r="O5" s="17">
        <f t="shared" si="1"/>
        <v>559992</v>
      </c>
      <c r="Q5" t="s">
        <v>1098</v>
      </c>
      <c r="S5" t="s">
        <v>995</v>
      </c>
      <c r="AY5" s="6" t="s">
        <v>1143</v>
      </c>
      <c r="AZ5" s="235" t="s">
        <v>1137</v>
      </c>
      <c r="BA5" s="235" t="s">
        <v>1186</v>
      </c>
      <c r="BB5" s="6">
        <v>8</v>
      </c>
      <c r="BC5" s="17">
        <f t="shared" si="2"/>
        <v>69999</v>
      </c>
      <c r="BD5" s="116">
        <f t="shared" si="3"/>
        <v>0.02</v>
      </c>
      <c r="BE5" s="17">
        <f t="shared" si="4"/>
        <v>558592.02</v>
      </c>
      <c r="BF5" s="17"/>
      <c r="BG5" s="235" t="s">
        <v>1137</v>
      </c>
      <c r="BH5" s="250">
        <f t="shared" si="5"/>
        <v>755</v>
      </c>
      <c r="BI5" s="250"/>
      <c r="BJ5" s="250"/>
    </row>
    <row r="6" spans="1:62" ht="21" customHeight="1" x14ac:dyDescent="0.35">
      <c r="A6">
        <v>3</v>
      </c>
      <c r="B6" s="136">
        <v>44959</v>
      </c>
      <c r="C6" s="4" t="s">
        <v>75</v>
      </c>
      <c r="D6" s="1" t="s">
        <v>162</v>
      </c>
      <c r="E6" t="s">
        <v>1094</v>
      </c>
      <c r="F6" s="6" t="s">
        <v>1114</v>
      </c>
      <c r="G6" s="6" t="s">
        <v>1141</v>
      </c>
      <c r="H6" s="235"/>
      <c r="I6" s="235" t="s">
        <v>1185</v>
      </c>
      <c r="K6" s="6">
        <v>8</v>
      </c>
      <c r="L6" s="17">
        <f t="shared" si="0"/>
        <v>49999</v>
      </c>
      <c r="M6" s="116"/>
      <c r="O6" s="17">
        <f t="shared" si="1"/>
        <v>399992</v>
      </c>
      <c r="S6" t="s">
        <v>993</v>
      </c>
      <c r="AY6" s="6" t="s">
        <v>1141</v>
      </c>
      <c r="AZ6" s="235" t="s">
        <v>1137</v>
      </c>
      <c r="BA6" s="235" t="s">
        <v>1185</v>
      </c>
      <c r="BB6" s="6">
        <v>8</v>
      </c>
      <c r="BC6" s="17">
        <f t="shared" si="2"/>
        <v>49999</v>
      </c>
      <c r="BD6" s="116">
        <f t="shared" si="3"/>
        <v>0.02</v>
      </c>
      <c r="BE6" s="17">
        <f t="shared" si="4"/>
        <v>398992.02</v>
      </c>
      <c r="BF6" s="17"/>
      <c r="BG6" s="235" t="s">
        <v>1137</v>
      </c>
      <c r="BH6" s="250">
        <f t="shared" si="5"/>
        <v>755</v>
      </c>
      <c r="BI6" s="250"/>
      <c r="BJ6" s="250"/>
    </row>
    <row r="7" spans="1:62" ht="21" customHeight="1" x14ac:dyDescent="0.35">
      <c r="A7">
        <v>4</v>
      </c>
      <c r="B7" s="136">
        <v>44959</v>
      </c>
      <c r="C7" s="4" t="s">
        <v>76</v>
      </c>
      <c r="D7" s="1" t="s">
        <v>162</v>
      </c>
      <c r="E7" t="s">
        <v>1093</v>
      </c>
      <c r="F7" s="6" t="s">
        <v>1103</v>
      </c>
      <c r="G7" s="6" t="s">
        <v>1144</v>
      </c>
      <c r="H7" s="235"/>
      <c r="I7" s="235" t="s">
        <v>1184</v>
      </c>
      <c r="K7" s="6">
        <v>2</v>
      </c>
      <c r="L7" s="17">
        <f t="shared" si="0"/>
        <v>25500</v>
      </c>
      <c r="M7" s="116"/>
      <c r="O7" s="17">
        <f t="shared" si="1"/>
        <v>51000</v>
      </c>
      <c r="AC7" s="97" t="s">
        <v>1191</v>
      </c>
      <c r="AY7" s="6" t="s">
        <v>1144</v>
      </c>
      <c r="AZ7" s="235" t="s">
        <v>1137</v>
      </c>
      <c r="BA7" s="235" t="s">
        <v>1184</v>
      </c>
      <c r="BB7" s="6">
        <v>2</v>
      </c>
      <c r="BC7" s="17">
        <f t="shared" si="2"/>
        <v>25500</v>
      </c>
      <c r="BD7" s="116">
        <f t="shared" si="3"/>
        <v>0.02</v>
      </c>
      <c r="BE7" s="17">
        <f t="shared" si="4"/>
        <v>50490</v>
      </c>
      <c r="BF7" s="17"/>
      <c r="BG7" s="235" t="s">
        <v>1137</v>
      </c>
      <c r="BH7" s="250">
        <f t="shared" si="5"/>
        <v>755</v>
      </c>
      <c r="BI7" s="250"/>
      <c r="BJ7" s="250"/>
    </row>
    <row r="8" spans="1:62" ht="21" customHeight="1" x14ac:dyDescent="0.35">
      <c r="A8">
        <v>5</v>
      </c>
      <c r="B8" s="136">
        <v>44959</v>
      </c>
      <c r="C8" s="4" t="s">
        <v>77</v>
      </c>
      <c r="D8" s="1" t="s">
        <v>163</v>
      </c>
      <c r="E8" t="s">
        <v>1092</v>
      </c>
      <c r="F8" s="6" t="s">
        <v>1115</v>
      </c>
      <c r="G8" s="6" t="s">
        <v>1149</v>
      </c>
      <c r="H8" s="235"/>
      <c r="I8" s="235" t="s">
        <v>1177</v>
      </c>
      <c r="K8" s="6">
        <v>2</v>
      </c>
      <c r="L8" s="17">
        <f t="shared" si="0"/>
        <v>195000</v>
      </c>
      <c r="M8" s="116"/>
      <c r="O8" s="17">
        <f t="shared" si="1"/>
        <v>390000</v>
      </c>
      <c r="AC8" s="97" t="s">
        <v>1192</v>
      </c>
      <c r="AY8" s="6" t="s">
        <v>1149</v>
      </c>
      <c r="AZ8" s="235" t="s">
        <v>1136</v>
      </c>
      <c r="BA8" s="235" t="s">
        <v>1177</v>
      </c>
      <c r="BB8" s="6">
        <v>2</v>
      </c>
      <c r="BC8" s="17">
        <f t="shared" si="2"/>
        <v>195000</v>
      </c>
      <c r="BD8" s="116">
        <f t="shared" si="3"/>
        <v>0.02</v>
      </c>
      <c r="BE8" s="17">
        <f t="shared" si="4"/>
        <v>386100</v>
      </c>
      <c r="BF8" s="17"/>
      <c r="BG8" s="235" t="s">
        <v>1136</v>
      </c>
      <c r="BH8" s="250">
        <f t="shared" si="5"/>
        <v>900</v>
      </c>
      <c r="BI8" s="250"/>
      <c r="BJ8" s="250"/>
    </row>
    <row r="9" spans="1:62" ht="21" customHeight="1" x14ac:dyDescent="0.35">
      <c r="A9">
        <v>6</v>
      </c>
      <c r="B9" s="136">
        <v>44959</v>
      </c>
      <c r="C9" s="4" t="s">
        <v>78</v>
      </c>
      <c r="D9" s="1" t="s">
        <v>163</v>
      </c>
      <c r="E9" t="s">
        <v>1092</v>
      </c>
      <c r="F9" s="6" t="s">
        <v>1116</v>
      </c>
      <c r="G9" s="6" t="s">
        <v>1150</v>
      </c>
      <c r="H9" s="235"/>
      <c r="I9" s="235" t="s">
        <v>1174</v>
      </c>
      <c r="K9" s="6">
        <v>2</v>
      </c>
      <c r="L9" s="17">
        <f t="shared" si="0"/>
        <v>85500</v>
      </c>
      <c r="M9" s="116"/>
      <c r="O9" s="17">
        <f t="shared" si="1"/>
        <v>171000</v>
      </c>
      <c r="Q9" s="15" t="s">
        <v>1000</v>
      </c>
      <c r="R9" s="15" t="s">
        <v>994</v>
      </c>
      <c r="T9" s="81" t="s">
        <v>1000</v>
      </c>
      <c r="U9" s="6">
        <v>11</v>
      </c>
      <c r="V9" s="6">
        <v>12</v>
      </c>
      <c r="W9" s="6">
        <v>13</v>
      </c>
      <c r="X9" s="6">
        <v>14</v>
      </c>
      <c r="Y9" s="6">
        <v>15</v>
      </c>
      <c r="AY9" s="6" t="s">
        <v>1150</v>
      </c>
      <c r="AZ9" s="235" t="s">
        <v>1136</v>
      </c>
      <c r="BA9" s="235" t="s">
        <v>1174</v>
      </c>
      <c r="BB9" s="6">
        <v>2</v>
      </c>
      <c r="BC9" s="17">
        <f t="shared" si="2"/>
        <v>85500</v>
      </c>
      <c r="BD9" s="116">
        <f t="shared" si="3"/>
        <v>0.02</v>
      </c>
      <c r="BE9" s="17">
        <f t="shared" si="4"/>
        <v>169290</v>
      </c>
      <c r="BF9" s="17"/>
      <c r="BG9" s="235" t="s">
        <v>1136</v>
      </c>
      <c r="BH9" s="250">
        <f t="shared" si="5"/>
        <v>900</v>
      </c>
      <c r="BI9" s="250"/>
      <c r="BJ9" s="250"/>
    </row>
    <row r="10" spans="1:62" ht="21" customHeight="1" x14ac:dyDescent="0.35">
      <c r="A10">
        <v>7</v>
      </c>
      <c r="B10" s="136">
        <v>44959</v>
      </c>
      <c r="C10" s="4" t="s">
        <v>79</v>
      </c>
      <c r="D10" s="1" t="s">
        <v>162</v>
      </c>
      <c r="E10" t="s">
        <v>1092</v>
      </c>
      <c r="F10" s="6" t="s">
        <v>1117</v>
      </c>
      <c r="G10" s="6" t="s">
        <v>1150</v>
      </c>
      <c r="H10" s="235"/>
      <c r="I10" s="235" t="s">
        <v>1174</v>
      </c>
      <c r="K10" s="6">
        <v>3</v>
      </c>
      <c r="L10" s="17">
        <f t="shared" si="0"/>
        <v>85500</v>
      </c>
      <c r="M10" s="116"/>
      <c r="O10" s="17">
        <f t="shared" si="1"/>
        <v>256500</v>
      </c>
      <c r="Q10" s="6" t="s">
        <v>1104</v>
      </c>
      <c r="R10" t="s">
        <v>1100</v>
      </c>
      <c r="T10" s="81" t="s">
        <v>1098</v>
      </c>
      <c r="U10" s="6" t="s">
        <v>1107</v>
      </c>
      <c r="V10" s="6" t="s">
        <v>1108</v>
      </c>
      <c r="W10" s="6" t="s">
        <v>1109</v>
      </c>
      <c r="X10" s="6" t="s">
        <v>1110</v>
      </c>
      <c r="Y10" s="6" t="s">
        <v>1111</v>
      </c>
      <c r="AY10" s="6" t="s">
        <v>1150</v>
      </c>
      <c r="AZ10" s="235" t="s">
        <v>1136</v>
      </c>
      <c r="BA10" s="235" t="s">
        <v>1174</v>
      </c>
      <c r="BB10" s="6">
        <v>3</v>
      </c>
      <c r="BC10" s="17">
        <f t="shared" si="2"/>
        <v>85500</v>
      </c>
      <c r="BD10" s="116">
        <f t="shared" si="3"/>
        <v>0.02</v>
      </c>
      <c r="BE10" s="17">
        <f t="shared" si="4"/>
        <v>254790</v>
      </c>
      <c r="BF10" s="17"/>
      <c r="BG10" s="235" t="s">
        <v>1136</v>
      </c>
      <c r="BH10" s="250">
        <f t="shared" si="5"/>
        <v>900</v>
      </c>
      <c r="BI10" s="250"/>
      <c r="BJ10" s="250"/>
    </row>
    <row r="11" spans="1:62" ht="21" customHeight="1" x14ac:dyDescent="0.35">
      <c r="A11">
        <v>8</v>
      </c>
      <c r="B11" s="136">
        <v>44960</v>
      </c>
      <c r="C11" s="4" t="s">
        <v>80</v>
      </c>
      <c r="D11" s="1" t="s">
        <v>162</v>
      </c>
      <c r="E11" t="s">
        <v>1092</v>
      </c>
      <c r="F11" s="6" t="s">
        <v>1118</v>
      </c>
      <c r="G11" s="6" t="s">
        <v>1140</v>
      </c>
      <c r="H11" s="235"/>
      <c r="I11" s="235" t="s">
        <v>1177</v>
      </c>
      <c r="K11" s="6">
        <v>4</v>
      </c>
      <c r="L11" s="17">
        <f t="shared" si="0"/>
        <v>195000</v>
      </c>
      <c r="M11" s="116"/>
      <c r="O11" s="17">
        <f t="shared" si="1"/>
        <v>780000</v>
      </c>
      <c r="Q11" s="6" t="s">
        <v>1105</v>
      </c>
      <c r="R11" t="s">
        <v>1101</v>
      </c>
      <c r="AJ11" s="97" t="s">
        <v>1236</v>
      </c>
      <c r="AY11" s="6" t="s">
        <v>1140</v>
      </c>
      <c r="AZ11" s="235" t="s">
        <v>1136</v>
      </c>
      <c r="BA11" s="235" t="s">
        <v>1177</v>
      </c>
      <c r="BB11" s="6">
        <v>4</v>
      </c>
      <c r="BC11" s="17">
        <f t="shared" si="2"/>
        <v>195000</v>
      </c>
      <c r="BD11" s="116">
        <f t="shared" si="3"/>
        <v>0.02</v>
      </c>
      <c r="BE11" s="17">
        <f t="shared" si="4"/>
        <v>776100</v>
      </c>
      <c r="BF11" s="17"/>
      <c r="BG11" s="235" t="s">
        <v>1136</v>
      </c>
      <c r="BH11" s="250">
        <f t="shared" si="5"/>
        <v>900</v>
      </c>
      <c r="BI11" s="250"/>
      <c r="BJ11" s="250"/>
    </row>
    <row r="12" spans="1:62" ht="21" customHeight="1" x14ac:dyDescent="0.35">
      <c r="A12">
        <v>9</v>
      </c>
      <c r="B12" s="136">
        <v>44960</v>
      </c>
      <c r="C12" s="4" t="s">
        <v>81</v>
      </c>
      <c r="D12" s="1" t="s">
        <v>162</v>
      </c>
      <c r="E12" t="s">
        <v>1095</v>
      </c>
      <c r="F12" s="6" t="s">
        <v>1119</v>
      </c>
      <c r="G12" s="6" t="s">
        <v>1149</v>
      </c>
      <c r="H12" s="235"/>
      <c r="I12" s="235" t="s">
        <v>1177</v>
      </c>
      <c r="K12" s="6">
        <v>4</v>
      </c>
      <c r="L12" s="17">
        <f t="shared" si="0"/>
        <v>195000</v>
      </c>
      <c r="M12" s="116"/>
      <c r="O12" s="17">
        <f t="shared" si="1"/>
        <v>780000</v>
      </c>
      <c r="Q12" s="6" t="s">
        <v>1106</v>
      </c>
      <c r="R12" t="s">
        <v>1102</v>
      </c>
      <c r="AC12" s="97" t="s">
        <v>1317</v>
      </c>
      <c r="AD12" s="17"/>
      <c r="AK12" s="15" t="s">
        <v>1135</v>
      </c>
      <c r="AL12" s="15" t="s">
        <v>1136</v>
      </c>
      <c r="AM12" s="13" t="s">
        <v>1138</v>
      </c>
      <c r="AN12" s="15" t="s">
        <v>1137</v>
      </c>
      <c r="AY12" s="6" t="s">
        <v>1149</v>
      </c>
      <c r="AZ12" s="235" t="s">
        <v>1136</v>
      </c>
      <c r="BA12" s="235" t="s">
        <v>1177</v>
      </c>
      <c r="BB12" s="6">
        <v>4</v>
      </c>
      <c r="BC12" s="17">
        <f t="shared" si="2"/>
        <v>195000</v>
      </c>
      <c r="BD12" s="116">
        <f t="shared" si="3"/>
        <v>0.02</v>
      </c>
      <c r="BE12" s="17">
        <f t="shared" si="4"/>
        <v>776100</v>
      </c>
      <c r="BF12" s="17"/>
      <c r="BG12" s="235" t="s">
        <v>1136</v>
      </c>
      <c r="BH12" s="250">
        <f t="shared" si="5"/>
        <v>900</v>
      </c>
      <c r="BI12" s="250"/>
      <c r="BJ12" s="250"/>
    </row>
    <row r="13" spans="1:62" ht="21" customHeight="1" x14ac:dyDescent="0.35">
      <c r="A13">
        <v>10</v>
      </c>
      <c r="B13" s="136">
        <v>44960</v>
      </c>
      <c r="C13" s="4" t="s">
        <v>82</v>
      </c>
      <c r="D13" s="1" t="s">
        <v>163</v>
      </c>
      <c r="E13" t="s">
        <v>1093</v>
      </c>
      <c r="F13" s="6" t="s">
        <v>1120</v>
      </c>
      <c r="G13" s="6" t="s">
        <v>1139</v>
      </c>
      <c r="H13" s="235"/>
      <c r="I13" s="80" t="s">
        <v>1167</v>
      </c>
      <c r="K13" s="6">
        <v>2</v>
      </c>
      <c r="L13" s="17">
        <f t="shared" si="0"/>
        <v>85000</v>
      </c>
      <c r="M13" s="116"/>
      <c r="O13" s="17">
        <f t="shared" si="1"/>
        <v>170000</v>
      </c>
      <c r="AC13" s="237" t="s">
        <v>1195</v>
      </c>
      <c r="AD13">
        <v>1100</v>
      </c>
      <c r="AJ13" s="14" t="s">
        <v>1237</v>
      </c>
      <c r="AK13" s="6">
        <v>100</v>
      </c>
      <c r="AL13" s="6">
        <v>155</v>
      </c>
      <c r="AM13" s="6">
        <v>185</v>
      </c>
      <c r="AN13" s="6">
        <v>100</v>
      </c>
      <c r="AO13" s="15">
        <v>700</v>
      </c>
      <c r="AY13" s="6" t="s">
        <v>1139</v>
      </c>
      <c r="AZ13" s="235" t="s">
        <v>1135</v>
      </c>
      <c r="BA13" s="80" t="s">
        <v>1167</v>
      </c>
      <c r="BB13" s="6">
        <v>2</v>
      </c>
      <c r="BC13" s="17">
        <f t="shared" si="2"/>
        <v>85000</v>
      </c>
      <c r="BD13" s="116">
        <f t="shared" si="3"/>
        <v>0.02</v>
      </c>
      <c r="BE13" s="17">
        <f t="shared" si="4"/>
        <v>168300</v>
      </c>
      <c r="BF13" s="17"/>
      <c r="BG13" s="235" t="s">
        <v>1135</v>
      </c>
      <c r="BH13" s="250">
        <f t="shared" si="5"/>
        <v>700</v>
      </c>
      <c r="BI13" s="250"/>
      <c r="BJ13" s="250"/>
    </row>
    <row r="14" spans="1:62" ht="21" customHeight="1" x14ac:dyDescent="0.35">
      <c r="A14">
        <v>11</v>
      </c>
      <c r="B14" s="136">
        <v>44960</v>
      </c>
      <c r="C14" s="4" t="s">
        <v>83</v>
      </c>
      <c r="D14" s="1" t="s">
        <v>163</v>
      </c>
      <c r="E14" t="s">
        <v>1093</v>
      </c>
      <c r="F14" s="6" t="s">
        <v>1121</v>
      </c>
      <c r="G14" s="6" t="s">
        <v>1151</v>
      </c>
      <c r="H14" s="235"/>
      <c r="I14" s="80" t="s">
        <v>1167</v>
      </c>
      <c r="K14" s="6">
        <v>3</v>
      </c>
      <c r="L14" s="17">
        <f t="shared" si="0"/>
        <v>85000</v>
      </c>
      <c r="M14" s="116"/>
      <c r="O14" s="17">
        <f t="shared" si="1"/>
        <v>255000</v>
      </c>
      <c r="AC14" s="237" t="s">
        <v>1196</v>
      </c>
      <c r="AD14" s="17">
        <v>582377</v>
      </c>
      <c r="AJ14" s="14" t="s">
        <v>1238</v>
      </c>
      <c r="AK14" s="6">
        <v>155</v>
      </c>
      <c r="AL14" s="6">
        <v>165</v>
      </c>
      <c r="AM14" s="6">
        <v>145</v>
      </c>
      <c r="AN14" s="6">
        <v>85</v>
      </c>
      <c r="AO14" s="15">
        <v>650</v>
      </c>
      <c r="AY14" s="6" t="s">
        <v>1151</v>
      </c>
      <c r="AZ14" s="235" t="s">
        <v>1135</v>
      </c>
      <c r="BA14" s="80" t="s">
        <v>1167</v>
      </c>
      <c r="BB14" s="6">
        <v>3</v>
      </c>
      <c r="BC14" s="17">
        <f t="shared" si="2"/>
        <v>85000</v>
      </c>
      <c r="BD14" s="116">
        <f t="shared" si="3"/>
        <v>0.02</v>
      </c>
      <c r="BE14" s="17">
        <f t="shared" si="4"/>
        <v>253300</v>
      </c>
      <c r="BF14" s="17"/>
      <c r="BG14" s="235" t="s">
        <v>1135</v>
      </c>
      <c r="BH14" s="250">
        <f t="shared" si="5"/>
        <v>700</v>
      </c>
      <c r="BI14" s="250"/>
      <c r="BJ14" s="250"/>
    </row>
    <row r="15" spans="1:62" ht="21" customHeight="1" x14ac:dyDescent="0.35">
      <c r="A15">
        <v>12</v>
      </c>
      <c r="B15" s="136">
        <v>44960</v>
      </c>
      <c r="C15" s="4" t="s">
        <v>1003</v>
      </c>
      <c r="D15" s="1" t="s">
        <v>163</v>
      </c>
      <c r="E15" t="s">
        <v>1095</v>
      </c>
      <c r="F15" s="6" t="s">
        <v>1122</v>
      </c>
      <c r="G15" s="6" t="s">
        <v>1152</v>
      </c>
      <c r="H15" s="235"/>
      <c r="I15" s="80" t="s">
        <v>1167</v>
      </c>
      <c r="K15" s="6">
        <v>2</v>
      </c>
      <c r="L15" s="17">
        <f t="shared" si="0"/>
        <v>85000</v>
      </c>
      <c r="M15" s="116"/>
      <c r="O15" s="17">
        <f t="shared" si="1"/>
        <v>170000</v>
      </c>
      <c r="Q15" s="15" t="s">
        <v>992</v>
      </c>
      <c r="R15" s="15" t="s">
        <v>993</v>
      </c>
      <c r="AC15" s="237" t="s">
        <v>856</v>
      </c>
      <c r="AD15" s="109">
        <v>0.03</v>
      </c>
      <c r="AJ15" s="14" t="s">
        <v>1239</v>
      </c>
      <c r="AK15" s="6">
        <v>220</v>
      </c>
      <c r="AL15" s="6">
        <v>170</v>
      </c>
      <c r="AM15" s="6">
        <v>135</v>
      </c>
      <c r="AN15" s="6">
        <v>150</v>
      </c>
      <c r="AO15" s="15">
        <v>750</v>
      </c>
      <c r="AY15" s="6" t="s">
        <v>1152</v>
      </c>
      <c r="AZ15" s="235" t="s">
        <v>1135</v>
      </c>
      <c r="BA15" s="80" t="s">
        <v>1167</v>
      </c>
      <c r="BB15" s="6">
        <v>2</v>
      </c>
      <c r="BC15" s="17">
        <f t="shared" si="2"/>
        <v>85000</v>
      </c>
      <c r="BD15" s="116">
        <f t="shared" si="3"/>
        <v>0.02</v>
      </c>
      <c r="BE15" s="17">
        <f t="shared" si="4"/>
        <v>168300</v>
      </c>
      <c r="BF15" s="17"/>
      <c r="BG15" s="235" t="s">
        <v>1135</v>
      </c>
      <c r="BH15" s="250">
        <f t="shared" si="5"/>
        <v>700</v>
      </c>
      <c r="BI15" s="250"/>
      <c r="BJ15" s="250"/>
    </row>
    <row r="16" spans="1:62" ht="21" customHeight="1" x14ac:dyDescent="0.35">
      <c r="A16">
        <v>13</v>
      </c>
      <c r="B16" s="136">
        <v>44960</v>
      </c>
      <c r="C16" s="4" t="s">
        <v>85</v>
      </c>
      <c r="D16" s="1" t="s">
        <v>162</v>
      </c>
      <c r="E16" t="s">
        <v>1092</v>
      </c>
      <c r="F16" s="6" t="s">
        <v>1103</v>
      </c>
      <c r="G16" s="6" t="s">
        <v>1142</v>
      </c>
      <c r="H16" s="235"/>
      <c r="I16" s="80" t="s">
        <v>1180</v>
      </c>
      <c r="K16" s="6">
        <v>2</v>
      </c>
      <c r="L16" s="17">
        <f t="shared" si="0"/>
        <v>75000</v>
      </c>
      <c r="M16" s="116"/>
      <c r="O16" s="17">
        <f t="shared" si="1"/>
        <v>150000</v>
      </c>
      <c r="Q16" s="6" t="s">
        <v>1145</v>
      </c>
      <c r="R16" s="80" t="s">
        <v>1135</v>
      </c>
      <c r="AC16" s="237" t="s">
        <v>612</v>
      </c>
      <c r="AD16" s="17">
        <f>AD13*AD14</f>
        <v>640614700</v>
      </c>
      <c r="AJ16" s="14" t="s">
        <v>1240</v>
      </c>
      <c r="AK16" s="6">
        <v>180</v>
      </c>
      <c r="AL16" s="6">
        <v>250</v>
      </c>
      <c r="AM16" s="6">
        <v>145</v>
      </c>
      <c r="AN16" s="6">
        <v>200</v>
      </c>
      <c r="AO16" s="15">
        <v>850</v>
      </c>
      <c r="AY16" s="6" t="s">
        <v>1142</v>
      </c>
      <c r="AZ16" s="235" t="s">
        <v>1138</v>
      </c>
      <c r="BA16" s="80" t="s">
        <v>1180</v>
      </c>
      <c r="BB16" s="6">
        <v>2</v>
      </c>
      <c r="BC16" s="17">
        <f t="shared" si="2"/>
        <v>75000</v>
      </c>
      <c r="BD16" s="116">
        <f t="shared" si="3"/>
        <v>0.02</v>
      </c>
      <c r="BE16" s="17">
        <f t="shared" si="4"/>
        <v>148500</v>
      </c>
      <c r="BF16" s="17"/>
      <c r="BG16" s="235" t="s">
        <v>1138</v>
      </c>
      <c r="BH16" s="250">
        <f t="shared" si="5"/>
        <v>855</v>
      </c>
      <c r="BI16" s="250"/>
      <c r="BJ16" s="250"/>
    </row>
    <row r="17" spans="1:62" ht="21" customHeight="1" x14ac:dyDescent="0.35">
      <c r="A17">
        <v>14</v>
      </c>
      <c r="B17" s="136">
        <v>44960</v>
      </c>
      <c r="C17" s="4" t="s">
        <v>86</v>
      </c>
      <c r="D17" s="1" t="s">
        <v>162</v>
      </c>
      <c r="E17" t="s">
        <v>1092</v>
      </c>
      <c r="F17" s="6" t="s">
        <v>1116</v>
      </c>
      <c r="G17" s="6" t="s">
        <v>1142</v>
      </c>
      <c r="H17" s="235"/>
      <c r="I17" s="80" t="s">
        <v>1179</v>
      </c>
      <c r="K17" s="6">
        <v>3</v>
      </c>
      <c r="L17" s="17">
        <f t="shared" si="0"/>
        <v>85000</v>
      </c>
      <c r="M17" s="116"/>
      <c r="O17" s="17">
        <f t="shared" si="1"/>
        <v>255000</v>
      </c>
      <c r="Q17" s="6" t="s">
        <v>1146</v>
      </c>
      <c r="R17" s="80" t="s">
        <v>1136</v>
      </c>
      <c r="S17" s="15"/>
      <c r="AC17" s="237" t="s">
        <v>1197</v>
      </c>
      <c r="AD17" s="17">
        <f>(AD16*AD15)+AD16</f>
        <v>659833141</v>
      </c>
      <c r="AK17" s="15">
        <v>700</v>
      </c>
      <c r="AL17" s="15">
        <v>900</v>
      </c>
      <c r="AM17" s="15">
        <v>855</v>
      </c>
      <c r="AN17" s="15">
        <v>755</v>
      </c>
      <c r="AY17" s="6" t="s">
        <v>1142</v>
      </c>
      <c r="AZ17" s="235" t="s">
        <v>1138</v>
      </c>
      <c r="BA17" s="80" t="s">
        <v>1179</v>
      </c>
      <c r="BB17" s="6">
        <v>3</v>
      </c>
      <c r="BC17" s="17">
        <f t="shared" si="2"/>
        <v>85000</v>
      </c>
      <c r="BD17" s="116">
        <f t="shared" si="3"/>
        <v>0.02</v>
      </c>
      <c r="BE17" s="17">
        <f t="shared" si="4"/>
        <v>253300</v>
      </c>
      <c r="BF17" s="17"/>
      <c r="BG17" s="235" t="s">
        <v>1138</v>
      </c>
      <c r="BH17" s="250">
        <f t="shared" si="5"/>
        <v>855</v>
      </c>
      <c r="BI17" s="250"/>
      <c r="BJ17" s="250"/>
    </row>
    <row r="18" spans="1:62" ht="21" customHeight="1" x14ac:dyDescent="0.35">
      <c r="A18">
        <v>15</v>
      </c>
      <c r="B18" s="136">
        <v>44960</v>
      </c>
      <c r="C18" s="4" t="s">
        <v>87</v>
      </c>
      <c r="D18" s="1" t="s">
        <v>163</v>
      </c>
      <c r="E18" t="s">
        <v>1092</v>
      </c>
      <c r="F18" s="6" t="s">
        <v>1123</v>
      </c>
      <c r="G18" s="6" t="s">
        <v>1153</v>
      </c>
      <c r="H18" s="235"/>
      <c r="I18" s="80" t="s">
        <v>1179</v>
      </c>
      <c r="K18" s="6">
        <v>3</v>
      </c>
      <c r="L18" s="17">
        <f t="shared" si="0"/>
        <v>85000</v>
      </c>
      <c r="M18" s="116"/>
      <c r="O18" s="17">
        <f t="shared" si="1"/>
        <v>255000</v>
      </c>
      <c r="Q18" s="6" t="s">
        <v>1147</v>
      </c>
      <c r="R18" s="80" t="s">
        <v>1137</v>
      </c>
      <c r="AJ18" s="14" t="s">
        <v>1241</v>
      </c>
      <c r="AY18" s="6" t="s">
        <v>1153</v>
      </c>
      <c r="AZ18" s="235" t="s">
        <v>1138</v>
      </c>
      <c r="BA18" s="80" t="s">
        <v>1179</v>
      </c>
      <c r="BB18" s="6">
        <v>3</v>
      </c>
      <c r="BC18" s="17">
        <f t="shared" si="2"/>
        <v>85000</v>
      </c>
      <c r="BD18" s="116">
        <f t="shared" si="3"/>
        <v>0.02</v>
      </c>
      <c r="BE18" s="17">
        <f t="shared" si="4"/>
        <v>253300</v>
      </c>
      <c r="BF18" s="17"/>
      <c r="BG18" s="235" t="s">
        <v>1138</v>
      </c>
      <c r="BH18" s="250">
        <f t="shared" si="5"/>
        <v>855</v>
      </c>
      <c r="BI18" s="250"/>
      <c r="BJ18" s="250"/>
    </row>
    <row r="19" spans="1:62" ht="21" customHeight="1" x14ac:dyDescent="0.35">
      <c r="A19">
        <v>16</v>
      </c>
      <c r="B19" s="136">
        <v>44960</v>
      </c>
      <c r="C19" s="4" t="s">
        <v>88</v>
      </c>
      <c r="D19" s="1" t="s">
        <v>163</v>
      </c>
      <c r="E19" t="s">
        <v>1092</v>
      </c>
      <c r="F19" s="6" t="s">
        <v>1124</v>
      </c>
      <c r="G19" s="6" t="s">
        <v>1153</v>
      </c>
      <c r="H19" s="235"/>
      <c r="I19" s="80" t="s">
        <v>1179</v>
      </c>
      <c r="K19" s="6">
        <v>7</v>
      </c>
      <c r="L19" s="17">
        <f t="shared" si="0"/>
        <v>85000</v>
      </c>
      <c r="M19" s="116"/>
      <c r="O19" s="17">
        <f t="shared" si="1"/>
        <v>595000</v>
      </c>
      <c r="Q19" s="6" t="s">
        <v>1148</v>
      </c>
      <c r="R19" s="80" t="s">
        <v>1138</v>
      </c>
      <c r="AY19" s="6" t="s">
        <v>1153</v>
      </c>
      <c r="AZ19" s="235" t="s">
        <v>1138</v>
      </c>
      <c r="BA19" s="80" t="s">
        <v>1179</v>
      </c>
      <c r="BB19" s="6">
        <v>7</v>
      </c>
      <c r="BC19" s="17">
        <f t="shared" si="2"/>
        <v>85000</v>
      </c>
      <c r="BD19" s="116">
        <f t="shared" si="3"/>
        <v>0.02</v>
      </c>
      <c r="BE19" s="17">
        <f t="shared" si="4"/>
        <v>593300</v>
      </c>
      <c r="BF19" s="17"/>
      <c r="BG19" s="235" t="s">
        <v>1138</v>
      </c>
      <c r="BH19" s="250">
        <f t="shared" si="5"/>
        <v>855</v>
      </c>
      <c r="BI19" s="250"/>
      <c r="BJ19" s="250"/>
    </row>
    <row r="20" spans="1:62" ht="21" customHeight="1" x14ac:dyDescent="0.35">
      <c r="A20">
        <v>17</v>
      </c>
      <c r="B20" s="136">
        <v>44960</v>
      </c>
      <c r="C20" s="4" t="s">
        <v>1004</v>
      </c>
      <c r="D20" s="1" t="s">
        <v>163</v>
      </c>
      <c r="E20" t="s">
        <v>1092</v>
      </c>
      <c r="F20" s="6" t="s">
        <v>1125</v>
      </c>
      <c r="G20" s="6" t="s">
        <v>1153</v>
      </c>
      <c r="H20" s="235"/>
      <c r="I20" s="80" t="s">
        <v>1182</v>
      </c>
      <c r="K20" s="6">
        <v>8</v>
      </c>
      <c r="L20" s="17">
        <f t="shared" si="0"/>
        <v>110500</v>
      </c>
      <c r="M20" s="116"/>
      <c r="O20" s="17">
        <f t="shared" si="1"/>
        <v>884000</v>
      </c>
      <c r="AC20" s="238" t="s">
        <v>1203</v>
      </c>
      <c r="AK20" s="15" t="s">
        <v>1135</v>
      </c>
      <c r="AL20" s="15" t="s">
        <v>1136</v>
      </c>
      <c r="AM20" s="13" t="s">
        <v>1138</v>
      </c>
      <c r="AN20" s="15" t="s">
        <v>1137</v>
      </c>
      <c r="AY20" s="6" t="s">
        <v>1153</v>
      </c>
      <c r="AZ20" s="235" t="s">
        <v>1138</v>
      </c>
      <c r="BA20" s="80" t="s">
        <v>1182</v>
      </c>
      <c r="BB20" s="6">
        <v>8</v>
      </c>
      <c r="BC20" s="17">
        <f t="shared" si="2"/>
        <v>110500</v>
      </c>
      <c r="BD20" s="116">
        <f t="shared" si="3"/>
        <v>0.02</v>
      </c>
      <c r="BE20" s="17">
        <f t="shared" si="4"/>
        <v>881790</v>
      </c>
      <c r="BF20" s="17"/>
      <c r="BG20" s="235" t="s">
        <v>1138</v>
      </c>
      <c r="BH20" s="250">
        <f t="shared" si="5"/>
        <v>855</v>
      </c>
      <c r="BI20" s="250"/>
      <c r="BJ20" s="250"/>
    </row>
    <row r="21" spans="1:62" ht="21" customHeight="1" x14ac:dyDescent="0.35">
      <c r="A21">
        <v>18</v>
      </c>
      <c r="B21" s="136">
        <v>44961</v>
      </c>
      <c r="C21" s="4" t="s">
        <v>1005</v>
      </c>
      <c r="D21" s="1" t="s">
        <v>162</v>
      </c>
      <c r="E21" t="s">
        <v>1092</v>
      </c>
      <c r="F21" s="6" t="s">
        <v>1126</v>
      </c>
      <c r="G21" s="6" t="s">
        <v>1153</v>
      </c>
      <c r="H21" s="235"/>
      <c r="I21" s="80" t="s">
        <v>1180</v>
      </c>
      <c r="K21" s="6">
        <v>12</v>
      </c>
      <c r="L21" s="17">
        <f t="shared" si="0"/>
        <v>75000</v>
      </c>
      <c r="M21" s="116"/>
      <c r="O21" s="17">
        <f t="shared" si="1"/>
        <v>900000</v>
      </c>
      <c r="R21" s="15" t="s">
        <v>1135</v>
      </c>
      <c r="S21" s="15" t="s">
        <v>1136</v>
      </c>
      <c r="T21" s="15" t="s">
        <v>1138</v>
      </c>
      <c r="U21" s="15" t="s">
        <v>1137</v>
      </c>
      <c r="AC21" s="237" t="s">
        <v>1195</v>
      </c>
      <c r="AD21">
        <v>1100</v>
      </c>
      <c r="AF21" t="s">
        <v>588</v>
      </c>
      <c r="AJ21" s="14" t="s">
        <v>1237</v>
      </c>
      <c r="AK21" s="6"/>
      <c r="AL21" s="6"/>
      <c r="AM21" s="6"/>
      <c r="AN21" s="6">
        <v>0</v>
      </c>
      <c r="AO21" s="6"/>
      <c r="AP21" s="15">
        <v>700</v>
      </c>
      <c r="AY21" s="6" t="s">
        <v>1153</v>
      </c>
      <c r="AZ21" s="235" t="s">
        <v>1138</v>
      </c>
      <c r="BA21" s="80" t="s">
        <v>1180</v>
      </c>
      <c r="BB21" s="6">
        <v>12</v>
      </c>
      <c r="BC21" s="17">
        <f t="shared" si="2"/>
        <v>75000</v>
      </c>
      <c r="BD21" s="116">
        <f t="shared" si="3"/>
        <v>0.03</v>
      </c>
      <c r="BE21" s="17">
        <f t="shared" si="4"/>
        <v>897750</v>
      </c>
      <c r="BF21" s="17"/>
      <c r="BG21" s="235" t="s">
        <v>1138</v>
      </c>
      <c r="BH21" s="250">
        <f t="shared" si="5"/>
        <v>855</v>
      </c>
      <c r="BI21" s="250"/>
      <c r="BJ21" s="250"/>
    </row>
    <row r="22" spans="1:62" ht="21" customHeight="1" x14ac:dyDescent="0.35">
      <c r="A22">
        <v>19</v>
      </c>
      <c r="B22" s="136">
        <v>44961</v>
      </c>
      <c r="C22" s="4" t="s">
        <v>1006</v>
      </c>
      <c r="D22" s="1" t="s">
        <v>163</v>
      </c>
      <c r="E22" t="s">
        <v>1092</v>
      </c>
      <c r="F22" s="6" t="s">
        <v>1127</v>
      </c>
      <c r="G22" s="6" t="s">
        <v>1154</v>
      </c>
      <c r="H22" s="235"/>
      <c r="I22" s="80" t="s">
        <v>1183</v>
      </c>
      <c r="K22" s="6">
        <v>12</v>
      </c>
      <c r="L22" s="17">
        <f t="shared" si="0"/>
        <v>135500</v>
      </c>
      <c r="M22" s="116"/>
      <c r="O22" s="17">
        <f t="shared" si="1"/>
        <v>1626000</v>
      </c>
      <c r="R22" s="80" t="s">
        <v>1159</v>
      </c>
      <c r="S22" s="235" t="s">
        <v>1174</v>
      </c>
      <c r="T22" s="80" t="s">
        <v>1179</v>
      </c>
      <c r="U22" s="235" t="s">
        <v>1184</v>
      </c>
      <c r="AC22" s="237" t="s">
        <v>1196</v>
      </c>
      <c r="AD22" s="17">
        <v>582377</v>
      </c>
      <c r="AF22" t="s">
        <v>460</v>
      </c>
      <c r="AG22" s="17">
        <v>75000</v>
      </c>
      <c r="AJ22" s="14" t="s">
        <v>1238</v>
      </c>
      <c r="AK22" s="6"/>
      <c r="AL22" s="6"/>
      <c r="AM22" s="6"/>
      <c r="AN22" s="6">
        <v>0</v>
      </c>
      <c r="AO22" s="6"/>
      <c r="AP22" s="15">
        <v>650</v>
      </c>
      <c r="AY22" s="6" t="s">
        <v>1154</v>
      </c>
      <c r="AZ22" s="235" t="s">
        <v>1138</v>
      </c>
      <c r="BA22" s="80" t="s">
        <v>1183</v>
      </c>
      <c r="BB22" s="6">
        <v>12</v>
      </c>
      <c r="BC22" s="17">
        <f t="shared" si="2"/>
        <v>135500</v>
      </c>
      <c r="BD22" s="116">
        <f t="shared" si="3"/>
        <v>0.03</v>
      </c>
      <c r="BE22" s="17">
        <f t="shared" si="4"/>
        <v>1621935</v>
      </c>
      <c r="BF22" s="17"/>
      <c r="BG22" s="235" t="s">
        <v>1138</v>
      </c>
      <c r="BH22" s="250">
        <f t="shared" si="5"/>
        <v>855</v>
      </c>
      <c r="BI22" s="250"/>
      <c r="BJ22" s="250"/>
    </row>
    <row r="23" spans="1:62" ht="21" customHeight="1" x14ac:dyDescent="0.35">
      <c r="A23">
        <v>20</v>
      </c>
      <c r="B23" s="136">
        <v>44961</v>
      </c>
      <c r="C23" s="4" t="s">
        <v>92</v>
      </c>
      <c r="D23" s="1" t="s">
        <v>163</v>
      </c>
      <c r="E23" t="s">
        <v>1092</v>
      </c>
      <c r="F23" s="6" t="s">
        <v>1103</v>
      </c>
      <c r="G23" s="6" t="s">
        <v>1155</v>
      </c>
      <c r="H23" s="235"/>
      <c r="I23" s="80" t="s">
        <v>1183</v>
      </c>
      <c r="K23" s="6">
        <v>11</v>
      </c>
      <c r="L23" s="17">
        <f t="shared" si="0"/>
        <v>135500</v>
      </c>
      <c r="M23" s="116"/>
      <c r="O23" s="17">
        <f t="shared" si="1"/>
        <v>1490500</v>
      </c>
      <c r="R23" s="80" t="s">
        <v>1160</v>
      </c>
      <c r="S23" s="235" t="s">
        <v>1175</v>
      </c>
      <c r="T23" s="80" t="s">
        <v>1180</v>
      </c>
      <c r="U23" s="235" t="s">
        <v>1185</v>
      </c>
      <c r="AC23" s="237" t="s">
        <v>856</v>
      </c>
      <c r="AD23" s="109">
        <v>0.03</v>
      </c>
      <c r="AF23" s="14" t="s">
        <v>933</v>
      </c>
      <c r="AG23" s="239">
        <f>AG21*AG22</f>
        <v>0</v>
      </c>
      <c r="AJ23" s="14" t="s">
        <v>1239</v>
      </c>
      <c r="AK23" s="6"/>
      <c r="AL23" s="6"/>
      <c r="AM23" s="6"/>
      <c r="AN23" s="6">
        <v>0</v>
      </c>
      <c r="AO23" s="6"/>
      <c r="AP23" s="15">
        <v>750</v>
      </c>
      <c r="AY23" s="6" t="s">
        <v>1155</v>
      </c>
      <c r="AZ23" s="235" t="s">
        <v>1138</v>
      </c>
      <c r="BA23" s="80" t="s">
        <v>1183</v>
      </c>
      <c r="BB23" s="6">
        <v>11</v>
      </c>
      <c r="BC23" s="17">
        <f t="shared" si="2"/>
        <v>135500</v>
      </c>
      <c r="BD23" s="116">
        <f t="shared" si="3"/>
        <v>0.03</v>
      </c>
      <c r="BE23" s="17">
        <f t="shared" si="4"/>
        <v>1486435</v>
      </c>
      <c r="BF23" s="17"/>
      <c r="BG23" s="235" t="s">
        <v>1138</v>
      </c>
      <c r="BH23" s="250">
        <f t="shared" si="5"/>
        <v>855</v>
      </c>
      <c r="BI23" s="250"/>
      <c r="BJ23" s="250"/>
    </row>
    <row r="24" spans="1:62" ht="21" customHeight="1" x14ac:dyDescent="0.35">
      <c r="A24">
        <v>21</v>
      </c>
      <c r="B24" s="136">
        <v>44962</v>
      </c>
      <c r="C24" s="4" t="s">
        <v>93</v>
      </c>
      <c r="D24" s="1" t="s">
        <v>163</v>
      </c>
      <c r="E24" t="s">
        <v>1092</v>
      </c>
      <c r="F24" s="6" t="s">
        <v>1128</v>
      </c>
      <c r="G24" s="6" t="s">
        <v>1142</v>
      </c>
      <c r="H24" s="235"/>
      <c r="I24" s="80" t="s">
        <v>1181</v>
      </c>
      <c r="K24" s="6">
        <v>9</v>
      </c>
      <c r="L24" s="17">
        <f t="shared" si="0"/>
        <v>55500</v>
      </c>
      <c r="M24" s="116"/>
      <c r="O24" s="17">
        <f t="shared" si="1"/>
        <v>499500</v>
      </c>
      <c r="R24" s="80" t="s">
        <v>1161</v>
      </c>
      <c r="S24" s="235" t="s">
        <v>1176</v>
      </c>
      <c r="T24" s="80" t="s">
        <v>1181</v>
      </c>
      <c r="U24" s="235" t="s">
        <v>1186</v>
      </c>
      <c r="AC24" s="237" t="s">
        <v>612</v>
      </c>
      <c r="AD24" s="17">
        <f>AD21*AD22</f>
        <v>640614700</v>
      </c>
      <c r="AJ24" s="14" t="s">
        <v>1240</v>
      </c>
      <c r="AK24" s="6"/>
      <c r="AL24" s="6"/>
      <c r="AM24" s="6"/>
      <c r="AN24" s="6">
        <v>0</v>
      </c>
      <c r="AO24" s="6"/>
      <c r="AP24" s="15">
        <v>850</v>
      </c>
      <c r="AY24" s="6" t="s">
        <v>1142</v>
      </c>
      <c r="AZ24" s="235" t="s">
        <v>1138</v>
      </c>
      <c r="BA24" s="80" t="s">
        <v>1181</v>
      </c>
      <c r="BB24" s="6">
        <v>9</v>
      </c>
      <c r="BC24" s="17">
        <f t="shared" si="2"/>
        <v>55500</v>
      </c>
      <c r="BD24" s="116">
        <f t="shared" si="3"/>
        <v>0.03</v>
      </c>
      <c r="BE24" s="17">
        <f t="shared" si="4"/>
        <v>497835</v>
      </c>
      <c r="BF24" s="17"/>
      <c r="BG24" s="235" t="s">
        <v>1138</v>
      </c>
      <c r="BH24" s="250">
        <f t="shared" si="5"/>
        <v>855</v>
      </c>
      <c r="BI24" s="250"/>
      <c r="BJ24" s="250"/>
    </row>
    <row r="25" spans="1:62" ht="21" customHeight="1" x14ac:dyDescent="0.35">
      <c r="A25">
        <v>22</v>
      </c>
      <c r="B25" s="136">
        <v>44962</v>
      </c>
      <c r="C25" s="4" t="s">
        <v>110</v>
      </c>
      <c r="D25" s="1" t="s">
        <v>163</v>
      </c>
      <c r="E25" t="s">
        <v>1095</v>
      </c>
      <c r="F25" s="6" t="s">
        <v>1128</v>
      </c>
      <c r="G25" s="6" t="s">
        <v>1152</v>
      </c>
      <c r="H25" s="235"/>
      <c r="I25" s="80" t="s">
        <v>1162</v>
      </c>
      <c r="K25" s="6">
        <v>9</v>
      </c>
      <c r="L25" s="17">
        <f t="shared" si="0"/>
        <v>85000</v>
      </c>
      <c r="M25" s="116"/>
      <c r="O25" s="17">
        <f t="shared" si="1"/>
        <v>765000</v>
      </c>
      <c r="R25" s="80" t="s">
        <v>1162</v>
      </c>
      <c r="S25" s="235" t="s">
        <v>1177</v>
      </c>
      <c r="T25" s="80" t="s">
        <v>1182</v>
      </c>
      <c r="U25" s="235" t="s">
        <v>1187</v>
      </c>
      <c r="AC25" s="237" t="s">
        <v>1197</v>
      </c>
      <c r="AD25" s="17">
        <f>(AD24*AD23)+AD24</f>
        <v>659833141</v>
      </c>
      <c r="AF25" t="s">
        <v>1198</v>
      </c>
      <c r="AK25" s="6"/>
      <c r="AL25" s="6"/>
      <c r="AM25" s="6"/>
      <c r="AN25" s="6"/>
      <c r="AY25" s="6" t="s">
        <v>1152</v>
      </c>
      <c r="AZ25" s="235" t="s">
        <v>1135</v>
      </c>
      <c r="BA25" s="80" t="s">
        <v>1162</v>
      </c>
      <c r="BB25" s="6">
        <v>9</v>
      </c>
      <c r="BC25" s="17">
        <f t="shared" si="2"/>
        <v>85000</v>
      </c>
      <c r="BD25" s="116">
        <f t="shared" si="3"/>
        <v>0.03</v>
      </c>
      <c r="BE25" s="17">
        <f t="shared" si="4"/>
        <v>762450</v>
      </c>
      <c r="BF25" s="17"/>
      <c r="BG25" s="235" t="s">
        <v>1135</v>
      </c>
      <c r="BH25" s="250">
        <f t="shared" si="5"/>
        <v>700</v>
      </c>
      <c r="BI25" s="250"/>
      <c r="BJ25" s="250"/>
    </row>
    <row r="26" spans="1:62" ht="21" customHeight="1" x14ac:dyDescent="0.35">
      <c r="A26">
        <v>23</v>
      </c>
      <c r="B26" s="136">
        <v>44962</v>
      </c>
      <c r="C26" s="4" t="s">
        <v>111</v>
      </c>
      <c r="D26" s="1" t="s">
        <v>163</v>
      </c>
      <c r="E26" t="s">
        <v>1095</v>
      </c>
      <c r="F26" s="6" t="s">
        <v>1129</v>
      </c>
      <c r="G26" s="6" t="s">
        <v>1156</v>
      </c>
      <c r="H26" s="235"/>
      <c r="I26" s="80" t="s">
        <v>1161</v>
      </c>
      <c r="K26" s="6">
        <v>5</v>
      </c>
      <c r="L26" s="17">
        <f t="shared" si="0"/>
        <v>155000</v>
      </c>
      <c r="M26" s="116"/>
      <c r="O26" s="17">
        <f t="shared" si="1"/>
        <v>775000</v>
      </c>
      <c r="R26" s="80" t="s">
        <v>1163</v>
      </c>
      <c r="S26" s="235" t="s">
        <v>1178</v>
      </c>
      <c r="T26" s="80" t="s">
        <v>1183</v>
      </c>
      <c r="U26" s="235" t="s">
        <v>1188</v>
      </c>
      <c r="AF26" t="s">
        <v>1200</v>
      </c>
      <c r="AG26" s="17">
        <v>13000</v>
      </c>
      <c r="AK26" s="15">
        <v>700</v>
      </c>
      <c r="AL26" s="15">
        <v>900</v>
      </c>
      <c r="AM26" s="15">
        <v>855</v>
      </c>
      <c r="AN26" s="15">
        <v>755</v>
      </c>
      <c r="AY26" s="6" t="s">
        <v>1156</v>
      </c>
      <c r="AZ26" s="235" t="s">
        <v>1135</v>
      </c>
      <c r="BA26" s="80" t="s">
        <v>1161</v>
      </c>
      <c r="BB26" s="6">
        <v>5</v>
      </c>
      <c r="BC26" s="17">
        <f t="shared" si="2"/>
        <v>155000</v>
      </c>
      <c r="BD26" s="116">
        <f t="shared" si="3"/>
        <v>0.02</v>
      </c>
      <c r="BE26" s="17">
        <f t="shared" si="4"/>
        <v>771900</v>
      </c>
      <c r="BF26" s="17"/>
      <c r="BG26" s="235" t="s">
        <v>1135</v>
      </c>
      <c r="BH26" s="250">
        <f t="shared" si="5"/>
        <v>700</v>
      </c>
      <c r="BI26" s="250"/>
      <c r="BJ26" s="250"/>
    </row>
    <row r="27" spans="1:62" ht="21" customHeight="1" x14ac:dyDescent="0.35">
      <c r="A27">
        <v>24</v>
      </c>
      <c r="B27" s="136">
        <v>44962</v>
      </c>
      <c r="C27" s="4" t="s">
        <v>112</v>
      </c>
      <c r="D27" s="1" t="s">
        <v>162</v>
      </c>
      <c r="E27" t="s">
        <v>1092</v>
      </c>
      <c r="F27" s="6" t="s">
        <v>1130</v>
      </c>
      <c r="G27" s="6" t="s">
        <v>1151</v>
      </c>
      <c r="H27" s="235"/>
      <c r="I27" s="80" t="s">
        <v>1170</v>
      </c>
      <c r="K27" s="6">
        <v>4</v>
      </c>
      <c r="L27" s="17">
        <f t="shared" si="0"/>
        <v>55000</v>
      </c>
      <c r="M27" s="116"/>
      <c r="O27" s="17">
        <f t="shared" si="1"/>
        <v>220000</v>
      </c>
      <c r="R27" s="80" t="s">
        <v>1164</v>
      </c>
      <c r="AC27" s="237" t="s">
        <v>1198</v>
      </c>
      <c r="AF27" t="s">
        <v>1201</v>
      </c>
      <c r="AG27" s="17">
        <v>8500</v>
      </c>
      <c r="AJ27" s="97" t="s">
        <v>1242</v>
      </c>
      <c r="AK27" s="240"/>
      <c r="AY27" s="6" t="s">
        <v>1151</v>
      </c>
      <c r="AZ27" s="235" t="s">
        <v>1135</v>
      </c>
      <c r="BA27" s="80" t="s">
        <v>1170</v>
      </c>
      <c r="BB27" s="6">
        <v>4</v>
      </c>
      <c r="BC27" s="17">
        <f t="shared" si="2"/>
        <v>55000</v>
      </c>
      <c r="BD27" s="116">
        <f t="shared" si="3"/>
        <v>0.02</v>
      </c>
      <c r="BE27" s="17">
        <f t="shared" si="4"/>
        <v>218900</v>
      </c>
      <c r="BF27" s="17"/>
      <c r="BG27" s="235" t="s">
        <v>1135</v>
      </c>
      <c r="BH27" s="250">
        <f t="shared" si="5"/>
        <v>700</v>
      </c>
      <c r="BI27" s="250"/>
      <c r="BJ27" s="250"/>
    </row>
    <row r="28" spans="1:62" ht="21" customHeight="1" x14ac:dyDescent="0.35">
      <c r="A28">
        <v>25</v>
      </c>
      <c r="B28" s="136">
        <v>44962</v>
      </c>
      <c r="C28" s="4" t="s">
        <v>113</v>
      </c>
      <c r="D28" s="1" t="s">
        <v>163</v>
      </c>
      <c r="E28" t="s">
        <v>1092</v>
      </c>
      <c r="F28" s="6" t="s">
        <v>1131</v>
      </c>
      <c r="G28" s="6" t="s">
        <v>1151</v>
      </c>
      <c r="H28" s="235"/>
      <c r="I28" s="80" t="s">
        <v>1161</v>
      </c>
      <c r="K28" s="6">
        <v>3</v>
      </c>
      <c r="L28" s="17">
        <f t="shared" si="0"/>
        <v>155000</v>
      </c>
      <c r="M28" s="116"/>
      <c r="O28" s="17">
        <f t="shared" si="1"/>
        <v>465000</v>
      </c>
      <c r="R28" s="80" t="s">
        <v>1165</v>
      </c>
      <c r="AC28" s="237" t="s">
        <v>960</v>
      </c>
      <c r="AD28" s="17">
        <v>8000</v>
      </c>
      <c r="AF28" s="14" t="s">
        <v>1199</v>
      </c>
      <c r="AG28" s="239">
        <f>(AG21*AG26)+(AG27*AG21)</f>
        <v>0</v>
      </c>
      <c r="AY28" s="6" t="s">
        <v>1151</v>
      </c>
      <c r="AZ28" s="235" t="s">
        <v>1135</v>
      </c>
      <c r="BA28" s="80" t="s">
        <v>1161</v>
      </c>
      <c r="BB28" s="6">
        <v>3</v>
      </c>
      <c r="BC28" s="17">
        <f t="shared" si="2"/>
        <v>155000</v>
      </c>
      <c r="BD28" s="116">
        <f t="shared" si="3"/>
        <v>0.02</v>
      </c>
      <c r="BE28" s="17">
        <f t="shared" si="4"/>
        <v>461900</v>
      </c>
      <c r="BF28" s="17"/>
      <c r="BG28" s="235" t="s">
        <v>1135</v>
      </c>
      <c r="BH28" s="250">
        <f t="shared" si="5"/>
        <v>700</v>
      </c>
      <c r="BI28" s="250"/>
      <c r="BJ28" s="250"/>
    </row>
    <row r="29" spans="1:62" ht="21" customHeight="1" x14ac:dyDescent="0.35">
      <c r="A29">
        <v>26</v>
      </c>
      <c r="B29" s="136">
        <v>44962</v>
      </c>
      <c r="C29" s="4" t="s">
        <v>114</v>
      </c>
      <c r="D29" s="1" t="s">
        <v>163</v>
      </c>
      <c r="E29" t="s">
        <v>1092</v>
      </c>
      <c r="F29" s="6" t="s">
        <v>1132</v>
      </c>
      <c r="G29" s="6" t="s">
        <v>1151</v>
      </c>
      <c r="H29" s="235"/>
      <c r="I29" s="80" t="s">
        <v>1170</v>
      </c>
      <c r="K29" s="6">
        <v>2</v>
      </c>
      <c r="L29" s="17">
        <f t="shared" si="0"/>
        <v>55000</v>
      </c>
      <c r="M29" s="116"/>
      <c r="O29" s="17">
        <f t="shared" si="1"/>
        <v>110000</v>
      </c>
      <c r="R29" s="80" t="s">
        <v>1166</v>
      </c>
      <c r="AC29" s="237" t="s">
        <v>959</v>
      </c>
      <c r="AD29" s="17">
        <v>11000</v>
      </c>
      <c r="AY29" s="6" t="s">
        <v>1151</v>
      </c>
      <c r="AZ29" s="235" t="s">
        <v>1135</v>
      </c>
      <c r="BA29" s="80" t="s">
        <v>1170</v>
      </c>
      <c r="BB29" s="6">
        <v>2</v>
      </c>
      <c r="BC29" s="17">
        <f t="shared" si="2"/>
        <v>55000</v>
      </c>
      <c r="BD29" s="116">
        <f t="shared" si="3"/>
        <v>0.02</v>
      </c>
      <c r="BE29" s="17">
        <f t="shared" si="4"/>
        <v>108900</v>
      </c>
      <c r="BF29" s="17"/>
      <c r="BG29" s="235" t="s">
        <v>1135</v>
      </c>
      <c r="BH29" s="250">
        <f t="shared" si="5"/>
        <v>700</v>
      </c>
      <c r="BI29" s="250"/>
      <c r="BJ29" s="250"/>
    </row>
    <row r="30" spans="1:62" ht="21" customHeight="1" x14ac:dyDescent="0.35">
      <c r="A30">
        <v>27</v>
      </c>
      <c r="B30" s="136">
        <v>44962</v>
      </c>
      <c r="C30" s="4" t="s">
        <v>115</v>
      </c>
      <c r="D30" s="1" t="s">
        <v>162</v>
      </c>
      <c r="E30" t="s">
        <v>1092</v>
      </c>
      <c r="F30" s="6" t="s">
        <v>1133</v>
      </c>
      <c r="G30" s="6" t="s">
        <v>1139</v>
      </c>
      <c r="H30" s="235"/>
      <c r="I30" s="80" t="s">
        <v>1173</v>
      </c>
      <c r="K30" s="6">
        <v>3</v>
      </c>
      <c r="L30" s="17">
        <f t="shared" si="0"/>
        <v>185000</v>
      </c>
      <c r="M30" s="116"/>
      <c r="O30" s="17">
        <f t="shared" si="1"/>
        <v>555000</v>
      </c>
      <c r="R30" s="80" t="s">
        <v>1167</v>
      </c>
      <c r="AC30" s="237" t="s">
        <v>1199</v>
      </c>
      <c r="AD30" s="17">
        <f>(AD28*AD21)+(AD29*AD21)</f>
        <v>20900000</v>
      </c>
      <c r="AF30" s="14" t="s">
        <v>1202</v>
      </c>
      <c r="AG30" s="239">
        <f>AG23-AG28</f>
        <v>0</v>
      </c>
      <c r="AJ30" s="81" t="s">
        <v>1243</v>
      </c>
      <c r="AY30" s="6" t="s">
        <v>1139</v>
      </c>
      <c r="AZ30" s="235" t="s">
        <v>1135</v>
      </c>
      <c r="BA30" s="80" t="s">
        <v>1173</v>
      </c>
      <c r="BB30" s="6">
        <v>3</v>
      </c>
      <c r="BC30" s="17">
        <f t="shared" si="2"/>
        <v>185000</v>
      </c>
      <c r="BD30" s="116">
        <f t="shared" si="3"/>
        <v>0.02</v>
      </c>
      <c r="BE30" s="17">
        <f t="shared" si="4"/>
        <v>551300</v>
      </c>
      <c r="BF30" s="17"/>
      <c r="BG30" s="235" t="s">
        <v>1135</v>
      </c>
      <c r="BH30" s="250">
        <f t="shared" si="5"/>
        <v>700</v>
      </c>
      <c r="BI30" s="250"/>
      <c r="BJ30" s="250"/>
    </row>
    <row r="31" spans="1:62" ht="21" customHeight="1" x14ac:dyDescent="0.35">
      <c r="A31">
        <v>28</v>
      </c>
      <c r="B31" s="136">
        <v>44962</v>
      </c>
      <c r="C31" s="4" t="s">
        <v>116</v>
      </c>
      <c r="D31" s="1" t="s">
        <v>162</v>
      </c>
      <c r="E31" t="s">
        <v>1092</v>
      </c>
      <c r="F31" s="6" t="s">
        <v>1113</v>
      </c>
      <c r="G31" s="6" t="s">
        <v>1139</v>
      </c>
      <c r="H31" s="235"/>
      <c r="I31" s="80" t="s">
        <v>1172</v>
      </c>
      <c r="K31" s="6">
        <v>3</v>
      </c>
      <c r="L31" s="17">
        <f t="shared" si="0"/>
        <v>170000</v>
      </c>
      <c r="M31" s="116"/>
      <c r="O31" s="17">
        <f t="shared" si="1"/>
        <v>510000</v>
      </c>
      <c r="R31" s="80" t="s">
        <v>1168</v>
      </c>
      <c r="AP31" s="81" t="s">
        <v>1319</v>
      </c>
      <c r="AY31" s="6" t="s">
        <v>1139</v>
      </c>
      <c r="AZ31" s="235" t="s">
        <v>1135</v>
      </c>
      <c r="BA31" s="80" t="s">
        <v>1172</v>
      </c>
      <c r="BB31" s="6">
        <v>3</v>
      </c>
      <c r="BC31" s="17">
        <f t="shared" si="2"/>
        <v>170000</v>
      </c>
      <c r="BD31" s="116">
        <f t="shared" si="3"/>
        <v>0.02</v>
      </c>
      <c r="BE31" s="17">
        <f t="shared" si="4"/>
        <v>506600</v>
      </c>
      <c r="BF31" s="17"/>
      <c r="BG31" s="235" t="s">
        <v>1135</v>
      </c>
      <c r="BH31" s="250">
        <f t="shared" si="5"/>
        <v>700</v>
      </c>
      <c r="BI31" s="250"/>
      <c r="BJ31" s="250"/>
    </row>
    <row r="32" spans="1:62" ht="21" customHeight="1" x14ac:dyDescent="0.35">
      <c r="A32">
        <v>29</v>
      </c>
      <c r="B32" s="136">
        <v>44962</v>
      </c>
      <c r="C32" s="4" t="s">
        <v>117</v>
      </c>
      <c r="D32" s="1" t="s">
        <v>162</v>
      </c>
      <c r="E32" t="s">
        <v>1092</v>
      </c>
      <c r="F32" s="6" t="s">
        <v>1114</v>
      </c>
      <c r="G32" s="6" t="s">
        <v>1157</v>
      </c>
      <c r="H32" s="235"/>
      <c r="I32" s="235" t="s">
        <v>1178</v>
      </c>
      <c r="K32" s="6">
        <v>3</v>
      </c>
      <c r="L32" s="17">
        <f t="shared" si="0"/>
        <v>225000</v>
      </c>
      <c r="M32" s="116"/>
      <c r="O32" s="17">
        <f t="shared" si="1"/>
        <v>675000</v>
      </c>
      <c r="R32" s="80" t="s">
        <v>1169</v>
      </c>
      <c r="AC32" s="237" t="s">
        <v>485</v>
      </c>
      <c r="AD32" s="17">
        <f>AD25-AD30</f>
        <v>638933141</v>
      </c>
      <c r="AJ32" s="10" t="s">
        <v>993</v>
      </c>
      <c r="AL32" s="15" t="s">
        <v>993</v>
      </c>
      <c r="AP32" s="13" t="s">
        <v>992</v>
      </c>
      <c r="AQ32" s="13" t="s">
        <v>993</v>
      </c>
      <c r="AR32" s="13" t="s">
        <v>991</v>
      </c>
      <c r="AS32" s="13" t="s">
        <v>994</v>
      </c>
      <c r="AT32" s="13" t="s">
        <v>996</v>
      </c>
      <c r="AU32" s="236" t="s">
        <v>998</v>
      </c>
      <c r="AY32" s="6" t="s">
        <v>1157</v>
      </c>
      <c r="AZ32" s="235" t="s">
        <v>1136</v>
      </c>
      <c r="BA32" s="235" t="s">
        <v>1178</v>
      </c>
      <c r="BB32" s="6">
        <v>3</v>
      </c>
      <c r="BC32" s="17">
        <f t="shared" si="2"/>
        <v>225000</v>
      </c>
      <c r="BD32" s="116">
        <f t="shared" si="3"/>
        <v>0.02</v>
      </c>
      <c r="BE32" s="17">
        <f t="shared" si="4"/>
        <v>670500</v>
      </c>
      <c r="BF32" s="17"/>
      <c r="BG32" s="235" t="s">
        <v>1136</v>
      </c>
      <c r="BH32" s="250">
        <f t="shared" si="5"/>
        <v>900</v>
      </c>
      <c r="BI32" s="250"/>
      <c r="BJ32" s="250"/>
    </row>
    <row r="33" spans="1:62" ht="21" customHeight="1" x14ac:dyDescent="0.35">
      <c r="A33">
        <v>30</v>
      </c>
      <c r="B33" s="136">
        <v>44962</v>
      </c>
      <c r="C33" s="4" t="s">
        <v>118</v>
      </c>
      <c r="D33" s="1" t="s">
        <v>162</v>
      </c>
      <c r="E33" t="s">
        <v>1095</v>
      </c>
      <c r="F33" s="6" t="s">
        <v>1103</v>
      </c>
      <c r="G33" s="6" t="s">
        <v>1157</v>
      </c>
      <c r="H33" s="235"/>
      <c r="I33" s="235" t="s">
        <v>1176</v>
      </c>
      <c r="K33" s="6">
        <v>2</v>
      </c>
      <c r="L33" s="17">
        <f t="shared" si="0"/>
        <v>45500</v>
      </c>
      <c r="M33" s="116"/>
      <c r="O33" s="17">
        <f t="shared" si="1"/>
        <v>91000</v>
      </c>
      <c r="R33" s="80" t="s">
        <v>1170</v>
      </c>
      <c r="AJ33" s="249" t="s">
        <v>1135</v>
      </c>
      <c r="AL33" s="81" t="s">
        <v>1135</v>
      </c>
      <c r="AP33" s="6"/>
      <c r="AQ33" s="235"/>
      <c r="AR33" s="80"/>
      <c r="AT33" s="6"/>
      <c r="AU33" s="17"/>
      <c r="AY33" s="6" t="s">
        <v>1157</v>
      </c>
      <c r="AZ33" s="235" t="s">
        <v>1136</v>
      </c>
      <c r="BA33" s="235" t="s">
        <v>1176</v>
      </c>
      <c r="BB33" s="6">
        <v>2</v>
      </c>
      <c r="BC33" s="17">
        <f t="shared" si="2"/>
        <v>45500</v>
      </c>
      <c r="BD33" s="116">
        <f t="shared" si="3"/>
        <v>0.02</v>
      </c>
      <c r="BE33" s="17">
        <f t="shared" si="4"/>
        <v>90090</v>
      </c>
      <c r="BF33" s="17"/>
      <c r="BG33" s="235" t="s">
        <v>1136</v>
      </c>
      <c r="BH33" s="250">
        <f t="shared" si="5"/>
        <v>900</v>
      </c>
      <c r="BI33" s="250"/>
      <c r="BJ33" s="250"/>
    </row>
    <row r="34" spans="1:62" ht="21" customHeight="1" x14ac:dyDescent="0.35">
      <c r="A34">
        <v>31</v>
      </c>
      <c r="B34" s="136">
        <v>44962</v>
      </c>
      <c r="C34" s="4" t="s">
        <v>119</v>
      </c>
      <c r="D34" s="1" t="s">
        <v>162</v>
      </c>
      <c r="E34" t="s">
        <v>1093</v>
      </c>
      <c r="F34" s="6" t="s">
        <v>1115</v>
      </c>
      <c r="G34" s="6" t="s">
        <v>1150</v>
      </c>
      <c r="H34" s="235"/>
      <c r="I34" s="235" t="s">
        <v>1178</v>
      </c>
      <c r="K34" s="6">
        <v>2</v>
      </c>
      <c r="L34" s="17">
        <f t="shared" si="0"/>
        <v>225000</v>
      </c>
      <c r="M34" s="116"/>
      <c r="O34" s="17">
        <f t="shared" si="1"/>
        <v>450000</v>
      </c>
      <c r="R34" s="80" t="s">
        <v>1171</v>
      </c>
      <c r="AC34" s="238" t="s">
        <v>1318</v>
      </c>
      <c r="AL34" s="81" t="s">
        <v>1136</v>
      </c>
      <c r="AP34" s="6"/>
      <c r="AQ34" s="235"/>
      <c r="AR34" s="80"/>
      <c r="AT34" s="6"/>
      <c r="AU34" s="17"/>
      <c r="AY34" s="6" t="s">
        <v>1150</v>
      </c>
      <c r="AZ34" s="235" t="s">
        <v>1136</v>
      </c>
      <c r="BA34" s="235" t="s">
        <v>1178</v>
      </c>
      <c r="BB34" s="6">
        <v>2</v>
      </c>
      <c r="BC34" s="17">
        <f t="shared" si="2"/>
        <v>225000</v>
      </c>
      <c r="BD34" s="116">
        <f t="shared" si="3"/>
        <v>0.02</v>
      </c>
      <c r="BE34" s="17">
        <f t="shared" si="4"/>
        <v>445500</v>
      </c>
      <c r="BF34" s="17"/>
      <c r="BG34" s="235" t="s">
        <v>1136</v>
      </c>
      <c r="BH34" s="250">
        <f t="shared" si="5"/>
        <v>900</v>
      </c>
      <c r="BI34" s="250"/>
      <c r="BJ34" s="250"/>
    </row>
    <row r="35" spans="1:62" ht="21" customHeight="1" x14ac:dyDescent="0.35">
      <c r="A35">
        <v>32</v>
      </c>
      <c r="B35" s="136">
        <v>44962</v>
      </c>
      <c r="C35" s="4" t="s">
        <v>120</v>
      </c>
      <c r="D35" s="1" t="s">
        <v>162</v>
      </c>
      <c r="E35" t="s">
        <v>1093</v>
      </c>
      <c r="F35" s="6" t="s">
        <v>1116</v>
      </c>
      <c r="G35" s="6" t="s">
        <v>1140</v>
      </c>
      <c r="H35" s="235"/>
      <c r="I35" s="235" t="s">
        <v>1176</v>
      </c>
      <c r="K35" s="6">
        <v>4</v>
      </c>
      <c r="L35" s="17">
        <f t="shared" si="0"/>
        <v>45500</v>
      </c>
      <c r="M35" s="116"/>
      <c r="O35" s="17">
        <f t="shared" si="1"/>
        <v>182000</v>
      </c>
      <c r="R35" s="80" t="s">
        <v>1172</v>
      </c>
      <c r="AD35" s="15" t="s">
        <v>1135</v>
      </c>
      <c r="AE35" s="15" t="s">
        <v>1136</v>
      </c>
      <c r="AF35" s="15" t="s">
        <v>1138</v>
      </c>
      <c r="AG35" s="15" t="s">
        <v>1137</v>
      </c>
      <c r="AJ35" s="15"/>
      <c r="AL35" s="81" t="s">
        <v>1138</v>
      </c>
      <c r="AP35" s="6"/>
      <c r="AQ35" s="235"/>
      <c r="AR35" s="80"/>
      <c r="AT35" s="6"/>
      <c r="AU35" s="17"/>
      <c r="AY35" s="6" t="s">
        <v>1140</v>
      </c>
      <c r="AZ35" s="235" t="s">
        <v>1136</v>
      </c>
      <c r="BA35" s="235" t="s">
        <v>1176</v>
      </c>
      <c r="BB35" s="6">
        <v>4</v>
      </c>
      <c r="BC35" s="17">
        <f t="shared" si="2"/>
        <v>45500</v>
      </c>
      <c r="BD35" s="116">
        <f t="shared" si="3"/>
        <v>0.02</v>
      </c>
      <c r="BE35" s="17">
        <f t="shared" si="4"/>
        <v>181090</v>
      </c>
      <c r="BF35" s="17"/>
      <c r="BG35" s="235" t="s">
        <v>1136</v>
      </c>
      <c r="BH35" s="250">
        <f t="shared" si="5"/>
        <v>900</v>
      </c>
      <c r="BI35" s="250"/>
      <c r="BJ35" s="250"/>
    </row>
    <row r="36" spans="1:62" ht="21" customHeight="1" x14ac:dyDescent="0.35">
      <c r="A36">
        <v>33</v>
      </c>
      <c r="B36" s="136">
        <v>44962</v>
      </c>
      <c r="C36" s="4" t="s">
        <v>121</v>
      </c>
      <c r="D36" s="1" t="s">
        <v>162</v>
      </c>
      <c r="E36" t="s">
        <v>1093</v>
      </c>
      <c r="F36" s="6" t="s">
        <v>1117</v>
      </c>
      <c r="G36" s="6" t="s">
        <v>1158</v>
      </c>
      <c r="H36" s="235"/>
      <c r="I36" s="235" t="s">
        <v>1188</v>
      </c>
      <c r="K36" s="6">
        <v>4</v>
      </c>
      <c r="L36" s="17">
        <f t="shared" ref="L36:L67" si="6">INDEX($S$40:$S$69,MATCH(I36,$R$40:$R$69,0))</f>
        <v>45555</v>
      </c>
      <c r="M36" s="116"/>
      <c r="O36" s="17">
        <f t="shared" ref="O36:O67" si="7">(K36*L36)-(L36*M36)</f>
        <v>182220</v>
      </c>
      <c r="R36" s="80" t="s">
        <v>1173</v>
      </c>
      <c r="AC36" t="s">
        <v>1193</v>
      </c>
      <c r="AD36" s="17">
        <v>94245</v>
      </c>
      <c r="AE36" s="17">
        <v>135628</v>
      </c>
      <c r="AF36" s="17">
        <v>92559</v>
      </c>
      <c r="AG36" s="17">
        <v>52731</v>
      </c>
      <c r="AL36" s="81" t="s">
        <v>1137</v>
      </c>
      <c r="AP36" s="6"/>
      <c r="AQ36" s="235"/>
      <c r="AR36" s="80"/>
      <c r="AT36" s="6"/>
      <c r="AU36" s="17"/>
      <c r="AY36" s="6" t="s">
        <v>1158</v>
      </c>
      <c r="AZ36" s="235" t="s">
        <v>1137</v>
      </c>
      <c r="BA36" s="235" t="s">
        <v>1188</v>
      </c>
      <c r="BB36" s="6">
        <v>4</v>
      </c>
      <c r="BC36" s="17">
        <f t="shared" ref="BC36:BC67" si="8">INDEX($S$40:$S$69,MATCH(BA36,$R$40:$R$69,0))</f>
        <v>45555</v>
      </c>
      <c r="BD36" s="116">
        <f t="shared" ref="BD36:BD67" si="9">IF(BB36&gt;8,3%,2%)</f>
        <v>0.02</v>
      </c>
      <c r="BE36" s="17">
        <f t="shared" ref="BE36:BE67" si="10">(BB36*BC36)-(BC36*BD36)</f>
        <v>181308.9</v>
      </c>
      <c r="BF36" s="17"/>
      <c r="BG36" s="235" t="s">
        <v>1137</v>
      </c>
      <c r="BH36" s="250">
        <f t="shared" ref="BH36:BH67" si="11">IF(AZ36="Food Product",700,IF(AZ36="Non Food Product",900,IF(AZ36="General Merchandise Product",855,755)))</f>
        <v>755</v>
      </c>
      <c r="BI36" s="250"/>
      <c r="BJ36" s="250"/>
    </row>
    <row r="37" spans="1:62" ht="21" customHeight="1" x14ac:dyDescent="0.35">
      <c r="A37">
        <v>34</v>
      </c>
      <c r="B37" s="136">
        <v>44962</v>
      </c>
      <c r="C37" s="4" t="s">
        <v>122</v>
      </c>
      <c r="D37" s="1" t="s">
        <v>162</v>
      </c>
      <c r="E37" t="s">
        <v>1093</v>
      </c>
      <c r="F37" s="6" t="s">
        <v>1118</v>
      </c>
      <c r="G37" s="6" t="s">
        <v>1158</v>
      </c>
      <c r="H37" s="235"/>
      <c r="I37" s="235" t="s">
        <v>1184</v>
      </c>
      <c r="K37" s="6">
        <v>5</v>
      </c>
      <c r="L37" s="17">
        <f t="shared" si="6"/>
        <v>25500</v>
      </c>
      <c r="M37" s="116"/>
      <c r="O37" s="17">
        <f t="shared" si="7"/>
        <v>127500</v>
      </c>
      <c r="AC37" t="s">
        <v>1204</v>
      </c>
      <c r="AD37">
        <v>100</v>
      </c>
      <c r="AE37">
        <v>150</v>
      </c>
      <c r="AF37">
        <v>200</v>
      </c>
      <c r="AG37">
        <v>250</v>
      </c>
      <c r="AP37" s="6"/>
      <c r="AQ37" s="235"/>
      <c r="AR37" s="80"/>
      <c r="AT37" s="6"/>
      <c r="AU37" s="17"/>
      <c r="AY37" s="6" t="s">
        <v>1158</v>
      </c>
      <c r="AZ37" s="235" t="s">
        <v>1137</v>
      </c>
      <c r="BA37" s="235" t="s">
        <v>1184</v>
      </c>
      <c r="BB37" s="6">
        <v>5</v>
      </c>
      <c r="BC37" s="17">
        <f t="shared" si="8"/>
        <v>25500</v>
      </c>
      <c r="BD37" s="116">
        <f t="shared" si="9"/>
        <v>0.02</v>
      </c>
      <c r="BE37" s="17">
        <f t="shared" si="10"/>
        <v>126990</v>
      </c>
      <c r="BF37" s="17"/>
      <c r="BG37" s="235" t="s">
        <v>1137</v>
      </c>
      <c r="BH37" s="250">
        <f t="shared" si="11"/>
        <v>755</v>
      </c>
      <c r="BI37" s="250"/>
      <c r="BJ37" s="250"/>
    </row>
    <row r="38" spans="1:62" ht="21" customHeight="1" x14ac:dyDescent="0.35">
      <c r="A38">
        <v>35</v>
      </c>
      <c r="B38" s="136">
        <v>44962</v>
      </c>
      <c r="C38" s="4" t="s">
        <v>123</v>
      </c>
      <c r="D38" s="1" t="s">
        <v>163</v>
      </c>
      <c r="E38" t="s">
        <v>1093</v>
      </c>
      <c r="F38" s="6" t="s">
        <v>1119</v>
      </c>
      <c r="G38" s="6" t="s">
        <v>1141</v>
      </c>
      <c r="H38" s="235"/>
      <c r="I38" s="235" t="s">
        <v>1184</v>
      </c>
      <c r="K38" s="6">
        <v>5</v>
      </c>
      <c r="L38" s="17">
        <f t="shared" si="6"/>
        <v>25500</v>
      </c>
      <c r="M38" s="116"/>
      <c r="O38" s="17">
        <f t="shared" si="7"/>
        <v>127500</v>
      </c>
      <c r="AJ38" s="97" t="s">
        <v>883</v>
      </c>
      <c r="AK38" s="17">
        <v>200000000</v>
      </c>
      <c r="AP38" s="6"/>
      <c r="AQ38" s="235"/>
      <c r="AR38" s="80"/>
      <c r="AT38" s="6"/>
      <c r="AU38" s="17"/>
      <c r="AY38" s="6" t="s">
        <v>1141</v>
      </c>
      <c r="AZ38" s="235" t="s">
        <v>1137</v>
      </c>
      <c r="BA38" s="235" t="s">
        <v>1184</v>
      </c>
      <c r="BB38" s="6">
        <v>5</v>
      </c>
      <c r="BC38" s="17">
        <f t="shared" si="8"/>
        <v>25500</v>
      </c>
      <c r="BD38" s="116">
        <f t="shared" si="9"/>
        <v>0.02</v>
      </c>
      <c r="BE38" s="17">
        <f t="shared" si="10"/>
        <v>126990</v>
      </c>
      <c r="BF38" s="17"/>
      <c r="BG38" s="235" t="s">
        <v>1137</v>
      </c>
      <c r="BH38" s="250">
        <f t="shared" si="11"/>
        <v>755</v>
      </c>
      <c r="BI38" s="250"/>
      <c r="BJ38" s="250"/>
    </row>
    <row r="39" spans="1:62" ht="21" customHeight="1" x14ac:dyDescent="0.35">
      <c r="A39">
        <v>36</v>
      </c>
      <c r="B39" s="136">
        <v>44962</v>
      </c>
      <c r="C39" s="4" t="s">
        <v>124</v>
      </c>
      <c r="D39" s="1" t="s">
        <v>163</v>
      </c>
      <c r="E39" t="s">
        <v>1093</v>
      </c>
      <c r="F39" s="6" t="s">
        <v>1120</v>
      </c>
      <c r="G39" s="6" t="s">
        <v>1143</v>
      </c>
      <c r="H39" s="235"/>
      <c r="I39" s="235" t="s">
        <v>1187</v>
      </c>
      <c r="K39" s="6">
        <v>7</v>
      </c>
      <c r="L39" s="17">
        <f t="shared" si="6"/>
        <v>89999</v>
      </c>
      <c r="M39" s="116"/>
      <c r="O39" s="17">
        <f t="shared" si="7"/>
        <v>629993</v>
      </c>
      <c r="R39" s="81" t="s">
        <v>1190</v>
      </c>
      <c r="S39" s="15" t="s">
        <v>1189</v>
      </c>
      <c r="U39" s="81" t="s">
        <v>1135</v>
      </c>
      <c r="V39" s="78" t="e">
        <f>AVERAGEIF($H$4:$H$183,H13,$L$4:$L$183)</f>
        <v>#DIV/0!</v>
      </c>
      <c r="AC39" t="s">
        <v>1205</v>
      </c>
      <c r="AD39" s="17">
        <v>500000</v>
      </c>
      <c r="AE39" s="17">
        <v>930000</v>
      </c>
      <c r="AF39" s="17">
        <v>1400000</v>
      </c>
      <c r="AG39" s="17">
        <v>875000</v>
      </c>
      <c r="AJ39" s="97" t="s">
        <v>1244</v>
      </c>
      <c r="AK39">
        <v>20</v>
      </c>
      <c r="AL39">
        <f>AK39/AK41</f>
        <v>1.6666666666666667</v>
      </c>
      <c r="AP39" s="6"/>
      <c r="AQ39" s="235"/>
      <c r="AR39" s="80"/>
      <c r="AT39" s="6"/>
      <c r="AU39" s="17"/>
      <c r="AY39" s="6" t="s">
        <v>1143</v>
      </c>
      <c r="AZ39" s="235" t="s">
        <v>1137</v>
      </c>
      <c r="BA39" s="235" t="s">
        <v>1187</v>
      </c>
      <c r="BB39" s="6">
        <v>7</v>
      </c>
      <c r="BC39" s="17">
        <f t="shared" si="8"/>
        <v>89999</v>
      </c>
      <c r="BD39" s="116">
        <f t="shared" si="9"/>
        <v>0.02</v>
      </c>
      <c r="BE39" s="17">
        <f t="shared" si="10"/>
        <v>628193.02</v>
      </c>
      <c r="BF39" s="17"/>
      <c r="BG39" s="235" t="s">
        <v>1137</v>
      </c>
      <c r="BH39" s="250">
        <f t="shared" si="11"/>
        <v>755</v>
      </c>
      <c r="BI39" s="250"/>
      <c r="BJ39" s="250"/>
    </row>
    <row r="40" spans="1:62" ht="21" customHeight="1" x14ac:dyDescent="0.35">
      <c r="A40">
        <v>37</v>
      </c>
      <c r="B40" s="136">
        <v>44963</v>
      </c>
      <c r="C40" s="4" t="s">
        <v>125</v>
      </c>
      <c r="D40" s="1" t="s">
        <v>163</v>
      </c>
      <c r="E40" t="s">
        <v>1093</v>
      </c>
      <c r="F40" s="6" t="s">
        <v>1121</v>
      </c>
      <c r="G40" s="6" t="s">
        <v>1143</v>
      </c>
      <c r="H40" s="235"/>
      <c r="I40" s="235" t="s">
        <v>1187</v>
      </c>
      <c r="K40" s="6">
        <v>8</v>
      </c>
      <c r="L40" s="17">
        <f t="shared" si="6"/>
        <v>89999</v>
      </c>
      <c r="M40" s="116"/>
      <c r="O40" s="17">
        <f t="shared" si="7"/>
        <v>719992</v>
      </c>
      <c r="R40" s="80" t="s">
        <v>1159</v>
      </c>
      <c r="S40" s="17">
        <v>75000</v>
      </c>
      <c r="U40" s="81" t="s">
        <v>1136</v>
      </c>
      <c r="V40" s="78" t="e">
        <f>AVERAGEIF($H$4:$H$183,H32,$L$4:$L$183)</f>
        <v>#DIV/0!</v>
      </c>
      <c r="AC40" t="s">
        <v>1201</v>
      </c>
      <c r="AD40" s="17">
        <v>850000</v>
      </c>
      <c r="AE40" s="17">
        <v>1162500</v>
      </c>
      <c r="AF40" s="17">
        <v>1600000</v>
      </c>
      <c r="AG40" s="17">
        <v>1950000</v>
      </c>
      <c r="AJ40" s="97" t="s">
        <v>1245</v>
      </c>
      <c r="AK40" s="244">
        <v>12</v>
      </c>
      <c r="AL40" s="246">
        <f>AK40/12</f>
        <v>1</v>
      </c>
      <c r="AP40" s="6"/>
      <c r="AQ40" s="235"/>
      <c r="AR40" s="80"/>
      <c r="AT40" s="6"/>
      <c r="AU40" s="17"/>
      <c r="AY40" s="6" t="s">
        <v>1143</v>
      </c>
      <c r="AZ40" s="235" t="s">
        <v>1137</v>
      </c>
      <c r="BA40" s="235" t="s">
        <v>1187</v>
      </c>
      <c r="BB40" s="6">
        <v>8</v>
      </c>
      <c r="BC40" s="17">
        <f t="shared" si="8"/>
        <v>89999</v>
      </c>
      <c r="BD40" s="116">
        <f t="shared" si="9"/>
        <v>0.02</v>
      </c>
      <c r="BE40" s="17">
        <f t="shared" si="10"/>
        <v>718192.02</v>
      </c>
      <c r="BF40" s="17"/>
      <c r="BG40" s="235" t="s">
        <v>1137</v>
      </c>
      <c r="BH40" s="250">
        <f t="shared" si="11"/>
        <v>755</v>
      </c>
      <c r="BI40" s="250"/>
      <c r="BJ40" s="250"/>
    </row>
    <row r="41" spans="1:62" ht="21" customHeight="1" x14ac:dyDescent="0.35">
      <c r="A41">
        <v>38</v>
      </c>
      <c r="B41" s="136">
        <v>44963</v>
      </c>
      <c r="C41" s="4" t="s">
        <v>126</v>
      </c>
      <c r="D41" s="1" t="s">
        <v>163</v>
      </c>
      <c r="E41" t="s">
        <v>1093</v>
      </c>
      <c r="F41" s="6" t="s">
        <v>1126</v>
      </c>
      <c r="G41" s="6" t="s">
        <v>1143</v>
      </c>
      <c r="H41" s="235"/>
      <c r="I41" s="235" t="s">
        <v>1187</v>
      </c>
      <c r="K41" s="6">
        <v>8</v>
      </c>
      <c r="L41" s="17">
        <f t="shared" si="6"/>
        <v>89999</v>
      </c>
      <c r="M41" s="116"/>
      <c r="O41" s="17">
        <f t="shared" si="7"/>
        <v>719992</v>
      </c>
      <c r="R41" s="80" t="s">
        <v>1160</v>
      </c>
      <c r="S41" s="17">
        <v>120000</v>
      </c>
      <c r="U41" s="81" t="s">
        <v>1138</v>
      </c>
      <c r="V41" s="78" t="e">
        <f>AVERAGEIF($H$4:$H$183,H46,$L$4:$L$183)</f>
        <v>#DIV/0!</v>
      </c>
      <c r="AC41" t="s">
        <v>1206</v>
      </c>
      <c r="AD41" s="17">
        <v>350000</v>
      </c>
      <c r="AE41" s="17">
        <v>675000</v>
      </c>
      <c r="AF41" s="17">
        <v>2300000</v>
      </c>
      <c r="AG41" s="17">
        <v>1750000</v>
      </c>
      <c r="AJ41" s="97" t="s">
        <v>1246</v>
      </c>
      <c r="AK41">
        <v>12</v>
      </c>
      <c r="AL41" s="243"/>
      <c r="AP41" s="6"/>
      <c r="AQ41" s="235"/>
      <c r="AR41" s="80"/>
      <c r="AT41" s="6"/>
      <c r="AU41" s="17"/>
      <c r="AY41" s="6" t="s">
        <v>1143</v>
      </c>
      <c r="AZ41" s="235" t="s">
        <v>1137</v>
      </c>
      <c r="BA41" s="235" t="s">
        <v>1187</v>
      </c>
      <c r="BB41" s="6">
        <v>8</v>
      </c>
      <c r="BC41" s="17">
        <f t="shared" si="8"/>
        <v>89999</v>
      </c>
      <c r="BD41" s="116">
        <f t="shared" si="9"/>
        <v>0.02</v>
      </c>
      <c r="BE41" s="17">
        <f t="shared" si="10"/>
        <v>718192.02</v>
      </c>
      <c r="BF41" s="17"/>
      <c r="BG41" s="235" t="s">
        <v>1137</v>
      </c>
      <c r="BH41" s="250">
        <f t="shared" si="11"/>
        <v>755</v>
      </c>
      <c r="BI41" s="250"/>
      <c r="BJ41" s="250"/>
    </row>
    <row r="42" spans="1:62" ht="21" customHeight="1" x14ac:dyDescent="0.35">
      <c r="A42">
        <v>39</v>
      </c>
      <c r="B42" s="136">
        <v>44963</v>
      </c>
      <c r="C42" s="4" t="s">
        <v>127</v>
      </c>
      <c r="D42" s="1" t="s">
        <v>162</v>
      </c>
      <c r="E42" t="s">
        <v>1093</v>
      </c>
      <c r="F42" s="6" t="s">
        <v>1121</v>
      </c>
      <c r="G42" s="6" t="s">
        <v>1158</v>
      </c>
      <c r="H42" s="235"/>
      <c r="I42" s="235" t="s">
        <v>1184</v>
      </c>
      <c r="K42" s="6">
        <v>7</v>
      </c>
      <c r="L42" s="17">
        <f t="shared" si="6"/>
        <v>25500</v>
      </c>
      <c r="M42" s="116"/>
      <c r="O42" s="17">
        <f t="shared" si="7"/>
        <v>178500</v>
      </c>
      <c r="R42" s="80" t="s">
        <v>1161</v>
      </c>
      <c r="S42" s="17">
        <v>155000</v>
      </c>
      <c r="U42" s="81" t="s">
        <v>1137</v>
      </c>
      <c r="V42" s="78" t="e">
        <f>AVERAGEIF($H$4:$H$183,H36,$L$4:$L$183)</f>
        <v>#DIV/0!</v>
      </c>
      <c r="AC42" t="s">
        <v>1199</v>
      </c>
      <c r="AD42" s="17">
        <v>1700000</v>
      </c>
      <c r="AE42" s="17">
        <v>2767500</v>
      </c>
      <c r="AF42" s="17">
        <v>5300000</v>
      </c>
      <c r="AG42" s="17">
        <v>4575000</v>
      </c>
      <c r="AJ42" s="97"/>
      <c r="AP42" s="6"/>
      <c r="AQ42" s="235"/>
      <c r="AR42" s="80"/>
      <c r="AT42" s="6"/>
      <c r="AU42" s="17"/>
      <c r="AY42" s="6" t="s">
        <v>1158</v>
      </c>
      <c r="AZ42" s="235" t="s">
        <v>1137</v>
      </c>
      <c r="BA42" s="235" t="s">
        <v>1184</v>
      </c>
      <c r="BB42" s="6">
        <v>7</v>
      </c>
      <c r="BC42" s="17">
        <f t="shared" si="8"/>
        <v>25500</v>
      </c>
      <c r="BD42" s="116">
        <f t="shared" si="9"/>
        <v>0.02</v>
      </c>
      <c r="BE42" s="17">
        <f t="shared" si="10"/>
        <v>177990</v>
      </c>
      <c r="BF42" s="17"/>
      <c r="BG42" s="235" t="s">
        <v>1137</v>
      </c>
      <c r="BH42" s="250">
        <f t="shared" si="11"/>
        <v>755</v>
      </c>
      <c r="BI42" s="250"/>
      <c r="BJ42" s="250"/>
    </row>
    <row r="43" spans="1:62" ht="21" customHeight="1" x14ac:dyDescent="0.35">
      <c r="A43">
        <v>40</v>
      </c>
      <c r="B43" s="136">
        <v>44963</v>
      </c>
      <c r="C43" s="4" t="s">
        <v>128</v>
      </c>
      <c r="D43" s="1" t="s">
        <v>162</v>
      </c>
      <c r="E43" t="s">
        <v>1093</v>
      </c>
      <c r="F43" s="6" t="s">
        <v>1126</v>
      </c>
      <c r="G43" s="6" t="s">
        <v>1158</v>
      </c>
      <c r="H43" s="235"/>
      <c r="I43" s="235" t="s">
        <v>1184</v>
      </c>
      <c r="K43" s="6">
        <v>7</v>
      </c>
      <c r="L43" s="17">
        <f t="shared" si="6"/>
        <v>25500</v>
      </c>
      <c r="M43" s="116"/>
      <c r="O43" s="17">
        <f t="shared" si="7"/>
        <v>178500</v>
      </c>
      <c r="R43" s="80" t="s">
        <v>1162</v>
      </c>
      <c r="S43" s="17">
        <v>85000</v>
      </c>
      <c r="AJ43" s="15" t="s">
        <v>1247</v>
      </c>
      <c r="AK43" s="15" t="s">
        <v>1248</v>
      </c>
      <c r="AL43" s="15" t="s">
        <v>1249</v>
      </c>
      <c r="AM43" s="15" t="s">
        <v>1250</v>
      </c>
      <c r="AP43" s="6"/>
      <c r="AQ43" s="235"/>
      <c r="AR43" s="80"/>
      <c r="AT43" s="6"/>
      <c r="AU43" s="17"/>
      <c r="AY43" s="6" t="s">
        <v>1158</v>
      </c>
      <c r="AZ43" s="235" t="s">
        <v>1137</v>
      </c>
      <c r="BA43" s="235" t="s">
        <v>1184</v>
      </c>
      <c r="BB43" s="6">
        <v>7</v>
      </c>
      <c r="BC43" s="17">
        <f t="shared" si="8"/>
        <v>25500</v>
      </c>
      <c r="BD43" s="116">
        <f t="shared" si="9"/>
        <v>0.02</v>
      </c>
      <c r="BE43" s="17">
        <f t="shared" si="10"/>
        <v>177990</v>
      </c>
      <c r="BF43" s="17"/>
      <c r="BG43" s="235" t="s">
        <v>1137</v>
      </c>
      <c r="BH43" s="250">
        <f t="shared" si="11"/>
        <v>755</v>
      </c>
      <c r="BI43" s="250"/>
      <c r="BJ43" s="250"/>
    </row>
    <row r="44" spans="1:62" ht="21" customHeight="1" x14ac:dyDescent="0.35">
      <c r="A44">
        <v>41</v>
      </c>
      <c r="B44" s="136">
        <v>44963</v>
      </c>
      <c r="C44" s="4" t="s">
        <v>1007</v>
      </c>
      <c r="D44" s="1" t="s">
        <v>162</v>
      </c>
      <c r="E44" t="s">
        <v>1095</v>
      </c>
      <c r="F44" s="6" t="s">
        <v>1127</v>
      </c>
      <c r="G44" s="6" t="s">
        <v>1141</v>
      </c>
      <c r="H44" s="235"/>
      <c r="I44" s="235" t="s">
        <v>1184</v>
      </c>
      <c r="K44" s="6">
        <v>5</v>
      </c>
      <c r="L44" s="17">
        <f t="shared" si="6"/>
        <v>25500</v>
      </c>
      <c r="M44" s="116"/>
      <c r="O44" s="17">
        <f t="shared" si="7"/>
        <v>127500</v>
      </c>
      <c r="R44" s="80" t="s">
        <v>1163</v>
      </c>
      <c r="S44" s="17">
        <v>55000</v>
      </c>
      <c r="AC44" s="97" t="s">
        <v>420</v>
      </c>
      <c r="AD44" s="240">
        <v>7724500</v>
      </c>
      <c r="AE44" s="240">
        <v>17576700</v>
      </c>
      <c r="AF44" s="240">
        <v>13211800</v>
      </c>
      <c r="AG44" s="240">
        <v>8607750</v>
      </c>
      <c r="AM44" s="17">
        <f>AK38</f>
        <v>200000000</v>
      </c>
      <c r="AP44" s="6"/>
      <c r="AQ44" s="235"/>
      <c r="AR44" s="80"/>
      <c r="AT44" s="6"/>
      <c r="AU44" s="17"/>
      <c r="AY44" s="6" t="s">
        <v>1141</v>
      </c>
      <c r="AZ44" s="235" t="s">
        <v>1137</v>
      </c>
      <c r="BA44" s="235" t="s">
        <v>1184</v>
      </c>
      <c r="BB44" s="6">
        <v>5</v>
      </c>
      <c r="BC44" s="17">
        <f t="shared" si="8"/>
        <v>25500</v>
      </c>
      <c r="BD44" s="116">
        <f t="shared" si="9"/>
        <v>0.02</v>
      </c>
      <c r="BE44" s="17">
        <f t="shared" si="10"/>
        <v>126990</v>
      </c>
      <c r="BF44" s="17"/>
      <c r="BG44" s="235" t="s">
        <v>1137</v>
      </c>
      <c r="BH44" s="250">
        <f t="shared" si="11"/>
        <v>755</v>
      </c>
      <c r="BI44" s="250"/>
      <c r="BJ44" s="250"/>
    </row>
    <row r="45" spans="1:62" ht="21" customHeight="1" x14ac:dyDescent="0.35">
      <c r="A45">
        <v>42</v>
      </c>
      <c r="B45" s="136">
        <v>44963</v>
      </c>
      <c r="C45" s="4" t="s">
        <v>130</v>
      </c>
      <c r="D45" s="1" t="s">
        <v>162</v>
      </c>
      <c r="E45" t="s">
        <v>1095</v>
      </c>
      <c r="F45" s="6" t="s">
        <v>1126</v>
      </c>
      <c r="G45" s="6" t="s">
        <v>1141</v>
      </c>
      <c r="H45" s="235"/>
      <c r="I45" s="235" t="s">
        <v>1184</v>
      </c>
      <c r="K45" s="6">
        <v>4</v>
      </c>
      <c r="L45" s="17">
        <f t="shared" si="6"/>
        <v>25500</v>
      </c>
      <c r="M45" s="116"/>
      <c r="O45" s="17">
        <f t="shared" si="7"/>
        <v>102000</v>
      </c>
      <c r="R45" s="80" t="s">
        <v>1164</v>
      </c>
      <c r="S45" s="17">
        <v>125000</v>
      </c>
      <c r="AJ45" s="245">
        <v>1</v>
      </c>
      <c r="AK45" s="251"/>
      <c r="AL45" s="17"/>
      <c r="AM45" s="248"/>
      <c r="AP45" s="6"/>
      <c r="AQ45" s="235"/>
      <c r="AR45" s="80"/>
      <c r="AT45" s="6"/>
      <c r="AU45" s="17"/>
      <c r="AY45" s="6" t="s">
        <v>1141</v>
      </c>
      <c r="AZ45" s="235" t="s">
        <v>1137</v>
      </c>
      <c r="BA45" s="235" t="s">
        <v>1184</v>
      </c>
      <c r="BB45" s="6">
        <v>4</v>
      </c>
      <c r="BC45" s="17">
        <f t="shared" si="8"/>
        <v>25500</v>
      </c>
      <c r="BD45" s="116">
        <f t="shared" si="9"/>
        <v>0.02</v>
      </c>
      <c r="BE45" s="17">
        <f t="shared" si="10"/>
        <v>101490</v>
      </c>
      <c r="BF45" s="17"/>
      <c r="BG45" s="235" t="s">
        <v>1137</v>
      </c>
      <c r="BH45" s="250">
        <f t="shared" si="11"/>
        <v>755</v>
      </c>
      <c r="BI45" s="250"/>
      <c r="BJ45" s="250"/>
    </row>
    <row r="46" spans="1:62" ht="21" customHeight="1" x14ac:dyDescent="0.35">
      <c r="A46">
        <v>43</v>
      </c>
      <c r="B46" s="136">
        <v>44964</v>
      </c>
      <c r="C46" s="4" t="s">
        <v>131</v>
      </c>
      <c r="D46" s="1" t="s">
        <v>163</v>
      </c>
      <c r="E46" t="s">
        <v>1095</v>
      </c>
      <c r="F46" s="6" t="s">
        <v>1127</v>
      </c>
      <c r="G46" s="6" t="s">
        <v>1155</v>
      </c>
      <c r="H46" s="235"/>
      <c r="I46" s="80" t="s">
        <v>1182</v>
      </c>
      <c r="K46" s="6">
        <v>6</v>
      </c>
      <c r="L46" s="17">
        <f t="shared" si="6"/>
        <v>110500</v>
      </c>
      <c r="M46" s="116"/>
      <c r="O46" s="17">
        <f t="shared" si="7"/>
        <v>663000</v>
      </c>
      <c r="R46" s="80" t="s">
        <v>1165</v>
      </c>
      <c r="S46" s="17">
        <v>95000</v>
      </c>
      <c r="AJ46" s="245">
        <v>2</v>
      </c>
      <c r="AK46" s="17"/>
      <c r="AL46" s="17"/>
      <c r="AM46" s="248"/>
      <c r="AP46" s="6"/>
      <c r="AQ46" s="235"/>
      <c r="AR46" s="80"/>
      <c r="AT46" s="6"/>
      <c r="AU46" s="17"/>
      <c r="AY46" s="6" t="s">
        <v>1155</v>
      </c>
      <c r="AZ46" s="235" t="s">
        <v>1138</v>
      </c>
      <c r="BA46" s="80" t="s">
        <v>1182</v>
      </c>
      <c r="BB46" s="6">
        <v>6</v>
      </c>
      <c r="BC46" s="17">
        <f t="shared" si="8"/>
        <v>110500</v>
      </c>
      <c r="BD46" s="116">
        <f t="shared" si="9"/>
        <v>0.02</v>
      </c>
      <c r="BE46" s="17">
        <f t="shared" si="10"/>
        <v>660790</v>
      </c>
      <c r="BF46" s="17"/>
      <c r="BG46" s="235" t="s">
        <v>1138</v>
      </c>
      <c r="BH46" s="250">
        <f t="shared" si="11"/>
        <v>855</v>
      </c>
      <c r="BI46" s="250"/>
      <c r="BJ46" s="250"/>
    </row>
    <row r="47" spans="1:62" ht="21" customHeight="1" x14ac:dyDescent="0.35">
      <c r="A47">
        <v>44</v>
      </c>
      <c r="B47" s="136">
        <v>44964</v>
      </c>
      <c r="C47" s="4" t="s">
        <v>96</v>
      </c>
      <c r="D47" s="1" t="s">
        <v>162</v>
      </c>
      <c r="E47" t="s">
        <v>1095</v>
      </c>
      <c r="F47" s="6" t="s">
        <v>1126</v>
      </c>
      <c r="G47" s="6" t="s">
        <v>1142</v>
      </c>
      <c r="H47" s="235"/>
      <c r="I47" s="80" t="s">
        <v>1183</v>
      </c>
      <c r="K47" s="6">
        <v>8</v>
      </c>
      <c r="L47" s="17">
        <f t="shared" si="6"/>
        <v>135500</v>
      </c>
      <c r="M47" s="116"/>
      <c r="O47" s="17">
        <f t="shared" si="7"/>
        <v>1084000</v>
      </c>
      <c r="R47" s="80" t="s">
        <v>1166</v>
      </c>
      <c r="S47" s="17">
        <v>90000</v>
      </c>
      <c r="AJ47" s="245">
        <v>3</v>
      </c>
      <c r="AK47" s="17"/>
      <c r="AL47" s="17"/>
      <c r="AM47" s="248"/>
      <c r="AP47" s="6"/>
      <c r="AQ47" s="235"/>
      <c r="AR47" s="80"/>
      <c r="AT47" s="6"/>
      <c r="AU47" s="17"/>
      <c r="AY47" s="6" t="s">
        <v>1142</v>
      </c>
      <c r="AZ47" s="235" t="s">
        <v>1138</v>
      </c>
      <c r="BA47" s="80" t="s">
        <v>1183</v>
      </c>
      <c r="BB47" s="6">
        <v>8</v>
      </c>
      <c r="BC47" s="17">
        <f t="shared" si="8"/>
        <v>135500</v>
      </c>
      <c r="BD47" s="116">
        <f t="shared" si="9"/>
        <v>0.02</v>
      </c>
      <c r="BE47" s="17">
        <f t="shared" si="10"/>
        <v>1081290</v>
      </c>
      <c r="BF47" s="17"/>
      <c r="BG47" s="235" t="s">
        <v>1138</v>
      </c>
      <c r="BH47" s="250">
        <f t="shared" si="11"/>
        <v>855</v>
      </c>
      <c r="BI47" s="250"/>
      <c r="BJ47" s="250"/>
    </row>
    <row r="48" spans="1:62" ht="21" customHeight="1" x14ac:dyDescent="0.35">
      <c r="A48">
        <v>45</v>
      </c>
      <c r="B48" s="136">
        <v>44964</v>
      </c>
      <c r="C48" s="4" t="s">
        <v>97</v>
      </c>
      <c r="D48" s="1" t="s">
        <v>162</v>
      </c>
      <c r="E48" t="s">
        <v>1095</v>
      </c>
      <c r="F48" s="6" t="s">
        <v>1127</v>
      </c>
      <c r="G48" s="6" t="s">
        <v>1152</v>
      </c>
      <c r="H48" s="235"/>
      <c r="I48" s="80" t="s">
        <v>1169</v>
      </c>
      <c r="K48" s="6">
        <v>8</v>
      </c>
      <c r="L48" s="17">
        <f t="shared" si="6"/>
        <v>175000</v>
      </c>
      <c r="M48" s="116"/>
      <c r="O48" s="17">
        <f t="shared" si="7"/>
        <v>1400000</v>
      </c>
      <c r="R48" s="80" t="s">
        <v>1167</v>
      </c>
      <c r="S48" s="17">
        <v>85000</v>
      </c>
      <c r="AJ48" s="245">
        <v>4</v>
      </c>
      <c r="AK48" s="17"/>
      <c r="AL48" s="17"/>
      <c r="AM48" s="248"/>
      <c r="AP48" s="6"/>
      <c r="AQ48" s="235"/>
      <c r="AR48" s="80"/>
      <c r="AT48" s="6"/>
      <c r="AU48" s="17"/>
      <c r="AY48" s="6" t="s">
        <v>1152</v>
      </c>
      <c r="AZ48" s="235" t="s">
        <v>1135</v>
      </c>
      <c r="BA48" s="80" t="s">
        <v>1169</v>
      </c>
      <c r="BB48" s="6">
        <v>8</v>
      </c>
      <c r="BC48" s="17">
        <f t="shared" si="8"/>
        <v>175000</v>
      </c>
      <c r="BD48" s="116">
        <f t="shared" si="9"/>
        <v>0.02</v>
      </c>
      <c r="BE48" s="17">
        <f t="shared" si="10"/>
        <v>1396500</v>
      </c>
      <c r="BF48" s="17"/>
      <c r="BG48" s="235" t="s">
        <v>1135</v>
      </c>
      <c r="BH48" s="250">
        <f t="shared" si="11"/>
        <v>700</v>
      </c>
      <c r="BI48" s="250"/>
      <c r="BJ48" s="250"/>
    </row>
    <row r="49" spans="1:62" ht="21" customHeight="1" x14ac:dyDescent="0.35">
      <c r="A49">
        <v>46</v>
      </c>
      <c r="B49" s="136">
        <v>44964</v>
      </c>
      <c r="C49" s="4" t="s">
        <v>98</v>
      </c>
      <c r="D49" s="1" t="s">
        <v>163</v>
      </c>
      <c r="E49" t="s">
        <v>1092</v>
      </c>
      <c r="F49" s="6" t="s">
        <v>1103</v>
      </c>
      <c r="G49" s="6" t="s">
        <v>1156</v>
      </c>
      <c r="H49" s="235"/>
      <c r="I49" s="80" t="s">
        <v>1171</v>
      </c>
      <c r="K49" s="6">
        <v>9</v>
      </c>
      <c r="L49" s="17">
        <f t="shared" si="6"/>
        <v>65000</v>
      </c>
      <c r="M49" s="116"/>
      <c r="O49" s="17">
        <f t="shared" si="7"/>
        <v>585000</v>
      </c>
      <c r="R49" s="80" t="s">
        <v>1168</v>
      </c>
      <c r="S49" s="17">
        <v>70000</v>
      </c>
      <c r="AJ49" s="245">
        <v>5</v>
      </c>
      <c r="AK49" s="17"/>
      <c r="AL49" s="17"/>
      <c r="AM49" s="248"/>
      <c r="AP49" s="6"/>
      <c r="AQ49" s="235"/>
      <c r="AR49" s="80"/>
      <c r="AT49" s="6"/>
      <c r="AU49" s="17"/>
      <c r="AY49" s="6" t="s">
        <v>1156</v>
      </c>
      <c r="AZ49" s="235" t="s">
        <v>1135</v>
      </c>
      <c r="BA49" s="80" t="s">
        <v>1171</v>
      </c>
      <c r="BB49" s="6">
        <v>9</v>
      </c>
      <c r="BC49" s="17">
        <f t="shared" si="8"/>
        <v>65000</v>
      </c>
      <c r="BD49" s="116">
        <f t="shared" si="9"/>
        <v>0.03</v>
      </c>
      <c r="BE49" s="17">
        <f t="shared" si="10"/>
        <v>583050</v>
      </c>
      <c r="BF49" s="17"/>
      <c r="BG49" s="235" t="s">
        <v>1135</v>
      </c>
      <c r="BH49" s="250">
        <f t="shared" si="11"/>
        <v>700</v>
      </c>
      <c r="BI49" s="250"/>
      <c r="BJ49" s="250"/>
    </row>
    <row r="50" spans="1:62" ht="21" customHeight="1" x14ac:dyDescent="0.35">
      <c r="A50">
        <v>47</v>
      </c>
      <c r="B50" s="136">
        <v>44964</v>
      </c>
      <c r="C50" s="4" t="s">
        <v>99</v>
      </c>
      <c r="D50" s="1" t="s">
        <v>162</v>
      </c>
      <c r="E50" t="s">
        <v>1092</v>
      </c>
      <c r="F50" s="6" t="s">
        <v>1121</v>
      </c>
      <c r="G50" s="6" t="s">
        <v>1151</v>
      </c>
      <c r="H50" s="235"/>
      <c r="I50" s="80" t="s">
        <v>1171</v>
      </c>
      <c r="K50" s="6">
        <v>11</v>
      </c>
      <c r="L50" s="17">
        <f t="shared" si="6"/>
        <v>65000</v>
      </c>
      <c r="M50" s="116"/>
      <c r="O50" s="17">
        <f t="shared" si="7"/>
        <v>715000</v>
      </c>
      <c r="R50" s="80" t="s">
        <v>1169</v>
      </c>
      <c r="S50" s="17">
        <v>175000</v>
      </c>
      <c r="AJ50" s="245">
        <v>6</v>
      </c>
      <c r="AK50" s="17"/>
      <c r="AL50" s="17"/>
      <c r="AM50" s="248"/>
      <c r="AP50" s="6"/>
      <c r="AQ50" s="235"/>
      <c r="AR50" s="80"/>
      <c r="AT50" s="6"/>
      <c r="AU50" s="17"/>
      <c r="AY50" s="6" t="s">
        <v>1151</v>
      </c>
      <c r="AZ50" s="235" t="s">
        <v>1135</v>
      </c>
      <c r="BA50" s="80" t="s">
        <v>1171</v>
      </c>
      <c r="BB50" s="6">
        <v>11</v>
      </c>
      <c r="BC50" s="17">
        <f t="shared" si="8"/>
        <v>65000</v>
      </c>
      <c r="BD50" s="116">
        <f t="shared" si="9"/>
        <v>0.03</v>
      </c>
      <c r="BE50" s="17">
        <f t="shared" si="10"/>
        <v>713050</v>
      </c>
      <c r="BF50" s="17"/>
      <c r="BG50" s="235" t="s">
        <v>1135</v>
      </c>
      <c r="BH50" s="250">
        <f t="shared" si="11"/>
        <v>700</v>
      </c>
      <c r="BI50" s="250"/>
      <c r="BJ50" s="250"/>
    </row>
    <row r="51" spans="1:62" ht="21" customHeight="1" x14ac:dyDescent="0.35">
      <c r="A51">
        <v>48</v>
      </c>
      <c r="B51" s="136">
        <v>44964</v>
      </c>
      <c r="C51" s="4" t="s">
        <v>100</v>
      </c>
      <c r="D51" s="1" t="s">
        <v>163</v>
      </c>
      <c r="E51" t="s">
        <v>1092</v>
      </c>
      <c r="F51" s="6" t="s">
        <v>1134</v>
      </c>
      <c r="G51" s="6" t="s">
        <v>1151</v>
      </c>
      <c r="H51" s="235"/>
      <c r="I51" s="80" t="s">
        <v>1166</v>
      </c>
      <c r="K51" s="6">
        <v>10</v>
      </c>
      <c r="L51" s="17">
        <f t="shared" si="6"/>
        <v>90000</v>
      </c>
      <c r="M51" s="116"/>
      <c r="O51" s="17">
        <f t="shared" si="7"/>
        <v>900000</v>
      </c>
      <c r="R51" s="80" t="s">
        <v>1170</v>
      </c>
      <c r="S51" s="17">
        <v>55000</v>
      </c>
      <c r="AJ51" s="245">
        <v>7</v>
      </c>
      <c r="AK51" s="17"/>
      <c r="AL51" s="17"/>
      <c r="AM51" s="248"/>
      <c r="AP51" s="6"/>
      <c r="AQ51" s="235"/>
      <c r="AR51" s="80"/>
      <c r="AT51" s="6"/>
      <c r="AU51" s="17"/>
      <c r="AY51" s="6" t="s">
        <v>1151</v>
      </c>
      <c r="AZ51" s="235" t="s">
        <v>1135</v>
      </c>
      <c r="BA51" s="80" t="s">
        <v>1166</v>
      </c>
      <c r="BB51" s="6">
        <v>10</v>
      </c>
      <c r="BC51" s="17">
        <f t="shared" si="8"/>
        <v>90000</v>
      </c>
      <c r="BD51" s="116">
        <f t="shared" si="9"/>
        <v>0.03</v>
      </c>
      <c r="BE51" s="17">
        <f t="shared" si="10"/>
        <v>897300</v>
      </c>
      <c r="BF51" s="17"/>
      <c r="BG51" s="235" t="s">
        <v>1135</v>
      </c>
      <c r="BH51" s="250">
        <f t="shared" si="11"/>
        <v>700</v>
      </c>
      <c r="BI51" s="250"/>
      <c r="BJ51" s="250"/>
    </row>
    <row r="52" spans="1:62" ht="21" customHeight="1" x14ac:dyDescent="0.35">
      <c r="A52">
        <v>49</v>
      </c>
      <c r="B52" s="136">
        <v>44964</v>
      </c>
      <c r="C52" s="4" t="s">
        <v>101</v>
      </c>
      <c r="D52" s="1" t="s">
        <v>163</v>
      </c>
      <c r="E52" t="s">
        <v>1092</v>
      </c>
      <c r="F52" s="6" t="s">
        <v>1121</v>
      </c>
      <c r="G52" s="6" t="s">
        <v>1151</v>
      </c>
      <c r="H52" s="235"/>
      <c r="I52" s="80" t="s">
        <v>1165</v>
      </c>
      <c r="K52" s="6">
        <v>9</v>
      </c>
      <c r="L52" s="17">
        <f t="shared" si="6"/>
        <v>95000</v>
      </c>
      <c r="M52" s="116"/>
      <c r="O52" s="17">
        <f t="shared" si="7"/>
        <v>855000</v>
      </c>
      <c r="R52" s="80" t="s">
        <v>1171</v>
      </c>
      <c r="S52" s="17">
        <v>65000</v>
      </c>
      <c r="AJ52" s="245">
        <v>8</v>
      </c>
      <c r="AK52" s="17"/>
      <c r="AL52" s="17"/>
      <c r="AM52" s="248"/>
      <c r="AP52" s="6"/>
      <c r="AQ52" s="235"/>
      <c r="AR52" s="80"/>
      <c r="AT52" s="6"/>
      <c r="AU52" s="17"/>
      <c r="AY52" s="6" t="s">
        <v>1151</v>
      </c>
      <c r="AZ52" s="235" t="s">
        <v>1135</v>
      </c>
      <c r="BA52" s="80" t="s">
        <v>1165</v>
      </c>
      <c r="BB52" s="6">
        <v>9</v>
      </c>
      <c r="BC52" s="17">
        <f t="shared" si="8"/>
        <v>95000</v>
      </c>
      <c r="BD52" s="116">
        <f t="shared" si="9"/>
        <v>0.03</v>
      </c>
      <c r="BE52" s="17">
        <f t="shared" si="10"/>
        <v>852150</v>
      </c>
      <c r="BF52" s="17"/>
      <c r="BG52" s="235" t="s">
        <v>1135</v>
      </c>
      <c r="BH52" s="250">
        <f t="shared" si="11"/>
        <v>700</v>
      </c>
      <c r="BI52" s="250"/>
      <c r="BJ52" s="250"/>
    </row>
    <row r="53" spans="1:62" ht="21" customHeight="1" x14ac:dyDescent="0.35">
      <c r="A53">
        <v>50</v>
      </c>
      <c r="B53" s="136">
        <v>44965</v>
      </c>
      <c r="C53" s="4" t="s">
        <v>102</v>
      </c>
      <c r="D53" s="1" t="s">
        <v>162</v>
      </c>
      <c r="E53" t="s">
        <v>1092</v>
      </c>
      <c r="F53" s="6" t="s">
        <v>1117</v>
      </c>
      <c r="G53" s="6" t="s">
        <v>1139</v>
      </c>
      <c r="H53" s="235"/>
      <c r="I53" s="80" t="s">
        <v>1165</v>
      </c>
      <c r="K53" s="6">
        <v>5</v>
      </c>
      <c r="L53" s="17">
        <f t="shared" si="6"/>
        <v>95000</v>
      </c>
      <c r="M53" s="116"/>
      <c r="O53" s="17">
        <f t="shared" si="7"/>
        <v>475000</v>
      </c>
      <c r="R53" s="80" t="s">
        <v>1172</v>
      </c>
      <c r="S53" s="17">
        <v>170000</v>
      </c>
      <c r="AJ53" s="245">
        <v>9</v>
      </c>
      <c r="AK53" s="17"/>
      <c r="AL53" s="17"/>
      <c r="AM53" s="248"/>
      <c r="AP53" s="6"/>
      <c r="AQ53" s="235"/>
      <c r="AR53" s="80"/>
      <c r="AT53" s="6"/>
      <c r="AU53" s="17"/>
      <c r="AY53" s="6" t="s">
        <v>1139</v>
      </c>
      <c r="AZ53" s="235" t="s">
        <v>1135</v>
      </c>
      <c r="BA53" s="80" t="s">
        <v>1165</v>
      </c>
      <c r="BB53" s="6">
        <v>5</v>
      </c>
      <c r="BC53" s="17">
        <f t="shared" si="8"/>
        <v>95000</v>
      </c>
      <c r="BD53" s="116">
        <f t="shared" si="9"/>
        <v>0.02</v>
      </c>
      <c r="BE53" s="17">
        <f t="shared" si="10"/>
        <v>473100</v>
      </c>
      <c r="BF53" s="17"/>
      <c r="BG53" s="235" t="s">
        <v>1135</v>
      </c>
      <c r="BH53" s="250">
        <f t="shared" si="11"/>
        <v>700</v>
      </c>
      <c r="BI53" s="250"/>
      <c r="BJ53" s="250"/>
    </row>
    <row r="54" spans="1:62" ht="21" customHeight="1" x14ac:dyDescent="0.35">
      <c r="A54">
        <v>51</v>
      </c>
      <c r="B54" s="136">
        <v>44965</v>
      </c>
      <c r="C54" s="4" t="s">
        <v>103</v>
      </c>
      <c r="D54" s="1" t="s">
        <v>163</v>
      </c>
      <c r="E54" t="s">
        <v>1092</v>
      </c>
      <c r="F54" s="6" t="s">
        <v>1118</v>
      </c>
      <c r="G54" s="6" t="s">
        <v>1139</v>
      </c>
      <c r="H54" s="235"/>
      <c r="I54" s="80" t="s">
        <v>1165</v>
      </c>
      <c r="K54" s="6">
        <v>5</v>
      </c>
      <c r="L54" s="17">
        <f t="shared" si="6"/>
        <v>95000</v>
      </c>
      <c r="M54" s="116"/>
      <c r="O54" s="17">
        <f t="shared" si="7"/>
        <v>475000</v>
      </c>
      <c r="R54" s="80" t="s">
        <v>1173</v>
      </c>
      <c r="S54" s="17">
        <v>185000</v>
      </c>
      <c r="AJ54" s="245">
        <v>10</v>
      </c>
      <c r="AK54" s="17"/>
      <c r="AL54" s="17"/>
      <c r="AM54" s="248"/>
      <c r="AP54" s="6"/>
      <c r="AQ54" s="235"/>
      <c r="AR54" s="80"/>
      <c r="AT54" s="6"/>
      <c r="AU54" s="17"/>
      <c r="AY54" s="6" t="s">
        <v>1139</v>
      </c>
      <c r="AZ54" s="235" t="s">
        <v>1135</v>
      </c>
      <c r="BA54" s="80" t="s">
        <v>1165</v>
      </c>
      <c r="BB54" s="6">
        <v>5</v>
      </c>
      <c r="BC54" s="17">
        <f t="shared" si="8"/>
        <v>95000</v>
      </c>
      <c r="BD54" s="116">
        <f t="shared" si="9"/>
        <v>0.02</v>
      </c>
      <c r="BE54" s="17">
        <f t="shared" si="10"/>
        <v>473100</v>
      </c>
      <c r="BF54" s="17"/>
      <c r="BG54" s="235" t="s">
        <v>1135</v>
      </c>
      <c r="BH54" s="250">
        <f t="shared" si="11"/>
        <v>700</v>
      </c>
      <c r="BI54" s="250"/>
      <c r="BJ54" s="250"/>
    </row>
    <row r="55" spans="1:62" ht="21" customHeight="1" x14ac:dyDescent="0.35">
      <c r="A55">
        <v>52</v>
      </c>
      <c r="B55" s="136">
        <v>44965</v>
      </c>
      <c r="C55" s="4" t="s">
        <v>104</v>
      </c>
      <c r="D55" s="1" t="s">
        <v>162</v>
      </c>
      <c r="E55" t="s">
        <v>1092</v>
      </c>
      <c r="F55" s="6" t="s">
        <v>1119</v>
      </c>
      <c r="G55" s="6" t="s">
        <v>1157</v>
      </c>
      <c r="H55" s="235"/>
      <c r="I55" s="235" t="s">
        <v>1175</v>
      </c>
      <c r="K55" s="6">
        <v>3</v>
      </c>
      <c r="L55" s="17">
        <f t="shared" si="6"/>
        <v>115000</v>
      </c>
      <c r="M55" s="116"/>
      <c r="O55" s="17">
        <f t="shared" si="7"/>
        <v>345000</v>
      </c>
      <c r="R55" s="235" t="s">
        <v>1174</v>
      </c>
      <c r="S55" s="17">
        <v>85500</v>
      </c>
      <c r="AJ55" s="245">
        <v>11</v>
      </c>
      <c r="AK55" s="17"/>
      <c r="AL55" s="17"/>
      <c r="AM55" s="248"/>
      <c r="AP55" s="6"/>
      <c r="AQ55" s="235"/>
      <c r="AR55" s="80"/>
      <c r="AT55" s="6"/>
      <c r="AU55" s="17"/>
      <c r="AY55" s="6" t="s">
        <v>1157</v>
      </c>
      <c r="AZ55" s="235" t="s">
        <v>1136</v>
      </c>
      <c r="BA55" s="235" t="s">
        <v>1175</v>
      </c>
      <c r="BB55" s="6">
        <v>3</v>
      </c>
      <c r="BC55" s="17">
        <f t="shared" si="8"/>
        <v>115000</v>
      </c>
      <c r="BD55" s="116">
        <f t="shared" si="9"/>
        <v>0.02</v>
      </c>
      <c r="BE55" s="17">
        <f t="shared" si="10"/>
        <v>342700</v>
      </c>
      <c r="BF55" s="17"/>
      <c r="BG55" s="235" t="s">
        <v>1136</v>
      </c>
      <c r="BH55" s="250">
        <f t="shared" si="11"/>
        <v>900</v>
      </c>
      <c r="BI55" s="250"/>
      <c r="BJ55" s="250"/>
    </row>
    <row r="56" spans="1:62" ht="21" customHeight="1" x14ac:dyDescent="0.35">
      <c r="A56">
        <v>53</v>
      </c>
      <c r="B56" s="136">
        <v>44965</v>
      </c>
      <c r="C56" s="4" t="s">
        <v>105</v>
      </c>
      <c r="D56" s="1" t="s">
        <v>162</v>
      </c>
      <c r="E56" t="s">
        <v>1092</v>
      </c>
      <c r="F56" s="6" t="s">
        <v>1120</v>
      </c>
      <c r="G56" s="6" t="s">
        <v>1157</v>
      </c>
      <c r="H56" s="235"/>
      <c r="I56" s="235" t="s">
        <v>1175</v>
      </c>
      <c r="K56" s="6">
        <v>2</v>
      </c>
      <c r="L56" s="17">
        <f t="shared" si="6"/>
        <v>115000</v>
      </c>
      <c r="M56" s="116"/>
      <c r="O56" s="17">
        <f t="shared" si="7"/>
        <v>230000</v>
      </c>
      <c r="R56" s="235" t="s">
        <v>1175</v>
      </c>
      <c r="S56" s="17">
        <v>115000</v>
      </c>
      <c r="AJ56" s="245">
        <v>12</v>
      </c>
      <c r="AK56" s="17"/>
      <c r="AL56" s="17"/>
      <c r="AM56" s="248"/>
      <c r="AP56" s="6"/>
      <c r="AQ56" s="235"/>
      <c r="AR56" s="80"/>
      <c r="AT56" s="6"/>
      <c r="AU56" s="17"/>
      <c r="AY56" s="6" t="s">
        <v>1157</v>
      </c>
      <c r="AZ56" s="235" t="s">
        <v>1136</v>
      </c>
      <c r="BA56" s="235" t="s">
        <v>1175</v>
      </c>
      <c r="BB56" s="6">
        <v>2</v>
      </c>
      <c r="BC56" s="17">
        <f t="shared" si="8"/>
        <v>115000</v>
      </c>
      <c r="BD56" s="116">
        <f t="shared" si="9"/>
        <v>0.02</v>
      </c>
      <c r="BE56" s="17">
        <f t="shared" si="10"/>
        <v>227700</v>
      </c>
      <c r="BF56" s="17"/>
      <c r="BG56" s="235" t="s">
        <v>1136</v>
      </c>
      <c r="BH56" s="250">
        <f t="shared" si="11"/>
        <v>900</v>
      </c>
      <c r="BI56" s="250"/>
      <c r="BJ56" s="250"/>
    </row>
    <row r="57" spans="1:62" ht="21" customHeight="1" x14ac:dyDescent="0.35">
      <c r="A57">
        <v>54</v>
      </c>
      <c r="B57" s="136">
        <v>44965</v>
      </c>
      <c r="C57" s="4" t="s">
        <v>148</v>
      </c>
      <c r="D57" s="1" t="s">
        <v>163</v>
      </c>
      <c r="E57" t="s">
        <v>1092</v>
      </c>
      <c r="F57" s="6" t="s">
        <v>1121</v>
      </c>
      <c r="G57" s="6" t="s">
        <v>1141</v>
      </c>
      <c r="H57" s="235"/>
      <c r="I57" s="235" t="s">
        <v>1188</v>
      </c>
      <c r="K57" s="6">
        <v>2</v>
      </c>
      <c r="L57" s="17">
        <f t="shared" si="6"/>
        <v>45555</v>
      </c>
      <c r="M57" s="116"/>
      <c r="O57" s="17">
        <f t="shared" si="7"/>
        <v>91110</v>
      </c>
      <c r="R57" s="235" t="s">
        <v>1176</v>
      </c>
      <c r="S57" s="17">
        <v>45500</v>
      </c>
      <c r="AJ57" s="245">
        <v>13</v>
      </c>
      <c r="AK57" s="17"/>
      <c r="AL57" s="17"/>
      <c r="AM57" s="248"/>
      <c r="AP57" s="6"/>
      <c r="AQ57" s="235"/>
      <c r="AR57" s="80"/>
      <c r="AT57" s="6"/>
      <c r="AU57" s="17"/>
      <c r="AY57" s="6" t="s">
        <v>1141</v>
      </c>
      <c r="AZ57" s="235" t="s">
        <v>1137</v>
      </c>
      <c r="BA57" s="235" t="s">
        <v>1188</v>
      </c>
      <c r="BB57" s="6">
        <v>2</v>
      </c>
      <c r="BC57" s="17">
        <f t="shared" si="8"/>
        <v>45555</v>
      </c>
      <c r="BD57" s="116">
        <f t="shared" si="9"/>
        <v>0.02</v>
      </c>
      <c r="BE57" s="17">
        <f t="shared" si="10"/>
        <v>90198.9</v>
      </c>
      <c r="BF57" s="17"/>
      <c r="BG57" s="235" t="s">
        <v>1137</v>
      </c>
      <c r="BH57" s="250">
        <f t="shared" si="11"/>
        <v>755</v>
      </c>
      <c r="BI57" s="250"/>
      <c r="BJ57" s="250"/>
    </row>
    <row r="58" spans="1:62" ht="21" customHeight="1" x14ac:dyDescent="0.35">
      <c r="A58">
        <v>55</v>
      </c>
      <c r="B58" s="136">
        <v>44965</v>
      </c>
      <c r="C58" s="4" t="s">
        <v>149</v>
      </c>
      <c r="D58" s="1" t="s">
        <v>162</v>
      </c>
      <c r="E58" t="s">
        <v>1092</v>
      </c>
      <c r="F58" s="6" t="s">
        <v>1122</v>
      </c>
      <c r="G58" s="6" t="s">
        <v>1144</v>
      </c>
      <c r="H58" s="235"/>
      <c r="I58" s="235" t="s">
        <v>1188</v>
      </c>
      <c r="K58" s="6">
        <v>2</v>
      </c>
      <c r="L58" s="17">
        <f t="shared" si="6"/>
        <v>45555</v>
      </c>
      <c r="M58" s="116"/>
      <c r="O58" s="17">
        <f t="shared" si="7"/>
        <v>91110</v>
      </c>
      <c r="R58" s="235" t="s">
        <v>1177</v>
      </c>
      <c r="S58" s="17">
        <v>195000</v>
      </c>
      <c r="AJ58" s="245">
        <v>14</v>
      </c>
      <c r="AK58" s="17"/>
      <c r="AL58" s="17"/>
      <c r="AM58" s="248"/>
      <c r="AP58" s="6"/>
      <c r="AQ58" s="235"/>
      <c r="AR58" s="80"/>
      <c r="AT58" s="6"/>
      <c r="AU58" s="17"/>
      <c r="AY58" s="6" t="s">
        <v>1144</v>
      </c>
      <c r="AZ58" s="235" t="s">
        <v>1137</v>
      </c>
      <c r="BA58" s="235" t="s">
        <v>1188</v>
      </c>
      <c r="BB58" s="6">
        <v>2</v>
      </c>
      <c r="BC58" s="17">
        <f t="shared" si="8"/>
        <v>45555</v>
      </c>
      <c r="BD58" s="116">
        <f t="shared" si="9"/>
        <v>0.02</v>
      </c>
      <c r="BE58" s="17">
        <f t="shared" si="10"/>
        <v>90198.9</v>
      </c>
      <c r="BF58" s="17"/>
      <c r="BG58" s="235" t="s">
        <v>1137</v>
      </c>
      <c r="BH58" s="250">
        <f t="shared" si="11"/>
        <v>755</v>
      </c>
      <c r="BI58" s="250"/>
      <c r="BJ58" s="250"/>
    </row>
    <row r="59" spans="1:62" ht="21" customHeight="1" x14ac:dyDescent="0.35">
      <c r="A59">
        <v>56</v>
      </c>
      <c r="B59" s="136">
        <v>44965</v>
      </c>
      <c r="C59" s="4" t="s">
        <v>150</v>
      </c>
      <c r="D59" s="1" t="s">
        <v>162</v>
      </c>
      <c r="E59" t="s">
        <v>1092</v>
      </c>
      <c r="F59" s="6" t="s">
        <v>1103</v>
      </c>
      <c r="G59" s="6" t="s">
        <v>1149</v>
      </c>
      <c r="H59" s="235"/>
      <c r="I59" s="235" t="s">
        <v>1178</v>
      </c>
      <c r="K59" s="6">
        <v>4</v>
      </c>
      <c r="L59" s="17">
        <f t="shared" si="6"/>
        <v>225000</v>
      </c>
      <c r="M59" s="116"/>
      <c r="O59" s="17">
        <f t="shared" si="7"/>
        <v>900000</v>
      </c>
      <c r="R59" s="235" t="s">
        <v>1178</v>
      </c>
      <c r="S59" s="17">
        <v>225000</v>
      </c>
      <c r="AJ59" s="245">
        <v>15</v>
      </c>
      <c r="AK59" s="17"/>
      <c r="AL59" s="17"/>
      <c r="AM59" s="248"/>
      <c r="AP59" s="6"/>
      <c r="AQ59" s="235"/>
      <c r="AR59" s="80"/>
      <c r="AT59" s="6"/>
      <c r="AU59" s="17"/>
      <c r="AY59" s="6" t="s">
        <v>1149</v>
      </c>
      <c r="AZ59" s="235" t="s">
        <v>1136</v>
      </c>
      <c r="BA59" s="235" t="s">
        <v>1178</v>
      </c>
      <c r="BB59" s="6">
        <v>4</v>
      </c>
      <c r="BC59" s="17">
        <f t="shared" si="8"/>
        <v>225000</v>
      </c>
      <c r="BD59" s="116">
        <f t="shared" si="9"/>
        <v>0.02</v>
      </c>
      <c r="BE59" s="17">
        <f t="shared" si="10"/>
        <v>895500</v>
      </c>
      <c r="BF59" s="17"/>
      <c r="BG59" s="235" t="s">
        <v>1136</v>
      </c>
      <c r="BH59" s="250">
        <f t="shared" si="11"/>
        <v>900</v>
      </c>
      <c r="BI59" s="250"/>
      <c r="BJ59" s="250"/>
    </row>
    <row r="60" spans="1:62" ht="21" customHeight="1" x14ac:dyDescent="0.35">
      <c r="A60">
        <v>57</v>
      </c>
      <c r="B60" s="136">
        <v>44965</v>
      </c>
      <c r="C60" s="4" t="s">
        <v>151</v>
      </c>
      <c r="D60" s="1" t="s">
        <v>162</v>
      </c>
      <c r="E60" t="s">
        <v>1092</v>
      </c>
      <c r="F60" s="6" t="s">
        <v>1124</v>
      </c>
      <c r="G60" s="6" t="s">
        <v>1150</v>
      </c>
      <c r="H60" s="235"/>
      <c r="I60" s="235" t="s">
        <v>1177</v>
      </c>
      <c r="K60" s="6">
        <v>5</v>
      </c>
      <c r="L60" s="17">
        <f t="shared" si="6"/>
        <v>195000</v>
      </c>
      <c r="M60" s="116"/>
      <c r="O60" s="17">
        <f t="shared" si="7"/>
        <v>975000</v>
      </c>
      <c r="R60" s="80" t="s">
        <v>1179</v>
      </c>
      <c r="S60" s="17">
        <v>85000</v>
      </c>
      <c r="AJ60" s="245">
        <v>16</v>
      </c>
      <c r="AK60" s="17"/>
      <c r="AL60" s="17"/>
      <c r="AM60" s="248"/>
      <c r="AP60" s="6"/>
      <c r="AQ60" s="235"/>
      <c r="AR60" s="80"/>
      <c r="AT60" s="6"/>
      <c r="AU60" s="17"/>
      <c r="AY60" s="6" t="s">
        <v>1150</v>
      </c>
      <c r="AZ60" s="235" t="s">
        <v>1136</v>
      </c>
      <c r="BA60" s="235" t="s">
        <v>1177</v>
      </c>
      <c r="BB60" s="6">
        <v>5</v>
      </c>
      <c r="BC60" s="17">
        <f t="shared" si="8"/>
        <v>195000</v>
      </c>
      <c r="BD60" s="116">
        <f t="shared" si="9"/>
        <v>0.02</v>
      </c>
      <c r="BE60" s="17">
        <f t="shared" si="10"/>
        <v>971100</v>
      </c>
      <c r="BF60" s="17"/>
      <c r="BG60" s="235" t="s">
        <v>1136</v>
      </c>
      <c r="BH60" s="250">
        <f t="shared" si="11"/>
        <v>900</v>
      </c>
      <c r="BI60" s="250"/>
      <c r="BJ60" s="250"/>
    </row>
    <row r="61" spans="1:62" ht="21" customHeight="1" x14ac:dyDescent="0.35">
      <c r="A61">
        <v>58</v>
      </c>
      <c r="B61" s="136">
        <v>44965</v>
      </c>
      <c r="C61" s="4" t="s">
        <v>152</v>
      </c>
      <c r="D61" s="1" t="s">
        <v>163</v>
      </c>
      <c r="E61" t="s">
        <v>1092</v>
      </c>
      <c r="F61" s="6" t="s">
        <v>1125</v>
      </c>
      <c r="G61" s="6" t="s">
        <v>1150</v>
      </c>
      <c r="H61" s="235"/>
      <c r="I61" s="235" t="s">
        <v>1177</v>
      </c>
      <c r="K61" s="6">
        <v>5</v>
      </c>
      <c r="L61" s="17">
        <f t="shared" si="6"/>
        <v>195000</v>
      </c>
      <c r="M61" s="116"/>
      <c r="O61" s="17">
        <f t="shared" si="7"/>
        <v>975000</v>
      </c>
      <c r="R61" s="80" t="s">
        <v>1180</v>
      </c>
      <c r="S61" s="17">
        <v>75000</v>
      </c>
      <c r="AJ61" s="245">
        <v>17</v>
      </c>
      <c r="AK61" s="17"/>
      <c r="AL61" s="17"/>
      <c r="AM61" s="248"/>
      <c r="AP61" s="6"/>
      <c r="AQ61" s="235"/>
      <c r="AR61" s="80"/>
      <c r="AT61" s="6"/>
      <c r="AU61" s="17"/>
      <c r="AY61" s="6" t="s">
        <v>1150</v>
      </c>
      <c r="AZ61" s="235" t="s">
        <v>1136</v>
      </c>
      <c r="BA61" s="235" t="s">
        <v>1177</v>
      </c>
      <c r="BB61" s="6">
        <v>5</v>
      </c>
      <c r="BC61" s="17">
        <f t="shared" si="8"/>
        <v>195000</v>
      </c>
      <c r="BD61" s="116">
        <f t="shared" si="9"/>
        <v>0.02</v>
      </c>
      <c r="BE61" s="17">
        <f t="shared" si="10"/>
        <v>971100</v>
      </c>
      <c r="BF61" s="17"/>
      <c r="BG61" s="235" t="s">
        <v>1136</v>
      </c>
      <c r="BH61" s="250">
        <f t="shared" si="11"/>
        <v>900</v>
      </c>
      <c r="BI61" s="250"/>
      <c r="BJ61" s="250"/>
    </row>
    <row r="62" spans="1:62" ht="21" customHeight="1" x14ac:dyDescent="0.35">
      <c r="A62">
        <v>59</v>
      </c>
      <c r="B62" s="136">
        <v>44965</v>
      </c>
      <c r="C62" s="4" t="s">
        <v>153</v>
      </c>
      <c r="D62" s="1" t="s">
        <v>162</v>
      </c>
      <c r="E62" t="s">
        <v>1092</v>
      </c>
      <c r="F62" s="6" t="s">
        <v>1126</v>
      </c>
      <c r="G62" s="6" t="s">
        <v>1140</v>
      </c>
      <c r="H62" s="235"/>
      <c r="I62" s="235" t="s">
        <v>1177</v>
      </c>
      <c r="K62" s="6">
        <v>7</v>
      </c>
      <c r="L62" s="17">
        <f t="shared" si="6"/>
        <v>195000</v>
      </c>
      <c r="M62" s="116"/>
      <c r="O62" s="17">
        <f t="shared" si="7"/>
        <v>1365000</v>
      </c>
      <c r="R62" s="80" t="s">
        <v>1181</v>
      </c>
      <c r="S62" s="17">
        <v>55500</v>
      </c>
      <c r="AJ62" s="245">
        <v>18</v>
      </c>
      <c r="AK62" s="17"/>
      <c r="AL62" s="17"/>
      <c r="AM62" s="248"/>
      <c r="AP62" s="6"/>
      <c r="AQ62" s="235"/>
      <c r="AR62" s="80"/>
      <c r="AT62" s="6"/>
      <c r="AU62" s="17"/>
      <c r="AY62" s="6" t="s">
        <v>1140</v>
      </c>
      <c r="AZ62" s="235" t="s">
        <v>1136</v>
      </c>
      <c r="BA62" s="235" t="s">
        <v>1177</v>
      </c>
      <c r="BB62" s="6">
        <v>7</v>
      </c>
      <c r="BC62" s="17">
        <f t="shared" si="8"/>
        <v>195000</v>
      </c>
      <c r="BD62" s="116">
        <f t="shared" si="9"/>
        <v>0.02</v>
      </c>
      <c r="BE62" s="17">
        <f t="shared" si="10"/>
        <v>1361100</v>
      </c>
      <c r="BF62" s="17"/>
      <c r="BG62" s="235" t="s">
        <v>1136</v>
      </c>
      <c r="BH62" s="250">
        <f t="shared" si="11"/>
        <v>900</v>
      </c>
      <c r="BI62" s="250"/>
      <c r="BJ62" s="250"/>
    </row>
    <row r="63" spans="1:62" ht="21" customHeight="1" x14ac:dyDescent="0.35">
      <c r="A63">
        <v>60</v>
      </c>
      <c r="B63" s="136">
        <v>44965</v>
      </c>
      <c r="C63" s="4" t="s">
        <v>154</v>
      </c>
      <c r="D63" s="1" t="s">
        <v>162</v>
      </c>
      <c r="E63" t="s">
        <v>1092</v>
      </c>
      <c r="F63" s="6" t="s">
        <v>1127</v>
      </c>
      <c r="G63" s="6" t="s">
        <v>1149</v>
      </c>
      <c r="H63" s="235"/>
      <c r="I63" s="235" t="s">
        <v>1178</v>
      </c>
      <c r="K63" s="6">
        <v>7</v>
      </c>
      <c r="L63" s="17">
        <f t="shared" si="6"/>
        <v>225000</v>
      </c>
      <c r="M63" s="116"/>
      <c r="O63" s="17">
        <f t="shared" si="7"/>
        <v>1575000</v>
      </c>
      <c r="R63" s="80" t="s">
        <v>1182</v>
      </c>
      <c r="S63" s="17">
        <v>110500</v>
      </c>
      <c r="AJ63" s="245">
        <v>19</v>
      </c>
      <c r="AK63" s="17"/>
      <c r="AL63" s="17"/>
      <c r="AM63" s="248"/>
      <c r="AP63" s="6"/>
      <c r="AQ63" s="235"/>
      <c r="AR63" s="80"/>
      <c r="AT63" s="6"/>
      <c r="AU63" s="17"/>
      <c r="AY63" s="6" t="s">
        <v>1149</v>
      </c>
      <c r="AZ63" s="235" t="s">
        <v>1136</v>
      </c>
      <c r="BA63" s="235" t="s">
        <v>1178</v>
      </c>
      <c r="BB63" s="6">
        <v>7</v>
      </c>
      <c r="BC63" s="17">
        <f t="shared" si="8"/>
        <v>225000</v>
      </c>
      <c r="BD63" s="116">
        <f t="shared" si="9"/>
        <v>0.02</v>
      </c>
      <c r="BE63" s="17">
        <f t="shared" si="10"/>
        <v>1570500</v>
      </c>
      <c r="BF63" s="17"/>
      <c r="BG63" s="235" t="s">
        <v>1136</v>
      </c>
      <c r="BH63" s="250">
        <f t="shared" si="11"/>
        <v>900</v>
      </c>
      <c r="BI63" s="250"/>
      <c r="BJ63" s="250"/>
    </row>
    <row r="64" spans="1:62" ht="21" customHeight="1" x14ac:dyDescent="0.35">
      <c r="A64">
        <v>61</v>
      </c>
      <c r="B64" s="136">
        <v>44965</v>
      </c>
      <c r="C64" s="4" t="s">
        <v>155</v>
      </c>
      <c r="D64" s="1" t="s">
        <v>163</v>
      </c>
      <c r="E64" t="s">
        <v>1092</v>
      </c>
      <c r="F64" s="6" t="s">
        <v>1103</v>
      </c>
      <c r="G64" s="6" t="s">
        <v>1139</v>
      </c>
      <c r="H64" s="235"/>
      <c r="I64" s="80" t="s">
        <v>1164</v>
      </c>
      <c r="K64" s="6">
        <v>7</v>
      </c>
      <c r="L64" s="17">
        <f t="shared" si="6"/>
        <v>125000</v>
      </c>
      <c r="M64" s="116"/>
      <c r="O64" s="17">
        <f t="shared" si="7"/>
        <v>875000</v>
      </c>
      <c r="R64" s="80" t="s">
        <v>1183</v>
      </c>
      <c r="S64" s="17">
        <v>135500</v>
      </c>
      <c r="AJ64" s="245">
        <v>20</v>
      </c>
      <c r="AK64" s="17"/>
      <c r="AL64" s="17"/>
      <c r="AM64" s="248"/>
      <c r="AP64" s="6"/>
      <c r="AQ64" s="235"/>
      <c r="AR64" s="80"/>
      <c r="AT64" s="6"/>
      <c r="AU64" s="17"/>
      <c r="AY64" s="6" t="s">
        <v>1139</v>
      </c>
      <c r="AZ64" s="235" t="s">
        <v>1135</v>
      </c>
      <c r="BA64" s="80" t="s">
        <v>1164</v>
      </c>
      <c r="BB64" s="6">
        <v>7</v>
      </c>
      <c r="BC64" s="17">
        <f t="shared" si="8"/>
        <v>125000</v>
      </c>
      <c r="BD64" s="116">
        <f t="shared" si="9"/>
        <v>0.02</v>
      </c>
      <c r="BE64" s="17">
        <f t="shared" si="10"/>
        <v>872500</v>
      </c>
      <c r="BF64" s="17"/>
      <c r="BG64" s="235" t="s">
        <v>1135</v>
      </c>
      <c r="BH64" s="250">
        <f t="shared" si="11"/>
        <v>700</v>
      </c>
      <c r="BI64" s="250"/>
      <c r="BJ64" s="250"/>
    </row>
    <row r="65" spans="1:62" ht="21" customHeight="1" x14ac:dyDescent="0.35">
      <c r="A65">
        <v>62</v>
      </c>
      <c r="B65" s="136">
        <v>44966</v>
      </c>
      <c r="C65" s="4" t="s">
        <v>156</v>
      </c>
      <c r="D65" s="1" t="s">
        <v>162</v>
      </c>
      <c r="E65" t="s">
        <v>1092</v>
      </c>
      <c r="F65" s="6" t="s">
        <v>1128</v>
      </c>
      <c r="G65" s="6" t="s">
        <v>1151</v>
      </c>
      <c r="H65" s="235"/>
      <c r="I65" s="80" t="s">
        <v>1173</v>
      </c>
      <c r="K65" s="6">
        <v>8</v>
      </c>
      <c r="L65" s="17">
        <f t="shared" si="6"/>
        <v>185000</v>
      </c>
      <c r="M65" s="116"/>
      <c r="O65" s="17">
        <f t="shared" si="7"/>
        <v>1480000</v>
      </c>
      <c r="R65" s="235" t="s">
        <v>1184</v>
      </c>
      <c r="S65" s="17">
        <v>25500</v>
      </c>
      <c r="AJ65" s="245"/>
      <c r="AL65" s="247"/>
      <c r="AP65" s="6"/>
      <c r="AQ65" s="235"/>
      <c r="AR65" s="80"/>
      <c r="AT65" s="6"/>
      <c r="AU65" s="17"/>
      <c r="AY65" s="6" t="s">
        <v>1151</v>
      </c>
      <c r="AZ65" s="235" t="s">
        <v>1135</v>
      </c>
      <c r="BA65" s="80" t="s">
        <v>1173</v>
      </c>
      <c r="BB65" s="6">
        <v>8</v>
      </c>
      <c r="BC65" s="17">
        <f t="shared" si="8"/>
        <v>185000</v>
      </c>
      <c r="BD65" s="116">
        <f t="shared" si="9"/>
        <v>0.02</v>
      </c>
      <c r="BE65" s="17">
        <f t="shared" si="10"/>
        <v>1476300</v>
      </c>
      <c r="BF65" s="17"/>
      <c r="BG65" s="235" t="s">
        <v>1135</v>
      </c>
      <c r="BH65" s="250">
        <f t="shared" si="11"/>
        <v>700</v>
      </c>
      <c r="BI65" s="250"/>
      <c r="BJ65" s="250"/>
    </row>
    <row r="66" spans="1:62" ht="21" customHeight="1" x14ac:dyDescent="0.35">
      <c r="A66">
        <v>63</v>
      </c>
      <c r="B66" s="136">
        <v>44966</v>
      </c>
      <c r="C66" s="4" t="s">
        <v>157</v>
      </c>
      <c r="D66" s="1" t="s">
        <v>162</v>
      </c>
      <c r="E66" t="s">
        <v>1092</v>
      </c>
      <c r="F66" s="6" t="s">
        <v>1130</v>
      </c>
      <c r="G66" s="6" t="s">
        <v>1152</v>
      </c>
      <c r="H66" s="235"/>
      <c r="I66" s="80" t="s">
        <v>1173</v>
      </c>
      <c r="K66" s="6">
        <v>8</v>
      </c>
      <c r="L66" s="17">
        <f t="shared" si="6"/>
        <v>185000</v>
      </c>
      <c r="M66" s="116"/>
      <c r="O66" s="17">
        <f t="shared" si="7"/>
        <v>1480000</v>
      </c>
      <c r="R66" s="235" t="s">
        <v>1185</v>
      </c>
      <c r="S66" s="17">
        <v>49999</v>
      </c>
      <c r="AJ66" s="245"/>
      <c r="AL66" s="247"/>
      <c r="AP66" s="6"/>
      <c r="AQ66" s="235"/>
      <c r="AR66" s="80"/>
      <c r="AT66" s="6"/>
      <c r="AU66" s="17"/>
      <c r="AY66" s="6" t="s">
        <v>1152</v>
      </c>
      <c r="AZ66" s="235" t="s">
        <v>1135</v>
      </c>
      <c r="BA66" s="80" t="s">
        <v>1173</v>
      </c>
      <c r="BB66" s="6">
        <v>8</v>
      </c>
      <c r="BC66" s="17">
        <f t="shared" si="8"/>
        <v>185000</v>
      </c>
      <c r="BD66" s="116">
        <f t="shared" si="9"/>
        <v>0.02</v>
      </c>
      <c r="BE66" s="17">
        <f t="shared" si="10"/>
        <v>1476300</v>
      </c>
      <c r="BF66" s="17"/>
      <c r="BG66" s="235" t="s">
        <v>1135</v>
      </c>
      <c r="BH66" s="250">
        <f t="shared" si="11"/>
        <v>700</v>
      </c>
      <c r="BI66" s="250"/>
      <c r="BJ66" s="250"/>
    </row>
    <row r="67" spans="1:62" ht="21" customHeight="1" x14ac:dyDescent="0.35">
      <c r="A67">
        <v>64</v>
      </c>
      <c r="B67" s="136">
        <v>44966</v>
      </c>
      <c r="C67" s="4" t="s">
        <v>158</v>
      </c>
      <c r="D67" s="1" t="s">
        <v>163</v>
      </c>
      <c r="E67" t="s">
        <v>1092</v>
      </c>
      <c r="F67" s="6" t="s">
        <v>1131</v>
      </c>
      <c r="G67" s="6" t="s">
        <v>1142</v>
      </c>
      <c r="H67" s="235"/>
      <c r="I67" s="80" t="s">
        <v>1180</v>
      </c>
      <c r="K67" s="6">
        <v>9</v>
      </c>
      <c r="L67" s="17">
        <f t="shared" si="6"/>
        <v>75000</v>
      </c>
      <c r="M67" s="116"/>
      <c r="O67" s="17">
        <f t="shared" si="7"/>
        <v>675000</v>
      </c>
      <c r="R67" s="235" t="s">
        <v>1186</v>
      </c>
      <c r="S67" s="17">
        <v>69999</v>
      </c>
      <c r="AJ67" s="245"/>
      <c r="AL67" s="247"/>
      <c r="AP67" s="6"/>
      <c r="AQ67" s="235"/>
      <c r="AR67" s="80"/>
      <c r="AT67" s="6"/>
      <c r="AU67" s="17"/>
      <c r="AY67" s="6" t="s">
        <v>1142</v>
      </c>
      <c r="AZ67" s="235" t="s">
        <v>1138</v>
      </c>
      <c r="BA67" s="80" t="s">
        <v>1180</v>
      </c>
      <c r="BB67" s="6">
        <v>9</v>
      </c>
      <c r="BC67" s="17">
        <f t="shared" si="8"/>
        <v>75000</v>
      </c>
      <c r="BD67" s="116">
        <f t="shared" si="9"/>
        <v>0.03</v>
      </c>
      <c r="BE67" s="17">
        <f t="shared" si="10"/>
        <v>672750</v>
      </c>
      <c r="BF67" s="17"/>
      <c r="BG67" s="235" t="s">
        <v>1138</v>
      </c>
      <c r="BH67" s="250">
        <f t="shared" si="11"/>
        <v>855</v>
      </c>
      <c r="BI67" s="250"/>
      <c r="BJ67" s="250"/>
    </row>
    <row r="68" spans="1:62" ht="21" customHeight="1" x14ac:dyDescent="0.35">
      <c r="A68">
        <v>65</v>
      </c>
      <c r="B68" s="136">
        <v>44966</v>
      </c>
      <c r="C68" s="4" t="s">
        <v>159</v>
      </c>
      <c r="D68" s="1" t="s">
        <v>162</v>
      </c>
      <c r="E68" t="s">
        <v>1092</v>
      </c>
      <c r="F68" s="6" t="s">
        <v>1132</v>
      </c>
      <c r="G68" s="6" t="s">
        <v>1149</v>
      </c>
      <c r="H68" s="235"/>
      <c r="I68" s="235" t="s">
        <v>1176</v>
      </c>
      <c r="K68" s="6">
        <v>12</v>
      </c>
      <c r="L68" s="17">
        <f t="shared" ref="L68:L99" si="12">INDEX($S$40:$S$69,MATCH(I68,$R$40:$R$69,0))</f>
        <v>45500</v>
      </c>
      <c r="M68" s="116"/>
      <c r="O68" s="17">
        <f t="shared" ref="O68:O99" si="13">(K68*L68)-(L68*M68)</f>
        <v>546000</v>
      </c>
      <c r="R68" s="235" t="s">
        <v>1187</v>
      </c>
      <c r="S68" s="17">
        <v>89999</v>
      </c>
      <c r="AJ68" s="245"/>
      <c r="AL68" s="247"/>
      <c r="AP68" s="6"/>
      <c r="AQ68" s="235"/>
      <c r="AR68" s="80"/>
      <c r="AT68" s="6"/>
      <c r="AU68" s="17"/>
      <c r="AY68" s="6" t="s">
        <v>1149</v>
      </c>
      <c r="AZ68" s="235" t="s">
        <v>1136</v>
      </c>
      <c r="BA68" s="235" t="s">
        <v>1176</v>
      </c>
      <c r="BB68" s="6">
        <v>12</v>
      </c>
      <c r="BC68" s="17">
        <f t="shared" ref="BC68:BC99" si="14">INDEX($S$40:$S$69,MATCH(BA68,$R$40:$R$69,0))</f>
        <v>45500</v>
      </c>
      <c r="BD68" s="116">
        <f t="shared" ref="BD68:BD99" si="15">IF(BB68&gt;8,3%,2%)</f>
        <v>0.03</v>
      </c>
      <c r="BE68" s="17">
        <f t="shared" ref="BE68:BE99" si="16">(BB68*BC68)-(BC68*BD68)</f>
        <v>544635</v>
      </c>
      <c r="BF68" s="17"/>
      <c r="BG68" s="235" t="s">
        <v>1136</v>
      </c>
      <c r="BH68" s="250">
        <f t="shared" ref="BH68:BH87" si="17">IF(AZ68="Food Product",700,IF(AZ68="Non Food Product",900,IF(AZ68="General Merchandise Product",855,755)))</f>
        <v>900</v>
      </c>
      <c r="BI68" s="250"/>
      <c r="BJ68" s="250"/>
    </row>
    <row r="69" spans="1:62" ht="21" customHeight="1" x14ac:dyDescent="0.35">
      <c r="A69">
        <v>66</v>
      </c>
      <c r="B69" s="136">
        <v>44966</v>
      </c>
      <c r="C69" s="4" t="s">
        <v>160</v>
      </c>
      <c r="D69" s="1" t="s">
        <v>163</v>
      </c>
      <c r="E69" t="s">
        <v>1095</v>
      </c>
      <c r="F69" s="6" t="s">
        <v>1133</v>
      </c>
      <c r="G69" s="6" t="s">
        <v>1150</v>
      </c>
      <c r="H69" s="235"/>
      <c r="I69" s="235" t="s">
        <v>1174</v>
      </c>
      <c r="K69" s="6">
        <v>11</v>
      </c>
      <c r="L69" s="17">
        <f t="shared" si="12"/>
        <v>85500</v>
      </c>
      <c r="M69" s="116"/>
      <c r="O69" s="17">
        <f t="shared" si="13"/>
        <v>940500</v>
      </c>
      <c r="R69" s="235" t="s">
        <v>1188</v>
      </c>
      <c r="S69" s="17">
        <v>45555</v>
      </c>
      <c r="AP69" s="6"/>
      <c r="AQ69" s="235"/>
      <c r="AR69" s="80"/>
      <c r="AT69" s="6"/>
      <c r="AU69" s="17"/>
      <c r="AY69" s="6" t="s">
        <v>1150</v>
      </c>
      <c r="AZ69" s="235" t="s">
        <v>1136</v>
      </c>
      <c r="BA69" s="235" t="s">
        <v>1174</v>
      </c>
      <c r="BB69" s="6">
        <v>11</v>
      </c>
      <c r="BC69" s="17">
        <f t="shared" si="14"/>
        <v>85500</v>
      </c>
      <c r="BD69" s="116">
        <f t="shared" si="15"/>
        <v>0.03</v>
      </c>
      <c r="BE69" s="17">
        <f t="shared" si="16"/>
        <v>937935</v>
      </c>
      <c r="BF69" s="17"/>
      <c r="BG69" s="235" t="s">
        <v>1136</v>
      </c>
      <c r="BH69" s="250">
        <f t="shared" si="17"/>
        <v>900</v>
      </c>
      <c r="BI69" s="250"/>
      <c r="BJ69" s="250"/>
    </row>
    <row r="70" spans="1:62" ht="21" customHeight="1" x14ac:dyDescent="0.35">
      <c r="A70">
        <v>67</v>
      </c>
      <c r="B70" s="136">
        <v>44966</v>
      </c>
      <c r="C70" s="4" t="s">
        <v>133</v>
      </c>
      <c r="D70" s="1" t="s">
        <v>162</v>
      </c>
      <c r="E70" t="s">
        <v>1095</v>
      </c>
      <c r="F70" s="6" t="s">
        <v>1113</v>
      </c>
      <c r="G70" s="6" t="s">
        <v>1150</v>
      </c>
      <c r="H70" s="235"/>
      <c r="I70" s="235" t="s">
        <v>1176</v>
      </c>
      <c r="K70" s="6">
        <v>11</v>
      </c>
      <c r="L70" s="17">
        <f t="shared" si="12"/>
        <v>45500</v>
      </c>
      <c r="M70" s="116"/>
      <c r="N70" s="133"/>
      <c r="O70" s="17">
        <f t="shared" si="13"/>
        <v>500500</v>
      </c>
      <c r="AP70" s="6"/>
      <c r="AQ70" s="235"/>
      <c r="AR70" s="80"/>
      <c r="AT70" s="6"/>
      <c r="AU70" s="17"/>
      <c r="AY70" s="6" t="s">
        <v>1150</v>
      </c>
      <c r="AZ70" s="235" t="s">
        <v>1136</v>
      </c>
      <c r="BA70" s="235" t="s">
        <v>1176</v>
      </c>
      <c r="BB70" s="6">
        <v>11</v>
      </c>
      <c r="BC70" s="17">
        <f t="shared" si="14"/>
        <v>45500</v>
      </c>
      <c r="BD70" s="116">
        <f t="shared" si="15"/>
        <v>0.03</v>
      </c>
      <c r="BE70" s="17">
        <f t="shared" si="16"/>
        <v>499135</v>
      </c>
      <c r="BF70" s="17"/>
      <c r="BG70" s="235" t="s">
        <v>1136</v>
      </c>
      <c r="BH70" s="250">
        <f t="shared" si="17"/>
        <v>900</v>
      </c>
      <c r="BI70" s="250"/>
      <c r="BJ70" s="250"/>
    </row>
    <row r="71" spans="1:62" ht="21" customHeight="1" x14ac:dyDescent="0.35">
      <c r="A71">
        <v>68</v>
      </c>
      <c r="B71" s="136">
        <v>44966</v>
      </c>
      <c r="C71" s="4" t="s">
        <v>134</v>
      </c>
      <c r="D71" s="1" t="s">
        <v>162</v>
      </c>
      <c r="E71" t="s">
        <v>1095</v>
      </c>
      <c r="F71" s="6" t="s">
        <v>1114</v>
      </c>
      <c r="G71" s="6" t="s">
        <v>1140</v>
      </c>
      <c r="H71" s="235"/>
      <c r="I71" s="235" t="s">
        <v>1176</v>
      </c>
      <c r="K71" s="6">
        <v>15</v>
      </c>
      <c r="L71" s="17">
        <f t="shared" si="12"/>
        <v>45500</v>
      </c>
      <c r="M71" s="116"/>
      <c r="O71" s="17">
        <f t="shared" si="13"/>
        <v>682500</v>
      </c>
      <c r="AP71" s="6"/>
      <c r="AQ71" s="235"/>
      <c r="AR71" s="80"/>
      <c r="AT71" s="6"/>
      <c r="AU71" s="17"/>
      <c r="AY71" s="6" t="s">
        <v>1140</v>
      </c>
      <c r="AZ71" s="235" t="s">
        <v>1136</v>
      </c>
      <c r="BA71" s="235" t="s">
        <v>1176</v>
      </c>
      <c r="BB71" s="6">
        <v>15</v>
      </c>
      <c r="BC71" s="17">
        <f t="shared" si="14"/>
        <v>45500</v>
      </c>
      <c r="BD71" s="116">
        <f t="shared" si="15"/>
        <v>0.03</v>
      </c>
      <c r="BE71" s="17">
        <f t="shared" si="16"/>
        <v>681135</v>
      </c>
      <c r="BF71" s="17"/>
      <c r="BG71" s="235" t="s">
        <v>1136</v>
      </c>
      <c r="BH71" s="250">
        <f t="shared" si="17"/>
        <v>900</v>
      </c>
      <c r="BI71" s="250"/>
      <c r="BJ71" s="250"/>
    </row>
    <row r="72" spans="1:62" ht="21" customHeight="1" x14ac:dyDescent="0.35">
      <c r="A72">
        <v>69</v>
      </c>
      <c r="B72" s="136">
        <v>44967</v>
      </c>
      <c r="C72" s="4" t="s">
        <v>135</v>
      </c>
      <c r="D72" s="1" t="s">
        <v>162</v>
      </c>
      <c r="E72" t="s">
        <v>1095</v>
      </c>
      <c r="F72" s="6" t="s">
        <v>1126</v>
      </c>
      <c r="G72" s="6" t="s">
        <v>1149</v>
      </c>
      <c r="H72" s="235"/>
      <c r="I72" s="235" t="s">
        <v>1174</v>
      </c>
      <c r="K72" s="6">
        <v>13</v>
      </c>
      <c r="L72" s="17">
        <f t="shared" si="12"/>
        <v>85500</v>
      </c>
      <c r="M72" s="116"/>
      <c r="O72" s="17">
        <f t="shared" si="13"/>
        <v>1111500</v>
      </c>
      <c r="AP72" s="6"/>
      <c r="AQ72" s="235"/>
      <c r="AR72" s="80"/>
      <c r="AT72" s="6"/>
      <c r="AU72" s="17"/>
      <c r="AY72" s="6" t="s">
        <v>1149</v>
      </c>
      <c r="AZ72" s="235" t="s">
        <v>1136</v>
      </c>
      <c r="BA72" s="235" t="s">
        <v>1174</v>
      </c>
      <c r="BB72" s="6">
        <v>13</v>
      </c>
      <c r="BC72" s="17">
        <f t="shared" si="14"/>
        <v>85500</v>
      </c>
      <c r="BD72" s="116">
        <f t="shared" si="15"/>
        <v>0.03</v>
      </c>
      <c r="BE72" s="17">
        <f t="shared" si="16"/>
        <v>1108935</v>
      </c>
      <c r="BF72" s="17"/>
      <c r="BG72" s="235" t="s">
        <v>1136</v>
      </c>
      <c r="BH72" s="250">
        <f t="shared" si="17"/>
        <v>900</v>
      </c>
      <c r="BI72" s="250"/>
      <c r="BJ72" s="250"/>
    </row>
    <row r="73" spans="1:62" ht="21" customHeight="1" x14ac:dyDescent="0.35">
      <c r="A73">
        <v>70</v>
      </c>
      <c r="B73" s="136">
        <v>44967</v>
      </c>
      <c r="C73" s="4" t="s">
        <v>136</v>
      </c>
      <c r="D73" s="1" t="s">
        <v>163</v>
      </c>
      <c r="E73" t="s">
        <v>1093</v>
      </c>
      <c r="F73" s="6" t="s">
        <v>1127</v>
      </c>
      <c r="G73" s="6" t="s">
        <v>1139</v>
      </c>
      <c r="H73" s="235"/>
      <c r="I73" s="80" t="s">
        <v>1170</v>
      </c>
      <c r="K73" s="6">
        <v>2</v>
      </c>
      <c r="L73" s="17">
        <f t="shared" si="12"/>
        <v>55000</v>
      </c>
      <c r="M73" s="116"/>
      <c r="O73" s="17">
        <f t="shared" si="13"/>
        <v>110000</v>
      </c>
      <c r="AP73" s="6"/>
      <c r="AQ73" s="235"/>
      <c r="AR73" s="80"/>
      <c r="AT73" s="6"/>
      <c r="AU73" s="17"/>
      <c r="AY73" s="6" t="s">
        <v>1139</v>
      </c>
      <c r="AZ73" s="235" t="s">
        <v>1135</v>
      </c>
      <c r="BA73" s="80" t="s">
        <v>1170</v>
      </c>
      <c r="BB73" s="6">
        <v>2</v>
      </c>
      <c r="BC73" s="17">
        <f t="shared" si="14"/>
        <v>55000</v>
      </c>
      <c r="BD73" s="116">
        <f t="shared" si="15"/>
        <v>0.02</v>
      </c>
      <c r="BE73" s="17">
        <f t="shared" si="16"/>
        <v>108900</v>
      </c>
      <c r="BF73" s="17"/>
      <c r="BG73" s="235" t="s">
        <v>1135</v>
      </c>
      <c r="BH73" s="250">
        <f t="shared" si="17"/>
        <v>700</v>
      </c>
      <c r="BI73" s="250"/>
      <c r="BJ73" s="250"/>
    </row>
    <row r="74" spans="1:62" ht="21" customHeight="1" x14ac:dyDescent="0.35">
      <c r="A74">
        <v>71</v>
      </c>
      <c r="B74" s="136">
        <v>44967</v>
      </c>
      <c r="C74" s="4" t="s">
        <v>137</v>
      </c>
      <c r="D74" s="1" t="s">
        <v>163</v>
      </c>
      <c r="E74" t="s">
        <v>1093</v>
      </c>
      <c r="F74" s="6" t="s">
        <v>1103</v>
      </c>
      <c r="G74" s="6" t="s">
        <v>1151</v>
      </c>
      <c r="H74" s="235"/>
      <c r="I74" s="80" t="s">
        <v>1170</v>
      </c>
      <c r="K74" s="6">
        <v>2</v>
      </c>
      <c r="L74" s="17">
        <f t="shared" si="12"/>
        <v>55000</v>
      </c>
      <c r="M74" s="116"/>
      <c r="O74" s="17">
        <f t="shared" si="13"/>
        <v>110000</v>
      </c>
      <c r="AP74" s="6"/>
      <c r="AQ74" s="235"/>
      <c r="AR74" s="80"/>
      <c r="AT74" s="6"/>
      <c r="AU74" s="17"/>
      <c r="AY74" s="6" t="s">
        <v>1151</v>
      </c>
      <c r="AZ74" s="235" t="s">
        <v>1135</v>
      </c>
      <c r="BA74" s="80" t="s">
        <v>1170</v>
      </c>
      <c r="BB74" s="6">
        <v>2</v>
      </c>
      <c r="BC74" s="17">
        <f t="shared" si="14"/>
        <v>55000</v>
      </c>
      <c r="BD74" s="116">
        <f t="shared" si="15"/>
        <v>0.02</v>
      </c>
      <c r="BE74" s="17">
        <f t="shared" si="16"/>
        <v>108900</v>
      </c>
      <c r="BF74" s="17"/>
      <c r="BG74" s="235" t="s">
        <v>1135</v>
      </c>
      <c r="BH74" s="250">
        <f t="shared" si="17"/>
        <v>700</v>
      </c>
      <c r="BI74" s="250"/>
      <c r="BJ74" s="250"/>
    </row>
    <row r="75" spans="1:62" ht="21" customHeight="1" x14ac:dyDescent="0.35">
      <c r="A75">
        <v>72</v>
      </c>
      <c r="B75" s="136">
        <v>44967</v>
      </c>
      <c r="C75" s="4" t="s">
        <v>138</v>
      </c>
      <c r="D75" s="1" t="s">
        <v>162</v>
      </c>
      <c r="E75" t="s">
        <v>1093</v>
      </c>
      <c r="F75" s="6" t="s">
        <v>1128</v>
      </c>
      <c r="G75" s="6" t="s">
        <v>1152</v>
      </c>
      <c r="H75" s="235"/>
      <c r="I75" s="80" t="s">
        <v>1168</v>
      </c>
      <c r="K75" s="6">
        <v>2</v>
      </c>
      <c r="L75" s="17">
        <f t="shared" si="12"/>
        <v>70000</v>
      </c>
      <c r="M75" s="116"/>
      <c r="O75" s="17">
        <f t="shared" si="13"/>
        <v>140000</v>
      </c>
      <c r="AP75" s="6"/>
      <c r="AQ75" s="235"/>
      <c r="AR75" s="80"/>
      <c r="AT75" s="6"/>
      <c r="AU75" s="17"/>
      <c r="AY75" s="6" t="s">
        <v>1152</v>
      </c>
      <c r="AZ75" s="235" t="s">
        <v>1135</v>
      </c>
      <c r="BA75" s="80" t="s">
        <v>1168</v>
      </c>
      <c r="BB75" s="6">
        <v>2</v>
      </c>
      <c r="BC75" s="17">
        <f t="shared" si="14"/>
        <v>70000</v>
      </c>
      <c r="BD75" s="116">
        <f t="shared" si="15"/>
        <v>0.02</v>
      </c>
      <c r="BE75" s="17">
        <f t="shared" si="16"/>
        <v>138600</v>
      </c>
      <c r="BF75" s="17"/>
      <c r="BG75" s="235" t="s">
        <v>1135</v>
      </c>
      <c r="BH75" s="250">
        <f t="shared" si="17"/>
        <v>700</v>
      </c>
      <c r="BI75" s="250"/>
      <c r="BJ75" s="250"/>
    </row>
    <row r="76" spans="1:62" ht="21" customHeight="1" x14ac:dyDescent="0.35">
      <c r="A76">
        <v>73</v>
      </c>
      <c r="B76" s="136">
        <v>44967</v>
      </c>
      <c r="C76" s="4" t="s">
        <v>139</v>
      </c>
      <c r="D76" s="1" t="s">
        <v>162</v>
      </c>
      <c r="E76" t="s">
        <v>1093</v>
      </c>
      <c r="F76" s="6" t="s">
        <v>1128</v>
      </c>
      <c r="G76" s="6" t="s">
        <v>1142</v>
      </c>
      <c r="H76" s="235"/>
      <c r="I76" s="80" t="s">
        <v>1180</v>
      </c>
      <c r="K76" s="6">
        <v>3</v>
      </c>
      <c r="L76" s="17">
        <f t="shared" si="12"/>
        <v>75000</v>
      </c>
      <c r="M76" s="116"/>
      <c r="O76" s="17">
        <f t="shared" si="13"/>
        <v>225000</v>
      </c>
      <c r="AP76" s="6"/>
      <c r="AQ76" s="235"/>
      <c r="AR76" s="80"/>
      <c r="AT76" s="6"/>
      <c r="AU76" s="17"/>
      <c r="AY76" s="6" t="s">
        <v>1142</v>
      </c>
      <c r="AZ76" s="235" t="s">
        <v>1138</v>
      </c>
      <c r="BA76" s="80" t="s">
        <v>1180</v>
      </c>
      <c r="BB76" s="6">
        <v>3</v>
      </c>
      <c r="BC76" s="17">
        <f t="shared" si="14"/>
        <v>75000</v>
      </c>
      <c r="BD76" s="116">
        <f t="shared" si="15"/>
        <v>0.02</v>
      </c>
      <c r="BE76" s="17">
        <f t="shared" si="16"/>
        <v>223500</v>
      </c>
      <c r="BF76" s="17"/>
      <c r="BG76" s="235" t="s">
        <v>1138</v>
      </c>
      <c r="BH76" s="250">
        <f t="shared" si="17"/>
        <v>855</v>
      </c>
      <c r="BI76" s="250"/>
      <c r="BJ76" s="250"/>
    </row>
    <row r="77" spans="1:62" ht="21" customHeight="1" x14ac:dyDescent="0.35">
      <c r="A77">
        <v>74</v>
      </c>
      <c r="B77" s="136">
        <v>44967</v>
      </c>
      <c r="C77" s="4" t="s">
        <v>140</v>
      </c>
      <c r="D77" s="1" t="s">
        <v>162</v>
      </c>
      <c r="E77" t="s">
        <v>1093</v>
      </c>
      <c r="F77" s="6" t="s">
        <v>1129</v>
      </c>
      <c r="G77" s="6" t="s">
        <v>1142</v>
      </c>
      <c r="H77" s="235"/>
      <c r="I77" s="80" t="s">
        <v>1179</v>
      </c>
      <c r="K77" s="6">
        <v>4</v>
      </c>
      <c r="L77" s="17">
        <f t="shared" si="12"/>
        <v>85000</v>
      </c>
      <c r="M77" s="116"/>
      <c r="O77" s="17">
        <f t="shared" si="13"/>
        <v>340000</v>
      </c>
      <c r="AP77" s="6"/>
      <c r="AQ77" s="235"/>
      <c r="AR77" s="80"/>
      <c r="AT77" s="6"/>
      <c r="AU77" s="17"/>
      <c r="AY77" s="6" t="s">
        <v>1142</v>
      </c>
      <c r="AZ77" s="235" t="s">
        <v>1138</v>
      </c>
      <c r="BA77" s="80" t="s">
        <v>1179</v>
      </c>
      <c r="BB77" s="6">
        <v>4</v>
      </c>
      <c r="BC77" s="17">
        <f t="shared" si="14"/>
        <v>85000</v>
      </c>
      <c r="BD77" s="116">
        <f t="shared" si="15"/>
        <v>0.02</v>
      </c>
      <c r="BE77" s="17">
        <f t="shared" si="16"/>
        <v>338300</v>
      </c>
      <c r="BF77" s="17"/>
      <c r="BG77" s="235" t="s">
        <v>1138</v>
      </c>
      <c r="BH77" s="250">
        <f t="shared" si="17"/>
        <v>855</v>
      </c>
      <c r="BI77" s="250"/>
      <c r="BJ77" s="250"/>
    </row>
    <row r="78" spans="1:62" ht="21" customHeight="1" x14ac:dyDescent="0.35">
      <c r="A78">
        <v>75</v>
      </c>
      <c r="B78" s="136">
        <v>44967</v>
      </c>
      <c r="C78" s="4" t="s">
        <v>141</v>
      </c>
      <c r="D78" s="1" t="s">
        <v>162</v>
      </c>
      <c r="E78" t="s">
        <v>1093</v>
      </c>
      <c r="F78" s="6" t="s">
        <v>1130</v>
      </c>
      <c r="G78" s="6" t="s">
        <v>1153</v>
      </c>
      <c r="H78" s="235"/>
      <c r="I78" s="80" t="s">
        <v>1180</v>
      </c>
      <c r="K78" s="6">
        <v>5</v>
      </c>
      <c r="L78" s="17">
        <f t="shared" si="12"/>
        <v>75000</v>
      </c>
      <c r="M78" s="116"/>
      <c r="O78" s="17">
        <f t="shared" si="13"/>
        <v>375000</v>
      </c>
      <c r="AP78" s="6"/>
      <c r="AQ78" s="235"/>
      <c r="AR78" s="80"/>
      <c r="AT78" s="6"/>
      <c r="AU78" s="17"/>
      <c r="AY78" s="6" t="s">
        <v>1153</v>
      </c>
      <c r="AZ78" s="235" t="s">
        <v>1138</v>
      </c>
      <c r="BA78" s="80" t="s">
        <v>1180</v>
      </c>
      <c r="BB78" s="6">
        <v>5</v>
      </c>
      <c r="BC78" s="17">
        <f t="shared" si="14"/>
        <v>75000</v>
      </c>
      <c r="BD78" s="116">
        <f t="shared" si="15"/>
        <v>0.02</v>
      </c>
      <c r="BE78" s="17">
        <f t="shared" si="16"/>
        <v>373500</v>
      </c>
      <c r="BF78" s="17"/>
      <c r="BG78" s="235" t="s">
        <v>1138</v>
      </c>
      <c r="BH78" s="250">
        <f t="shared" si="17"/>
        <v>855</v>
      </c>
      <c r="BI78" s="250"/>
      <c r="BJ78" s="250"/>
    </row>
    <row r="79" spans="1:62" ht="21" customHeight="1" x14ac:dyDescent="0.35">
      <c r="A79">
        <v>76</v>
      </c>
      <c r="B79" s="136">
        <v>44967</v>
      </c>
      <c r="C79" s="4" t="s">
        <v>142</v>
      </c>
      <c r="D79" s="1" t="s">
        <v>163</v>
      </c>
      <c r="E79" t="s">
        <v>1093</v>
      </c>
      <c r="F79" s="6" t="s">
        <v>1131</v>
      </c>
      <c r="G79" s="6" t="s">
        <v>1153</v>
      </c>
      <c r="H79" s="235"/>
      <c r="I79" s="80" t="s">
        <v>1182</v>
      </c>
      <c r="K79" s="6">
        <v>6</v>
      </c>
      <c r="L79" s="17">
        <f t="shared" si="12"/>
        <v>110500</v>
      </c>
      <c r="M79" s="116"/>
      <c r="O79" s="17">
        <f t="shared" si="13"/>
        <v>663000</v>
      </c>
      <c r="AP79" s="6"/>
      <c r="AQ79" s="235"/>
      <c r="AR79" s="80"/>
      <c r="AT79" s="6"/>
      <c r="AU79" s="17"/>
      <c r="AY79" s="6" t="s">
        <v>1153</v>
      </c>
      <c r="AZ79" s="235" t="s">
        <v>1138</v>
      </c>
      <c r="BA79" s="80" t="s">
        <v>1182</v>
      </c>
      <c r="BB79" s="6">
        <v>6</v>
      </c>
      <c r="BC79" s="17">
        <f t="shared" si="14"/>
        <v>110500</v>
      </c>
      <c r="BD79" s="116">
        <f t="shared" si="15"/>
        <v>0.02</v>
      </c>
      <c r="BE79" s="17">
        <f t="shared" si="16"/>
        <v>660790</v>
      </c>
      <c r="BF79" s="17"/>
      <c r="BG79" s="235" t="s">
        <v>1138</v>
      </c>
      <c r="BH79" s="250">
        <f t="shared" si="17"/>
        <v>855</v>
      </c>
      <c r="BI79" s="250"/>
      <c r="BJ79" s="250"/>
    </row>
    <row r="80" spans="1:62" ht="21" customHeight="1" x14ac:dyDescent="0.35">
      <c r="A80">
        <v>77</v>
      </c>
      <c r="B80" s="136">
        <v>44967</v>
      </c>
      <c r="C80" s="4" t="s">
        <v>143</v>
      </c>
      <c r="D80" s="1" t="s">
        <v>163</v>
      </c>
      <c r="E80" t="s">
        <v>1093</v>
      </c>
      <c r="F80" s="6" t="s">
        <v>1132</v>
      </c>
      <c r="G80" s="6" t="s">
        <v>1153</v>
      </c>
      <c r="H80" s="235"/>
      <c r="I80" s="80" t="s">
        <v>1179</v>
      </c>
      <c r="K80" s="6">
        <v>10</v>
      </c>
      <c r="L80" s="17">
        <f t="shared" si="12"/>
        <v>85000</v>
      </c>
      <c r="M80" s="116"/>
      <c r="O80" s="17">
        <f t="shared" si="13"/>
        <v>850000</v>
      </c>
      <c r="AP80" s="6"/>
      <c r="AQ80" s="235"/>
      <c r="AR80" s="80"/>
      <c r="AT80" s="6"/>
      <c r="AU80" s="17"/>
      <c r="AY80" s="6" t="s">
        <v>1153</v>
      </c>
      <c r="AZ80" s="235" t="s">
        <v>1138</v>
      </c>
      <c r="BA80" s="80" t="s">
        <v>1179</v>
      </c>
      <c r="BB80" s="6">
        <v>10</v>
      </c>
      <c r="BC80" s="17">
        <f t="shared" si="14"/>
        <v>85000</v>
      </c>
      <c r="BD80" s="116">
        <f t="shared" si="15"/>
        <v>0.03</v>
      </c>
      <c r="BE80" s="17">
        <f t="shared" si="16"/>
        <v>847450</v>
      </c>
      <c r="BF80" s="17"/>
      <c r="BG80" s="235" t="s">
        <v>1138</v>
      </c>
      <c r="BH80" s="250">
        <f t="shared" si="17"/>
        <v>855</v>
      </c>
      <c r="BI80" s="250"/>
      <c r="BJ80" s="250"/>
    </row>
    <row r="81" spans="1:62" ht="21" customHeight="1" x14ac:dyDescent="0.35">
      <c r="A81">
        <v>78</v>
      </c>
      <c r="B81" s="136">
        <v>44968</v>
      </c>
      <c r="C81" s="4" t="s">
        <v>144</v>
      </c>
      <c r="D81" s="1" t="s">
        <v>162</v>
      </c>
      <c r="E81" t="s">
        <v>1093</v>
      </c>
      <c r="F81" s="6" t="s">
        <v>1133</v>
      </c>
      <c r="G81" s="6" t="s">
        <v>1153</v>
      </c>
      <c r="H81" s="235"/>
      <c r="I81" s="80" t="s">
        <v>1180</v>
      </c>
      <c r="K81" s="6">
        <v>9</v>
      </c>
      <c r="L81" s="17">
        <f t="shared" si="12"/>
        <v>75000</v>
      </c>
      <c r="M81" s="116"/>
      <c r="O81" s="17">
        <f t="shared" si="13"/>
        <v>675000</v>
      </c>
      <c r="AP81" s="6"/>
      <c r="AQ81" s="235"/>
      <c r="AR81" s="80"/>
      <c r="AT81" s="6"/>
      <c r="AU81" s="17"/>
      <c r="AY81" s="6" t="s">
        <v>1153</v>
      </c>
      <c r="AZ81" s="235" t="s">
        <v>1138</v>
      </c>
      <c r="BA81" s="80" t="s">
        <v>1180</v>
      </c>
      <c r="BB81" s="6">
        <v>9</v>
      </c>
      <c r="BC81" s="17">
        <f t="shared" si="14"/>
        <v>75000</v>
      </c>
      <c r="BD81" s="116">
        <f t="shared" si="15"/>
        <v>0.03</v>
      </c>
      <c r="BE81" s="17">
        <f t="shared" si="16"/>
        <v>672750</v>
      </c>
      <c r="BF81" s="17"/>
      <c r="BG81" s="235" t="s">
        <v>1138</v>
      </c>
      <c r="BH81" s="250">
        <f t="shared" si="17"/>
        <v>855</v>
      </c>
      <c r="BI81" s="250"/>
      <c r="BJ81" s="250"/>
    </row>
    <row r="82" spans="1:62" ht="21" customHeight="1" x14ac:dyDescent="0.35">
      <c r="A82">
        <v>79</v>
      </c>
      <c r="B82" s="136">
        <v>44968</v>
      </c>
      <c r="C82" s="4" t="s">
        <v>145</v>
      </c>
      <c r="D82" s="1" t="s">
        <v>162</v>
      </c>
      <c r="E82" t="s">
        <v>1093</v>
      </c>
      <c r="F82" s="6" t="s">
        <v>1113</v>
      </c>
      <c r="G82" s="6" t="s">
        <v>1154</v>
      </c>
      <c r="H82" s="235"/>
      <c r="I82" s="80" t="s">
        <v>1182</v>
      </c>
      <c r="K82" s="6">
        <v>5</v>
      </c>
      <c r="L82" s="17">
        <f t="shared" si="12"/>
        <v>110500</v>
      </c>
      <c r="M82" s="116"/>
      <c r="O82" s="17">
        <f t="shared" si="13"/>
        <v>552500</v>
      </c>
      <c r="AP82" s="6"/>
      <c r="AQ82" s="235"/>
      <c r="AR82" s="80"/>
      <c r="AT82" s="6"/>
      <c r="AU82" s="17"/>
      <c r="AY82" s="6" t="s">
        <v>1154</v>
      </c>
      <c r="AZ82" s="235" t="s">
        <v>1138</v>
      </c>
      <c r="BA82" s="80" t="s">
        <v>1182</v>
      </c>
      <c r="BB82" s="6">
        <v>5</v>
      </c>
      <c r="BC82" s="17">
        <f t="shared" si="14"/>
        <v>110500</v>
      </c>
      <c r="BD82" s="116">
        <f t="shared" si="15"/>
        <v>0.02</v>
      </c>
      <c r="BE82" s="17">
        <f t="shared" si="16"/>
        <v>550290</v>
      </c>
      <c r="BF82" s="17"/>
      <c r="BG82" s="235" t="s">
        <v>1138</v>
      </c>
      <c r="BH82" s="250">
        <f t="shared" si="17"/>
        <v>855</v>
      </c>
      <c r="BI82" s="250"/>
      <c r="BJ82" s="250"/>
    </row>
    <row r="83" spans="1:62" ht="21" customHeight="1" x14ac:dyDescent="0.35">
      <c r="A83">
        <v>80</v>
      </c>
      <c r="B83" s="136">
        <v>44968</v>
      </c>
      <c r="C83" s="4" t="s">
        <v>146</v>
      </c>
      <c r="D83" s="1" t="s">
        <v>162</v>
      </c>
      <c r="E83" t="s">
        <v>1092</v>
      </c>
      <c r="F83" s="6" t="s">
        <v>1114</v>
      </c>
      <c r="G83" s="6" t="s">
        <v>1155</v>
      </c>
      <c r="H83" s="235"/>
      <c r="I83" s="80" t="s">
        <v>1182</v>
      </c>
      <c r="K83" s="6">
        <v>5</v>
      </c>
      <c r="L83" s="17">
        <f t="shared" si="12"/>
        <v>110500</v>
      </c>
      <c r="M83" s="116"/>
      <c r="O83" s="17">
        <f t="shared" si="13"/>
        <v>552500</v>
      </c>
      <c r="AP83" s="6"/>
      <c r="AQ83" s="235"/>
      <c r="AR83" s="80"/>
      <c r="AT83" s="6"/>
      <c r="AU83" s="17"/>
      <c r="AY83" s="6" t="s">
        <v>1155</v>
      </c>
      <c r="AZ83" s="235" t="s">
        <v>1138</v>
      </c>
      <c r="BA83" s="80" t="s">
        <v>1182</v>
      </c>
      <c r="BB83" s="6">
        <v>5</v>
      </c>
      <c r="BC83" s="17">
        <f t="shared" si="14"/>
        <v>110500</v>
      </c>
      <c r="BD83" s="116">
        <f t="shared" si="15"/>
        <v>0.02</v>
      </c>
      <c r="BE83" s="17">
        <f t="shared" si="16"/>
        <v>550290</v>
      </c>
      <c r="BF83" s="17"/>
      <c r="BG83" s="235" t="s">
        <v>1138</v>
      </c>
      <c r="BH83" s="250">
        <f t="shared" si="17"/>
        <v>855</v>
      </c>
      <c r="BI83" s="250"/>
      <c r="BJ83" s="250"/>
    </row>
    <row r="84" spans="1:62" ht="21" customHeight="1" x14ac:dyDescent="0.35">
      <c r="A84">
        <v>81</v>
      </c>
      <c r="B84" s="136">
        <v>44968</v>
      </c>
      <c r="C84" s="4" t="s">
        <v>45</v>
      </c>
      <c r="D84" s="1" t="s">
        <v>163</v>
      </c>
      <c r="E84" t="s">
        <v>1092</v>
      </c>
      <c r="F84" s="6" t="s">
        <v>1103</v>
      </c>
      <c r="G84" s="6" t="s">
        <v>1142</v>
      </c>
      <c r="H84" s="235"/>
      <c r="I84" s="80" t="s">
        <v>1180</v>
      </c>
      <c r="K84" s="6">
        <v>3</v>
      </c>
      <c r="L84" s="17">
        <f t="shared" si="12"/>
        <v>75000</v>
      </c>
      <c r="M84" s="116"/>
      <c r="O84" s="17">
        <f t="shared" si="13"/>
        <v>225000</v>
      </c>
      <c r="AP84" s="6"/>
      <c r="AQ84" s="235"/>
      <c r="AR84" s="80"/>
      <c r="AT84" s="6"/>
      <c r="AU84" s="17"/>
      <c r="AY84" s="6" t="s">
        <v>1142</v>
      </c>
      <c r="AZ84" s="235" t="s">
        <v>1138</v>
      </c>
      <c r="BA84" s="80" t="s">
        <v>1180</v>
      </c>
      <c r="BB84" s="6">
        <v>3</v>
      </c>
      <c r="BC84" s="17">
        <f t="shared" si="14"/>
        <v>75000</v>
      </c>
      <c r="BD84" s="116">
        <f t="shared" si="15"/>
        <v>0.02</v>
      </c>
      <c r="BE84" s="17">
        <f t="shared" si="16"/>
        <v>223500</v>
      </c>
      <c r="BF84" s="17"/>
      <c r="BG84" s="235" t="s">
        <v>1138</v>
      </c>
      <c r="BH84" s="250">
        <f t="shared" si="17"/>
        <v>855</v>
      </c>
      <c r="BI84" s="250"/>
      <c r="BJ84" s="250"/>
    </row>
    <row r="85" spans="1:62" ht="21" customHeight="1" x14ac:dyDescent="0.35">
      <c r="A85">
        <v>82</v>
      </c>
      <c r="B85" s="136">
        <v>44969</v>
      </c>
      <c r="C85" s="4" t="s">
        <v>47</v>
      </c>
      <c r="D85" s="1" t="s">
        <v>162</v>
      </c>
      <c r="E85" t="s">
        <v>1092</v>
      </c>
      <c r="F85" s="6" t="s">
        <v>1115</v>
      </c>
      <c r="G85" s="6" t="s">
        <v>1143</v>
      </c>
      <c r="H85" s="235"/>
      <c r="I85" s="235" t="s">
        <v>1187</v>
      </c>
      <c r="K85" s="6">
        <v>2</v>
      </c>
      <c r="L85" s="17">
        <f t="shared" si="12"/>
        <v>89999</v>
      </c>
      <c r="M85" s="116"/>
      <c r="O85" s="17">
        <f t="shared" si="13"/>
        <v>179998</v>
      </c>
      <c r="AP85" s="6"/>
      <c r="AQ85" s="235"/>
      <c r="AR85" s="80"/>
      <c r="AT85" s="6"/>
      <c r="AU85" s="17"/>
      <c r="AY85" s="6" t="s">
        <v>1143</v>
      </c>
      <c r="AZ85" s="235" t="s">
        <v>1137</v>
      </c>
      <c r="BA85" s="235" t="s">
        <v>1187</v>
      </c>
      <c r="BB85" s="6">
        <v>2</v>
      </c>
      <c r="BC85" s="17">
        <f t="shared" si="14"/>
        <v>89999</v>
      </c>
      <c r="BD85" s="116">
        <f t="shared" si="15"/>
        <v>0.02</v>
      </c>
      <c r="BE85" s="17">
        <f t="shared" si="16"/>
        <v>178198.02</v>
      </c>
      <c r="BF85" s="17"/>
      <c r="BG85" s="235" t="s">
        <v>1137</v>
      </c>
      <c r="BH85" s="250">
        <f t="shared" si="17"/>
        <v>755</v>
      </c>
      <c r="BI85" s="250"/>
      <c r="BJ85" s="250"/>
    </row>
    <row r="86" spans="1:62" ht="21" customHeight="1" x14ac:dyDescent="0.35">
      <c r="A86">
        <v>83</v>
      </c>
      <c r="B86" s="136">
        <v>44969</v>
      </c>
      <c r="C86" s="4" t="s">
        <v>46</v>
      </c>
      <c r="D86" s="1" t="s">
        <v>163</v>
      </c>
      <c r="E86" t="s">
        <v>1092</v>
      </c>
      <c r="F86" s="6" t="s">
        <v>1116</v>
      </c>
      <c r="G86" s="6" t="s">
        <v>1141</v>
      </c>
      <c r="H86" s="235"/>
      <c r="I86" s="235" t="s">
        <v>1186</v>
      </c>
      <c r="K86" s="6">
        <v>2</v>
      </c>
      <c r="L86" s="17">
        <f t="shared" si="12"/>
        <v>69999</v>
      </c>
      <c r="M86" s="116"/>
      <c r="O86" s="17">
        <f t="shared" si="13"/>
        <v>139998</v>
      </c>
      <c r="AP86" s="6"/>
      <c r="AQ86" s="235"/>
      <c r="AR86" s="235"/>
      <c r="AT86" s="6"/>
      <c r="AU86" s="17"/>
      <c r="AY86" s="6" t="s">
        <v>1141</v>
      </c>
      <c r="AZ86" s="235" t="s">
        <v>1137</v>
      </c>
      <c r="BA86" s="235" t="s">
        <v>1186</v>
      </c>
      <c r="BB86" s="6">
        <v>2</v>
      </c>
      <c r="BC86" s="17">
        <f t="shared" si="14"/>
        <v>69999</v>
      </c>
      <c r="BD86" s="116">
        <f t="shared" si="15"/>
        <v>0.02</v>
      </c>
      <c r="BE86" s="17">
        <f t="shared" si="16"/>
        <v>138598.01999999999</v>
      </c>
      <c r="BF86" s="17"/>
      <c r="BG86" s="235" t="s">
        <v>1137</v>
      </c>
      <c r="BH86" s="250">
        <f t="shared" si="17"/>
        <v>755</v>
      </c>
      <c r="BI86" s="250"/>
      <c r="BJ86" s="250"/>
    </row>
    <row r="87" spans="1:62" ht="21" customHeight="1" x14ac:dyDescent="0.35">
      <c r="A87">
        <v>84</v>
      </c>
      <c r="B87" s="136">
        <v>44969</v>
      </c>
      <c r="C87" s="4" t="s">
        <v>48</v>
      </c>
      <c r="D87" s="1" t="s">
        <v>162</v>
      </c>
      <c r="E87" t="s">
        <v>1092</v>
      </c>
      <c r="F87" s="6" t="s">
        <v>1117</v>
      </c>
      <c r="G87" s="6" t="s">
        <v>1144</v>
      </c>
      <c r="H87" s="235"/>
      <c r="I87" s="235" t="s">
        <v>1186</v>
      </c>
      <c r="K87" s="6">
        <v>2</v>
      </c>
      <c r="L87" s="17">
        <f t="shared" si="12"/>
        <v>69999</v>
      </c>
      <c r="M87" s="116"/>
      <c r="O87" s="17">
        <f t="shared" si="13"/>
        <v>139998</v>
      </c>
      <c r="AP87" s="6"/>
      <c r="AQ87" s="235"/>
      <c r="AR87" s="235"/>
      <c r="AT87" s="6"/>
      <c r="AU87" s="17"/>
      <c r="AY87" s="6" t="s">
        <v>1144</v>
      </c>
      <c r="AZ87" s="235" t="s">
        <v>1137</v>
      </c>
      <c r="BA87" s="235" t="s">
        <v>1186</v>
      </c>
      <c r="BB87" s="6">
        <v>2</v>
      </c>
      <c r="BC87" s="17">
        <f t="shared" si="14"/>
        <v>69999</v>
      </c>
      <c r="BD87" s="116">
        <f t="shared" si="15"/>
        <v>0.02</v>
      </c>
      <c r="BE87" s="17">
        <f t="shared" si="16"/>
        <v>138598.01999999999</v>
      </c>
      <c r="BF87" s="17"/>
      <c r="BG87" s="235" t="s">
        <v>1137</v>
      </c>
      <c r="BH87" s="250">
        <f t="shared" si="17"/>
        <v>755</v>
      </c>
      <c r="BI87" s="250"/>
      <c r="BJ87" s="250"/>
    </row>
    <row r="88" spans="1:62" ht="21" customHeight="1" x14ac:dyDescent="0.35">
      <c r="A88">
        <v>85</v>
      </c>
      <c r="B88" s="136">
        <v>44969</v>
      </c>
      <c r="C88" s="4" t="s">
        <v>49</v>
      </c>
      <c r="D88" s="1" t="s">
        <v>162</v>
      </c>
      <c r="E88" t="s">
        <v>1092</v>
      </c>
      <c r="F88" s="6" t="s">
        <v>1118</v>
      </c>
      <c r="G88" s="6" t="s">
        <v>1158</v>
      </c>
      <c r="H88" s="235"/>
      <c r="I88" s="235" t="s">
        <v>1185</v>
      </c>
      <c r="K88" s="6">
        <v>4</v>
      </c>
      <c r="L88" s="17">
        <f t="shared" si="12"/>
        <v>49999</v>
      </c>
      <c r="M88" s="116"/>
      <c r="O88" s="17">
        <f t="shared" si="13"/>
        <v>199996</v>
      </c>
      <c r="AP88" s="6"/>
      <c r="AQ88" s="235"/>
      <c r="AR88" s="235"/>
      <c r="AT88" s="6"/>
      <c r="AU88" s="17"/>
      <c r="AY88" s="6" t="s">
        <v>1158</v>
      </c>
      <c r="AZ88" s="235" t="s">
        <v>1137</v>
      </c>
      <c r="BA88" s="235" t="s">
        <v>1185</v>
      </c>
      <c r="BB88" s="6">
        <v>4</v>
      </c>
      <c r="BC88" s="17">
        <f t="shared" si="14"/>
        <v>49999</v>
      </c>
      <c r="BD88" s="116">
        <f t="shared" si="15"/>
        <v>0.02</v>
      </c>
      <c r="BE88" s="17">
        <f t="shared" si="16"/>
        <v>198996.02</v>
      </c>
      <c r="BF88" s="17"/>
      <c r="BG88" s="235" t="s">
        <v>1137</v>
      </c>
      <c r="BH88" s="250">
        <f>IF(AZ89="Food Product",700,IF(AZ89="Non Food Product",900,IF(AZ89="General Merchandise Product",855,755)))</f>
        <v>900</v>
      </c>
      <c r="BI88" s="250"/>
      <c r="BJ88" s="250"/>
    </row>
    <row r="89" spans="1:62" ht="21" customHeight="1" x14ac:dyDescent="0.35">
      <c r="A89">
        <v>86</v>
      </c>
      <c r="B89" s="136">
        <v>44969</v>
      </c>
      <c r="C89" s="4" t="s">
        <v>50</v>
      </c>
      <c r="D89" s="1" t="s">
        <v>163</v>
      </c>
      <c r="E89" t="s">
        <v>1092</v>
      </c>
      <c r="F89" s="6" t="s">
        <v>1119</v>
      </c>
      <c r="G89" s="6" t="s">
        <v>1149</v>
      </c>
      <c r="H89" s="235"/>
      <c r="I89" s="235" t="s">
        <v>1174</v>
      </c>
      <c r="K89" s="6">
        <v>5</v>
      </c>
      <c r="L89" s="17">
        <f t="shared" si="12"/>
        <v>85500</v>
      </c>
      <c r="M89" s="116"/>
      <c r="O89" s="17">
        <f t="shared" si="13"/>
        <v>427500</v>
      </c>
      <c r="AP89" s="6"/>
      <c r="AQ89" s="235"/>
      <c r="AR89" s="235"/>
      <c r="AT89" s="6"/>
      <c r="AU89" s="17"/>
      <c r="AY89" s="6" t="s">
        <v>1149</v>
      </c>
      <c r="AZ89" s="235" t="s">
        <v>1136</v>
      </c>
      <c r="BA89" s="235" t="s">
        <v>1174</v>
      </c>
      <c r="BB89" s="6">
        <v>5</v>
      </c>
      <c r="BC89" s="17">
        <f t="shared" si="14"/>
        <v>85500</v>
      </c>
      <c r="BD89" s="116">
        <f t="shared" si="15"/>
        <v>0.02</v>
      </c>
      <c r="BE89" s="17">
        <f t="shared" si="16"/>
        <v>425790</v>
      </c>
      <c r="BF89" s="17"/>
      <c r="BG89" s="235" t="s">
        <v>1136</v>
      </c>
      <c r="BH89" s="250">
        <f>IF(AZ90="Food Product",700,IF(AZ90="Non Food Product",900,IF(AZ90="General Merchandise Product",855,755)))</f>
        <v>900</v>
      </c>
      <c r="BI89" s="250"/>
      <c r="BJ89" s="250"/>
    </row>
    <row r="90" spans="1:62" ht="21" customHeight="1" x14ac:dyDescent="0.35">
      <c r="A90">
        <v>87</v>
      </c>
      <c r="B90" s="136">
        <v>44970</v>
      </c>
      <c r="C90" s="4" t="s">
        <v>51</v>
      </c>
      <c r="D90" s="1" t="s">
        <v>162</v>
      </c>
      <c r="E90" t="s">
        <v>1092</v>
      </c>
      <c r="F90" s="6" t="s">
        <v>1120</v>
      </c>
      <c r="G90" s="6" t="s">
        <v>1150</v>
      </c>
      <c r="H90" s="235"/>
      <c r="I90" s="235" t="s">
        <v>1174</v>
      </c>
      <c r="K90" s="6">
        <v>5</v>
      </c>
      <c r="L90" s="17">
        <f t="shared" si="12"/>
        <v>85500</v>
      </c>
      <c r="M90" s="116"/>
      <c r="O90" s="17">
        <f t="shared" si="13"/>
        <v>427500</v>
      </c>
      <c r="AP90" s="6"/>
      <c r="AQ90" s="235"/>
      <c r="AR90" s="235"/>
      <c r="AT90" s="6"/>
      <c r="AU90" s="17"/>
      <c r="AY90" s="6" t="s">
        <v>1150</v>
      </c>
      <c r="AZ90" s="235" t="s">
        <v>1136</v>
      </c>
      <c r="BA90" s="235" t="s">
        <v>1174</v>
      </c>
      <c r="BB90" s="6">
        <v>5</v>
      </c>
      <c r="BC90" s="17">
        <f t="shared" si="14"/>
        <v>85500</v>
      </c>
      <c r="BD90" s="116">
        <f t="shared" si="15"/>
        <v>0.02</v>
      </c>
      <c r="BE90" s="17">
        <f t="shared" si="16"/>
        <v>425790</v>
      </c>
      <c r="BF90" s="17"/>
      <c r="BG90" s="235" t="s">
        <v>1136</v>
      </c>
      <c r="BH90" s="250">
        <f t="shared" ref="BH90:BH121" si="18">IF(AZ90="Food Product",700,IF(AZ90="Non Food Product",900,IF(AZ90="General Merchandise Product",855,755)))</f>
        <v>900</v>
      </c>
      <c r="BI90" s="250"/>
      <c r="BJ90" s="250"/>
    </row>
    <row r="91" spans="1:62" ht="21" customHeight="1" x14ac:dyDescent="0.35">
      <c r="A91">
        <v>88</v>
      </c>
      <c r="B91" s="136">
        <v>44970</v>
      </c>
      <c r="C91" s="4" t="s">
        <v>52</v>
      </c>
      <c r="D91" s="1" t="s">
        <v>162</v>
      </c>
      <c r="E91" t="s">
        <v>1092</v>
      </c>
      <c r="F91" s="6" t="s">
        <v>1103</v>
      </c>
      <c r="G91" s="6" t="s">
        <v>1153</v>
      </c>
      <c r="H91" s="235"/>
      <c r="I91" s="80" t="s">
        <v>1180</v>
      </c>
      <c r="K91" s="6">
        <v>7</v>
      </c>
      <c r="L91" s="17">
        <f t="shared" si="12"/>
        <v>75000</v>
      </c>
      <c r="M91" s="116"/>
      <c r="O91" s="17">
        <f t="shared" si="13"/>
        <v>525000</v>
      </c>
      <c r="AP91" s="6"/>
      <c r="AQ91" s="235"/>
      <c r="AR91" s="235"/>
      <c r="AT91" s="6"/>
      <c r="AU91" s="17"/>
      <c r="AY91" s="6" t="s">
        <v>1153</v>
      </c>
      <c r="AZ91" s="235" t="s">
        <v>1138</v>
      </c>
      <c r="BA91" s="80" t="s">
        <v>1180</v>
      </c>
      <c r="BB91" s="6">
        <v>7</v>
      </c>
      <c r="BC91" s="17">
        <f t="shared" si="14"/>
        <v>75000</v>
      </c>
      <c r="BD91" s="116">
        <f t="shared" si="15"/>
        <v>0.02</v>
      </c>
      <c r="BE91" s="17">
        <f t="shared" si="16"/>
        <v>523500</v>
      </c>
      <c r="BF91" s="17"/>
      <c r="BG91" s="235" t="s">
        <v>1138</v>
      </c>
      <c r="BH91" s="250">
        <f t="shared" si="18"/>
        <v>855</v>
      </c>
      <c r="BI91" s="250"/>
      <c r="BJ91" s="250"/>
    </row>
    <row r="92" spans="1:62" ht="21" customHeight="1" x14ac:dyDescent="0.35">
      <c r="A92">
        <v>89</v>
      </c>
      <c r="B92" s="136">
        <v>44970</v>
      </c>
      <c r="C92" s="4" t="s">
        <v>53</v>
      </c>
      <c r="D92" s="1" t="s">
        <v>162</v>
      </c>
      <c r="E92" t="s">
        <v>1092</v>
      </c>
      <c r="F92" s="6" t="s">
        <v>1116</v>
      </c>
      <c r="G92" s="6" t="s">
        <v>1144</v>
      </c>
      <c r="H92" s="235"/>
      <c r="I92" s="235" t="s">
        <v>1186</v>
      </c>
      <c r="K92" s="6">
        <v>7</v>
      </c>
      <c r="L92" s="17">
        <f t="shared" si="12"/>
        <v>69999</v>
      </c>
      <c r="M92" s="116"/>
      <c r="O92" s="17">
        <f t="shared" si="13"/>
        <v>489993</v>
      </c>
      <c r="AP92" s="6"/>
      <c r="AQ92" s="235"/>
      <c r="AR92" s="235"/>
      <c r="AT92" s="6"/>
      <c r="AU92" s="17"/>
      <c r="AY92" s="6" t="s">
        <v>1144</v>
      </c>
      <c r="AZ92" s="235" t="s">
        <v>1137</v>
      </c>
      <c r="BA92" s="235" t="s">
        <v>1186</v>
      </c>
      <c r="BB92" s="6">
        <v>7</v>
      </c>
      <c r="BC92" s="17">
        <f t="shared" si="14"/>
        <v>69999</v>
      </c>
      <c r="BD92" s="116">
        <f t="shared" si="15"/>
        <v>0.02</v>
      </c>
      <c r="BE92" s="17">
        <f t="shared" si="16"/>
        <v>488593.02</v>
      </c>
      <c r="BF92" s="17"/>
      <c r="BG92" s="235" t="s">
        <v>1137</v>
      </c>
      <c r="BH92" s="250">
        <f t="shared" si="18"/>
        <v>755</v>
      </c>
      <c r="BI92" s="250"/>
      <c r="BJ92" s="250"/>
    </row>
    <row r="93" spans="1:62" ht="21" customHeight="1" x14ac:dyDescent="0.35">
      <c r="A93">
        <v>90</v>
      </c>
      <c r="B93" s="136">
        <v>44970</v>
      </c>
      <c r="C93" s="4" t="s">
        <v>54</v>
      </c>
      <c r="D93" s="1" t="s">
        <v>163</v>
      </c>
      <c r="E93" t="s">
        <v>1092</v>
      </c>
      <c r="F93" s="6" t="s">
        <v>1123</v>
      </c>
      <c r="G93" s="6" t="s">
        <v>1149</v>
      </c>
      <c r="H93" s="235"/>
      <c r="I93" s="235" t="s">
        <v>1174</v>
      </c>
      <c r="K93" s="6">
        <v>7</v>
      </c>
      <c r="L93" s="17">
        <f t="shared" si="12"/>
        <v>85500</v>
      </c>
      <c r="M93" s="116"/>
      <c r="O93" s="17">
        <f t="shared" si="13"/>
        <v>598500</v>
      </c>
      <c r="AP93" s="6"/>
      <c r="AQ93" s="235"/>
      <c r="AR93" s="80"/>
      <c r="AT93" s="6"/>
      <c r="AU93" s="17"/>
      <c r="AY93" s="6" t="s">
        <v>1149</v>
      </c>
      <c r="AZ93" s="235" t="s">
        <v>1136</v>
      </c>
      <c r="BA93" s="235" t="s">
        <v>1174</v>
      </c>
      <c r="BB93" s="6">
        <v>7</v>
      </c>
      <c r="BC93" s="17">
        <f t="shared" si="14"/>
        <v>85500</v>
      </c>
      <c r="BD93" s="116">
        <f t="shared" si="15"/>
        <v>0.02</v>
      </c>
      <c r="BE93" s="17">
        <f t="shared" si="16"/>
        <v>596790</v>
      </c>
      <c r="BF93" s="17"/>
      <c r="BG93" s="235" t="s">
        <v>1136</v>
      </c>
      <c r="BH93" s="250">
        <f t="shared" si="18"/>
        <v>900</v>
      </c>
      <c r="BI93" s="250"/>
      <c r="BJ93" s="250"/>
    </row>
    <row r="94" spans="1:62" ht="21" customHeight="1" x14ac:dyDescent="0.35">
      <c r="A94">
        <v>91</v>
      </c>
      <c r="B94" s="136">
        <v>44970</v>
      </c>
      <c r="C94" s="4" t="s">
        <v>55</v>
      </c>
      <c r="D94" s="1" t="s">
        <v>162</v>
      </c>
      <c r="E94" t="s">
        <v>1092</v>
      </c>
      <c r="F94" s="6" t="s">
        <v>1124</v>
      </c>
      <c r="G94" s="6" t="s">
        <v>1150</v>
      </c>
      <c r="H94" s="235"/>
      <c r="I94" s="235" t="s">
        <v>1174</v>
      </c>
      <c r="K94" s="6">
        <v>8</v>
      </c>
      <c r="L94" s="17">
        <f t="shared" si="12"/>
        <v>85500</v>
      </c>
      <c r="M94" s="116"/>
      <c r="O94" s="17">
        <f t="shared" si="13"/>
        <v>684000</v>
      </c>
      <c r="AP94" s="6"/>
      <c r="AQ94" s="235"/>
      <c r="AR94" s="80"/>
      <c r="AT94" s="6"/>
      <c r="AU94" s="17"/>
      <c r="AY94" s="6" t="s">
        <v>1150</v>
      </c>
      <c r="AZ94" s="235" t="s">
        <v>1136</v>
      </c>
      <c r="BA94" s="235" t="s">
        <v>1174</v>
      </c>
      <c r="BB94" s="6">
        <v>8</v>
      </c>
      <c r="BC94" s="17">
        <f t="shared" si="14"/>
        <v>85500</v>
      </c>
      <c r="BD94" s="116">
        <f t="shared" si="15"/>
        <v>0.02</v>
      </c>
      <c r="BE94" s="17">
        <f t="shared" si="16"/>
        <v>682290</v>
      </c>
      <c r="BF94" s="17"/>
      <c r="BG94" s="235" t="s">
        <v>1136</v>
      </c>
      <c r="BH94" s="250">
        <f t="shared" si="18"/>
        <v>900</v>
      </c>
      <c r="BI94" s="250"/>
      <c r="BJ94" s="250"/>
    </row>
    <row r="95" spans="1:62" ht="21" customHeight="1" x14ac:dyDescent="0.35">
      <c r="A95">
        <v>92</v>
      </c>
      <c r="B95" s="136">
        <v>44970</v>
      </c>
      <c r="C95" s="4" t="s">
        <v>56</v>
      </c>
      <c r="D95" s="1" t="s">
        <v>162</v>
      </c>
      <c r="E95" t="s">
        <v>1092</v>
      </c>
      <c r="F95" s="6" t="s">
        <v>1125</v>
      </c>
      <c r="G95" s="6" t="s">
        <v>1144</v>
      </c>
      <c r="H95" s="235"/>
      <c r="I95" s="235" t="s">
        <v>1187</v>
      </c>
      <c r="K95" s="6">
        <v>8</v>
      </c>
      <c r="L95" s="17">
        <f t="shared" si="12"/>
        <v>89999</v>
      </c>
      <c r="M95" s="116"/>
      <c r="O95" s="17">
        <f t="shared" si="13"/>
        <v>719992</v>
      </c>
      <c r="AP95" s="6"/>
      <c r="AQ95" s="235"/>
      <c r="AR95" s="80"/>
      <c r="AT95" s="6"/>
      <c r="AU95" s="17"/>
      <c r="AY95" s="6" t="s">
        <v>1144</v>
      </c>
      <c r="AZ95" s="235" t="s">
        <v>1137</v>
      </c>
      <c r="BA95" s="235" t="s">
        <v>1187</v>
      </c>
      <c r="BB95" s="6">
        <v>8</v>
      </c>
      <c r="BC95" s="17">
        <f t="shared" si="14"/>
        <v>89999</v>
      </c>
      <c r="BD95" s="116">
        <f t="shared" si="15"/>
        <v>0.02</v>
      </c>
      <c r="BE95" s="17">
        <f t="shared" si="16"/>
        <v>718192.02</v>
      </c>
      <c r="BF95" s="17"/>
      <c r="BG95" s="235" t="s">
        <v>1137</v>
      </c>
      <c r="BH95" s="250">
        <f t="shared" si="18"/>
        <v>755</v>
      </c>
      <c r="BI95" s="250"/>
      <c r="BJ95" s="250"/>
    </row>
    <row r="96" spans="1:62" ht="21" customHeight="1" x14ac:dyDescent="0.35">
      <c r="A96">
        <v>93</v>
      </c>
      <c r="B96" s="136">
        <v>44971</v>
      </c>
      <c r="C96" s="4" t="s">
        <v>57</v>
      </c>
      <c r="D96" s="1" t="s">
        <v>162</v>
      </c>
      <c r="E96" t="s">
        <v>1092</v>
      </c>
      <c r="F96" s="6" t="s">
        <v>1126</v>
      </c>
      <c r="G96" s="6" t="s">
        <v>1149</v>
      </c>
      <c r="H96" s="235"/>
      <c r="I96" s="235" t="s">
        <v>1177</v>
      </c>
      <c r="K96" s="6">
        <v>9</v>
      </c>
      <c r="L96" s="17">
        <f t="shared" si="12"/>
        <v>195000</v>
      </c>
      <c r="M96" s="116"/>
      <c r="O96" s="17">
        <f t="shared" si="13"/>
        <v>1755000</v>
      </c>
      <c r="AP96" s="6"/>
      <c r="AQ96" s="235"/>
      <c r="AR96" s="80"/>
      <c r="AT96" s="6"/>
      <c r="AU96" s="17"/>
      <c r="AY96" s="6" t="s">
        <v>1149</v>
      </c>
      <c r="AZ96" s="235" t="s">
        <v>1136</v>
      </c>
      <c r="BA96" s="235" t="s">
        <v>1177</v>
      </c>
      <c r="BB96" s="6">
        <v>9</v>
      </c>
      <c r="BC96" s="17">
        <f t="shared" si="14"/>
        <v>195000</v>
      </c>
      <c r="BD96" s="116">
        <f t="shared" si="15"/>
        <v>0.03</v>
      </c>
      <c r="BE96" s="17">
        <f t="shared" si="16"/>
        <v>1749150</v>
      </c>
      <c r="BF96" s="17"/>
      <c r="BG96" s="235" t="s">
        <v>1136</v>
      </c>
      <c r="BH96" s="250">
        <f t="shared" si="18"/>
        <v>900</v>
      </c>
      <c r="BI96" s="250"/>
      <c r="BJ96" s="250"/>
    </row>
    <row r="97" spans="1:62" ht="21" customHeight="1" x14ac:dyDescent="0.35">
      <c r="A97">
        <v>94</v>
      </c>
      <c r="B97" s="136">
        <v>44971</v>
      </c>
      <c r="C97" s="4" t="s">
        <v>58</v>
      </c>
      <c r="D97" s="1" t="s">
        <v>163</v>
      </c>
      <c r="E97" t="s">
        <v>1092</v>
      </c>
      <c r="F97" s="6" t="s">
        <v>1127</v>
      </c>
      <c r="G97" s="6" t="s">
        <v>1150</v>
      </c>
      <c r="H97" s="235"/>
      <c r="I97" s="235" t="s">
        <v>1177</v>
      </c>
      <c r="K97" s="6">
        <v>12</v>
      </c>
      <c r="L97" s="17">
        <f t="shared" si="12"/>
        <v>195000</v>
      </c>
      <c r="M97" s="116"/>
      <c r="O97" s="17">
        <f t="shared" si="13"/>
        <v>2340000</v>
      </c>
      <c r="AP97" s="6"/>
      <c r="AQ97" s="235"/>
      <c r="AR97" s="235"/>
      <c r="AT97" s="6"/>
      <c r="AU97" s="17"/>
      <c r="AY97" s="6" t="s">
        <v>1150</v>
      </c>
      <c r="AZ97" s="235" t="s">
        <v>1136</v>
      </c>
      <c r="BA97" s="235" t="s">
        <v>1177</v>
      </c>
      <c r="BB97" s="6">
        <v>12</v>
      </c>
      <c r="BC97" s="17">
        <f t="shared" si="14"/>
        <v>195000</v>
      </c>
      <c r="BD97" s="116">
        <f t="shared" si="15"/>
        <v>0.03</v>
      </c>
      <c r="BE97" s="17">
        <f t="shared" si="16"/>
        <v>2334150</v>
      </c>
      <c r="BF97" s="17"/>
      <c r="BG97" s="235" t="s">
        <v>1136</v>
      </c>
      <c r="BH97" s="250">
        <f t="shared" si="18"/>
        <v>900</v>
      </c>
      <c r="BI97" s="250"/>
      <c r="BJ97" s="250"/>
    </row>
    <row r="98" spans="1:62" ht="21" customHeight="1" x14ac:dyDescent="0.35">
      <c r="A98">
        <v>95</v>
      </c>
      <c r="B98" s="136">
        <v>44971</v>
      </c>
      <c r="C98" s="4" t="s">
        <v>59</v>
      </c>
      <c r="D98" s="1" t="s">
        <v>162</v>
      </c>
      <c r="E98" t="s">
        <v>1092</v>
      </c>
      <c r="F98" s="6" t="s">
        <v>1103</v>
      </c>
      <c r="G98" s="6" t="s">
        <v>1144</v>
      </c>
      <c r="H98" s="235"/>
      <c r="I98" s="235" t="s">
        <v>1187</v>
      </c>
      <c r="K98" s="6">
        <v>11</v>
      </c>
      <c r="L98" s="17">
        <f t="shared" si="12"/>
        <v>89999</v>
      </c>
      <c r="M98" s="116"/>
      <c r="O98" s="17">
        <f t="shared" si="13"/>
        <v>989989</v>
      </c>
      <c r="AP98" s="6"/>
      <c r="AQ98" s="235"/>
      <c r="AR98" s="235"/>
      <c r="AT98" s="6"/>
      <c r="AU98" s="17"/>
      <c r="AY98" s="6" t="s">
        <v>1144</v>
      </c>
      <c r="AZ98" s="235" t="s">
        <v>1137</v>
      </c>
      <c r="BA98" s="235" t="s">
        <v>1187</v>
      </c>
      <c r="BB98" s="6">
        <v>11</v>
      </c>
      <c r="BC98" s="17">
        <f t="shared" si="14"/>
        <v>89999</v>
      </c>
      <c r="BD98" s="116">
        <f t="shared" si="15"/>
        <v>0.03</v>
      </c>
      <c r="BE98" s="17">
        <f t="shared" si="16"/>
        <v>987289.03</v>
      </c>
      <c r="BF98" s="17"/>
      <c r="BG98" s="235" t="s">
        <v>1137</v>
      </c>
      <c r="BH98" s="250">
        <f t="shared" si="18"/>
        <v>755</v>
      </c>
      <c r="BI98" s="250"/>
      <c r="BJ98" s="250"/>
    </row>
    <row r="99" spans="1:62" ht="21" customHeight="1" x14ac:dyDescent="0.35">
      <c r="A99">
        <v>96</v>
      </c>
      <c r="B99" s="136">
        <v>44971</v>
      </c>
      <c r="C99" s="4" t="s">
        <v>60</v>
      </c>
      <c r="D99" s="1" t="s">
        <v>163</v>
      </c>
      <c r="E99" t="s">
        <v>1092</v>
      </c>
      <c r="F99" s="6" t="s">
        <v>1128</v>
      </c>
      <c r="G99" s="6" t="s">
        <v>1153</v>
      </c>
      <c r="H99" s="235"/>
      <c r="I99" s="80" t="s">
        <v>1180</v>
      </c>
      <c r="K99" s="6">
        <v>3</v>
      </c>
      <c r="L99" s="17">
        <f t="shared" si="12"/>
        <v>75000</v>
      </c>
      <c r="M99" s="116"/>
      <c r="O99" s="17">
        <f t="shared" si="13"/>
        <v>225000</v>
      </c>
      <c r="AP99" s="6"/>
      <c r="AQ99" s="235"/>
      <c r="AR99" s="235"/>
      <c r="AT99" s="6"/>
      <c r="AU99" s="17"/>
      <c r="AY99" s="6" t="s">
        <v>1153</v>
      </c>
      <c r="AZ99" s="235" t="s">
        <v>1138</v>
      </c>
      <c r="BA99" s="80" t="s">
        <v>1180</v>
      </c>
      <c r="BB99" s="6">
        <v>3</v>
      </c>
      <c r="BC99" s="17">
        <f t="shared" si="14"/>
        <v>75000</v>
      </c>
      <c r="BD99" s="116">
        <f t="shared" si="15"/>
        <v>0.02</v>
      </c>
      <c r="BE99" s="17">
        <f t="shared" si="16"/>
        <v>223500</v>
      </c>
      <c r="BF99" s="17"/>
      <c r="BG99" s="235" t="s">
        <v>1138</v>
      </c>
      <c r="BH99" s="250">
        <f t="shared" si="18"/>
        <v>855</v>
      </c>
      <c r="BI99" s="250"/>
      <c r="BJ99" s="250"/>
    </row>
    <row r="100" spans="1:62" ht="21" customHeight="1" x14ac:dyDescent="0.35">
      <c r="A100">
        <v>97</v>
      </c>
      <c r="B100" s="136">
        <v>44971</v>
      </c>
      <c r="C100" s="4" t="s">
        <v>1008</v>
      </c>
      <c r="D100" s="1" t="s">
        <v>163</v>
      </c>
      <c r="E100" t="s">
        <v>1092</v>
      </c>
      <c r="F100" s="6" t="s">
        <v>1128</v>
      </c>
      <c r="G100" s="6" t="s">
        <v>1144</v>
      </c>
      <c r="H100" s="235"/>
      <c r="I100" s="235" t="s">
        <v>1186</v>
      </c>
      <c r="K100" s="6">
        <v>2</v>
      </c>
      <c r="L100" s="17">
        <f t="shared" ref="L100:L131" si="19">INDEX($S$40:$S$69,MATCH(I100,$R$40:$R$69,0))</f>
        <v>69999</v>
      </c>
      <c r="M100" s="116"/>
      <c r="O100" s="17">
        <f t="shared" ref="O100:O131" si="20">(K100*L100)-(L100*M100)</f>
        <v>139998</v>
      </c>
      <c r="AP100" s="6"/>
      <c r="AQ100" s="235"/>
      <c r="AR100" s="235"/>
      <c r="AT100" s="6"/>
      <c r="AU100" s="17"/>
      <c r="AY100" s="6" t="s">
        <v>1144</v>
      </c>
      <c r="AZ100" s="235" t="s">
        <v>1137</v>
      </c>
      <c r="BA100" s="235" t="s">
        <v>1186</v>
      </c>
      <c r="BB100" s="6">
        <v>2</v>
      </c>
      <c r="BC100" s="17">
        <f t="shared" ref="BC100:BC131" si="21">INDEX($S$40:$S$69,MATCH(BA100,$R$40:$R$69,0))</f>
        <v>69999</v>
      </c>
      <c r="BD100" s="116">
        <f t="shared" ref="BD100:BD131" si="22">IF(BB100&gt;8,3%,2%)</f>
        <v>0.02</v>
      </c>
      <c r="BE100" s="17">
        <f t="shared" ref="BE100:BE131" si="23">(BB100*BC100)-(BC100*BD100)</f>
        <v>138598.01999999999</v>
      </c>
      <c r="BF100" s="17"/>
      <c r="BG100" s="235" t="s">
        <v>1137</v>
      </c>
      <c r="BH100" s="250">
        <f t="shared" si="18"/>
        <v>755</v>
      </c>
      <c r="BI100" s="250"/>
      <c r="BJ100" s="250"/>
    </row>
    <row r="101" spans="1:62" ht="21" customHeight="1" x14ac:dyDescent="0.35">
      <c r="A101">
        <v>98</v>
      </c>
      <c r="B101" s="136">
        <v>44972</v>
      </c>
      <c r="C101" s="4" t="s">
        <v>1009</v>
      </c>
      <c r="D101" s="1" t="s">
        <v>162</v>
      </c>
      <c r="E101" t="s">
        <v>1092</v>
      </c>
      <c r="F101" s="6" t="s">
        <v>1129</v>
      </c>
      <c r="G101" s="6" t="s">
        <v>1152</v>
      </c>
      <c r="H101" s="235"/>
      <c r="I101" s="80" t="s">
        <v>1159</v>
      </c>
      <c r="K101" s="6">
        <v>2</v>
      </c>
      <c r="L101" s="17">
        <f t="shared" si="19"/>
        <v>75000</v>
      </c>
      <c r="M101" s="116"/>
      <c r="O101" s="17">
        <f t="shared" si="20"/>
        <v>150000</v>
      </c>
      <c r="AP101" s="6"/>
      <c r="AQ101" s="235"/>
      <c r="AR101" s="235"/>
      <c r="AT101" s="6"/>
      <c r="AU101" s="17"/>
      <c r="AY101" s="6" t="s">
        <v>1152</v>
      </c>
      <c r="AZ101" s="235" t="s">
        <v>1135</v>
      </c>
      <c r="BA101" s="80" t="s">
        <v>1159</v>
      </c>
      <c r="BB101" s="6">
        <v>2</v>
      </c>
      <c r="BC101" s="17">
        <f t="shared" si="21"/>
        <v>75000</v>
      </c>
      <c r="BD101" s="116">
        <f t="shared" si="22"/>
        <v>0.02</v>
      </c>
      <c r="BE101" s="17">
        <f t="shared" si="23"/>
        <v>148500</v>
      </c>
      <c r="BF101" s="17"/>
      <c r="BG101" s="235" t="s">
        <v>1135</v>
      </c>
      <c r="BH101" s="250">
        <f t="shared" si="18"/>
        <v>700</v>
      </c>
      <c r="BI101" s="250"/>
      <c r="BJ101" s="250"/>
    </row>
    <row r="102" spans="1:62" ht="21" customHeight="1" x14ac:dyDescent="0.35">
      <c r="A102">
        <v>99</v>
      </c>
      <c r="B102" s="136">
        <v>44972</v>
      </c>
      <c r="C102" s="4" t="s">
        <v>1010</v>
      </c>
      <c r="D102" s="1" t="s">
        <v>162</v>
      </c>
      <c r="E102" t="s">
        <v>1092</v>
      </c>
      <c r="F102" s="6" t="s">
        <v>1130</v>
      </c>
      <c r="G102" s="6" t="s">
        <v>1139</v>
      </c>
      <c r="H102" s="235"/>
      <c r="I102" s="80" t="s">
        <v>1159</v>
      </c>
      <c r="K102" s="6">
        <v>4</v>
      </c>
      <c r="L102" s="17">
        <f t="shared" si="19"/>
        <v>75000</v>
      </c>
      <c r="M102" s="116"/>
      <c r="O102" s="17">
        <f t="shared" si="20"/>
        <v>300000</v>
      </c>
      <c r="AP102" s="6"/>
      <c r="AQ102" s="235"/>
      <c r="AR102" s="80"/>
      <c r="AT102" s="6"/>
      <c r="AU102" s="17"/>
      <c r="AY102" s="6" t="s">
        <v>1139</v>
      </c>
      <c r="AZ102" s="235" t="s">
        <v>1135</v>
      </c>
      <c r="BA102" s="80" t="s">
        <v>1159</v>
      </c>
      <c r="BB102" s="6">
        <v>4</v>
      </c>
      <c r="BC102" s="17">
        <f t="shared" si="21"/>
        <v>75000</v>
      </c>
      <c r="BD102" s="116">
        <f t="shared" si="22"/>
        <v>0.02</v>
      </c>
      <c r="BE102" s="17">
        <f t="shared" si="23"/>
        <v>298500</v>
      </c>
      <c r="BF102" s="17"/>
      <c r="BG102" s="235" t="s">
        <v>1135</v>
      </c>
      <c r="BH102" s="250">
        <f t="shared" si="18"/>
        <v>700</v>
      </c>
      <c r="BI102" s="250"/>
      <c r="BJ102" s="250"/>
    </row>
    <row r="103" spans="1:62" ht="21" customHeight="1" x14ac:dyDescent="0.35">
      <c r="A103">
        <v>100</v>
      </c>
      <c r="B103" s="136">
        <v>44972</v>
      </c>
      <c r="C103" s="4" t="s">
        <v>1011</v>
      </c>
      <c r="D103" s="1" t="s">
        <v>162</v>
      </c>
      <c r="E103" t="s">
        <v>1092</v>
      </c>
      <c r="F103" s="6" t="s">
        <v>1131</v>
      </c>
      <c r="G103" s="6" t="s">
        <v>1152</v>
      </c>
      <c r="H103" s="235"/>
      <c r="I103" s="80" t="s">
        <v>1160</v>
      </c>
      <c r="K103" s="6">
        <v>4</v>
      </c>
      <c r="L103" s="17">
        <f t="shared" si="19"/>
        <v>120000</v>
      </c>
      <c r="M103" s="116"/>
      <c r="O103" s="17">
        <f t="shared" si="20"/>
        <v>480000</v>
      </c>
      <c r="AP103" s="6"/>
      <c r="AQ103" s="235"/>
      <c r="AR103" s="80"/>
      <c r="AT103" s="6"/>
      <c r="AU103" s="17"/>
      <c r="AY103" s="6" t="s">
        <v>1152</v>
      </c>
      <c r="AZ103" s="235" t="s">
        <v>1135</v>
      </c>
      <c r="BA103" s="80" t="s">
        <v>1160</v>
      </c>
      <c r="BB103" s="6">
        <v>4</v>
      </c>
      <c r="BC103" s="17">
        <f t="shared" si="21"/>
        <v>120000</v>
      </c>
      <c r="BD103" s="116">
        <f t="shared" si="22"/>
        <v>0.02</v>
      </c>
      <c r="BE103" s="17">
        <f t="shared" si="23"/>
        <v>477600</v>
      </c>
      <c r="BF103" s="17"/>
      <c r="BG103" s="235" t="s">
        <v>1135</v>
      </c>
      <c r="BH103" s="250">
        <f t="shared" si="18"/>
        <v>700</v>
      </c>
      <c r="BI103" s="250"/>
      <c r="BJ103" s="250"/>
    </row>
    <row r="104" spans="1:62" ht="21" customHeight="1" x14ac:dyDescent="0.35">
      <c r="A104">
        <v>101</v>
      </c>
      <c r="B104" s="136">
        <v>44972</v>
      </c>
      <c r="C104" s="4" t="s">
        <v>1012</v>
      </c>
      <c r="D104" s="1" t="s">
        <v>162</v>
      </c>
      <c r="E104" t="s">
        <v>1092</v>
      </c>
      <c r="F104" s="6" t="s">
        <v>1132</v>
      </c>
      <c r="G104" s="6" t="s">
        <v>1153</v>
      </c>
      <c r="H104" s="235"/>
      <c r="I104" s="80" t="s">
        <v>1182</v>
      </c>
      <c r="K104" s="6">
        <v>5</v>
      </c>
      <c r="L104" s="17">
        <f t="shared" si="19"/>
        <v>110500</v>
      </c>
      <c r="M104" s="116"/>
      <c r="O104" s="17">
        <f t="shared" si="20"/>
        <v>552500</v>
      </c>
      <c r="AP104" s="6"/>
      <c r="AQ104" s="235"/>
      <c r="AR104" s="80"/>
      <c r="AT104" s="6"/>
      <c r="AU104" s="17"/>
      <c r="AY104" s="6" t="s">
        <v>1153</v>
      </c>
      <c r="AZ104" s="235" t="s">
        <v>1138</v>
      </c>
      <c r="BA104" s="80" t="s">
        <v>1182</v>
      </c>
      <c r="BB104" s="6">
        <v>5</v>
      </c>
      <c r="BC104" s="17">
        <f t="shared" si="21"/>
        <v>110500</v>
      </c>
      <c r="BD104" s="116">
        <f t="shared" si="22"/>
        <v>0.02</v>
      </c>
      <c r="BE104" s="17">
        <f t="shared" si="23"/>
        <v>550290</v>
      </c>
      <c r="BF104" s="17"/>
      <c r="BG104" s="235" t="s">
        <v>1138</v>
      </c>
      <c r="BH104" s="250">
        <f t="shared" si="18"/>
        <v>855</v>
      </c>
      <c r="BI104" s="250"/>
      <c r="BJ104" s="250"/>
    </row>
    <row r="105" spans="1:62" ht="21" customHeight="1" x14ac:dyDescent="0.35">
      <c r="A105">
        <v>102</v>
      </c>
      <c r="B105" s="136">
        <v>44972</v>
      </c>
      <c r="C105" t="s">
        <v>1045</v>
      </c>
      <c r="D105" s="1" t="s">
        <v>162</v>
      </c>
      <c r="E105" t="s">
        <v>1092</v>
      </c>
      <c r="F105" s="6" t="s">
        <v>1103</v>
      </c>
      <c r="G105" s="6" t="s">
        <v>1153</v>
      </c>
      <c r="H105" s="235"/>
      <c r="I105" s="80" t="s">
        <v>1179</v>
      </c>
      <c r="K105" s="6">
        <v>5</v>
      </c>
      <c r="L105" s="17">
        <f t="shared" si="19"/>
        <v>85000</v>
      </c>
      <c r="M105" s="116"/>
      <c r="O105" s="17">
        <f t="shared" si="20"/>
        <v>425000</v>
      </c>
      <c r="AP105" s="6"/>
      <c r="AQ105" s="235"/>
      <c r="AR105" s="80"/>
      <c r="AT105" s="6"/>
      <c r="AU105" s="17"/>
      <c r="AY105" s="6" t="s">
        <v>1153</v>
      </c>
      <c r="AZ105" s="235" t="s">
        <v>1138</v>
      </c>
      <c r="BA105" s="80" t="s">
        <v>1179</v>
      </c>
      <c r="BB105" s="6">
        <v>5</v>
      </c>
      <c r="BC105" s="17">
        <f t="shared" si="21"/>
        <v>85000</v>
      </c>
      <c r="BD105" s="116">
        <f t="shared" si="22"/>
        <v>0.02</v>
      </c>
      <c r="BE105" s="17">
        <f t="shared" si="23"/>
        <v>423300</v>
      </c>
      <c r="BF105" s="17"/>
      <c r="BG105" s="235" t="s">
        <v>1138</v>
      </c>
      <c r="BH105" s="250">
        <f t="shared" si="18"/>
        <v>855</v>
      </c>
      <c r="BI105" s="250"/>
      <c r="BJ105" s="250"/>
    </row>
    <row r="106" spans="1:62" ht="21" customHeight="1" x14ac:dyDescent="0.35">
      <c r="A106">
        <v>103</v>
      </c>
      <c r="B106" s="136">
        <v>44972</v>
      </c>
      <c r="C106" t="s">
        <v>1046</v>
      </c>
      <c r="D106" s="1" t="s">
        <v>162</v>
      </c>
      <c r="E106" t="s">
        <v>1092</v>
      </c>
      <c r="F106" s="6" t="s">
        <v>1116</v>
      </c>
      <c r="G106" s="6" t="s">
        <v>1152</v>
      </c>
      <c r="H106" s="235"/>
      <c r="I106" s="80" t="s">
        <v>1159</v>
      </c>
      <c r="K106" s="6">
        <v>7</v>
      </c>
      <c r="L106" s="17">
        <f t="shared" si="19"/>
        <v>75000</v>
      </c>
      <c r="M106" s="116"/>
      <c r="O106" s="17">
        <f t="shared" si="20"/>
        <v>525000</v>
      </c>
      <c r="AP106" s="6"/>
      <c r="AQ106" s="235"/>
      <c r="AR106" s="80"/>
      <c r="AT106" s="6"/>
      <c r="AU106" s="17"/>
      <c r="AY106" s="6" t="s">
        <v>1152</v>
      </c>
      <c r="AZ106" s="235" t="s">
        <v>1135</v>
      </c>
      <c r="BA106" s="80" t="s">
        <v>1159</v>
      </c>
      <c r="BB106" s="6">
        <v>7</v>
      </c>
      <c r="BC106" s="17">
        <f t="shared" si="21"/>
        <v>75000</v>
      </c>
      <c r="BD106" s="116">
        <f t="shared" si="22"/>
        <v>0.02</v>
      </c>
      <c r="BE106" s="17">
        <f t="shared" si="23"/>
        <v>523500</v>
      </c>
      <c r="BF106" s="17"/>
      <c r="BG106" s="235" t="s">
        <v>1135</v>
      </c>
      <c r="BH106" s="250">
        <f t="shared" si="18"/>
        <v>700</v>
      </c>
      <c r="BI106" s="250"/>
      <c r="BJ106" s="250"/>
    </row>
    <row r="107" spans="1:62" ht="21" customHeight="1" x14ac:dyDescent="0.35">
      <c r="A107">
        <v>104</v>
      </c>
      <c r="B107" s="136">
        <v>44973</v>
      </c>
      <c r="C107" t="s">
        <v>1047</v>
      </c>
      <c r="D107" s="1" t="s">
        <v>163</v>
      </c>
      <c r="E107" t="s">
        <v>1092</v>
      </c>
      <c r="F107" s="6" t="s">
        <v>1123</v>
      </c>
      <c r="G107" s="6" t="s">
        <v>1144</v>
      </c>
      <c r="H107" s="235"/>
      <c r="I107" s="235" t="s">
        <v>1187</v>
      </c>
      <c r="K107" s="6">
        <v>8</v>
      </c>
      <c r="L107" s="17">
        <f t="shared" si="19"/>
        <v>89999</v>
      </c>
      <c r="M107" s="116"/>
      <c r="O107" s="17">
        <f t="shared" si="20"/>
        <v>719992</v>
      </c>
      <c r="AP107" s="6"/>
      <c r="AQ107" s="235"/>
      <c r="AR107" s="80"/>
      <c r="AT107" s="6"/>
      <c r="AU107" s="17"/>
      <c r="AY107" s="6" t="s">
        <v>1144</v>
      </c>
      <c r="AZ107" s="235" t="s">
        <v>1137</v>
      </c>
      <c r="BA107" s="235" t="s">
        <v>1187</v>
      </c>
      <c r="BB107" s="6">
        <v>8</v>
      </c>
      <c r="BC107" s="17">
        <f t="shared" si="21"/>
        <v>89999</v>
      </c>
      <c r="BD107" s="116">
        <f t="shared" si="22"/>
        <v>0.02</v>
      </c>
      <c r="BE107" s="17">
        <f t="shared" si="23"/>
        <v>718192.02</v>
      </c>
      <c r="BF107" s="17"/>
      <c r="BG107" s="235" t="s">
        <v>1137</v>
      </c>
      <c r="BH107" s="250">
        <f t="shared" si="18"/>
        <v>755</v>
      </c>
      <c r="BI107" s="250"/>
      <c r="BJ107" s="250"/>
    </row>
    <row r="108" spans="1:62" ht="21" customHeight="1" x14ac:dyDescent="0.35">
      <c r="A108">
        <v>105</v>
      </c>
      <c r="B108" s="136">
        <v>44973</v>
      </c>
      <c r="C108" t="s">
        <v>1048</v>
      </c>
      <c r="D108" s="1" t="s">
        <v>163</v>
      </c>
      <c r="E108" t="s">
        <v>1092</v>
      </c>
      <c r="F108" s="6" t="s">
        <v>1124</v>
      </c>
      <c r="G108" s="6" t="s">
        <v>1153</v>
      </c>
      <c r="H108" s="235"/>
      <c r="I108" s="80" t="s">
        <v>1182</v>
      </c>
      <c r="K108" s="6">
        <v>8</v>
      </c>
      <c r="L108" s="17">
        <f t="shared" si="19"/>
        <v>110500</v>
      </c>
      <c r="M108" s="116"/>
      <c r="O108" s="17">
        <f t="shared" si="20"/>
        <v>884000</v>
      </c>
      <c r="AP108" s="6"/>
      <c r="AQ108" s="235"/>
      <c r="AR108" s="80"/>
      <c r="AT108" s="6"/>
      <c r="AU108" s="17"/>
      <c r="AY108" s="6" t="s">
        <v>1153</v>
      </c>
      <c r="AZ108" s="235" t="s">
        <v>1138</v>
      </c>
      <c r="BA108" s="80" t="s">
        <v>1182</v>
      </c>
      <c r="BB108" s="6">
        <v>8</v>
      </c>
      <c r="BC108" s="17">
        <f t="shared" si="21"/>
        <v>110500</v>
      </c>
      <c r="BD108" s="116">
        <f t="shared" si="22"/>
        <v>0.02</v>
      </c>
      <c r="BE108" s="17">
        <f t="shared" si="23"/>
        <v>881790</v>
      </c>
      <c r="BF108" s="17"/>
      <c r="BG108" s="235" t="s">
        <v>1138</v>
      </c>
      <c r="BH108" s="250">
        <f t="shared" si="18"/>
        <v>855</v>
      </c>
      <c r="BI108" s="250"/>
      <c r="BJ108" s="250"/>
    </row>
    <row r="109" spans="1:62" ht="21" customHeight="1" x14ac:dyDescent="0.35">
      <c r="A109">
        <v>106</v>
      </c>
      <c r="B109" s="136">
        <v>44973</v>
      </c>
      <c r="C109" t="s">
        <v>1049</v>
      </c>
      <c r="D109" s="1" t="s">
        <v>163</v>
      </c>
      <c r="E109" t="s">
        <v>1092</v>
      </c>
      <c r="F109" s="6" t="s">
        <v>1125</v>
      </c>
      <c r="G109" s="6" t="s">
        <v>1144</v>
      </c>
      <c r="H109" s="235"/>
      <c r="I109" s="235" t="s">
        <v>1187</v>
      </c>
      <c r="K109" s="6">
        <v>7</v>
      </c>
      <c r="L109" s="17">
        <f t="shared" si="19"/>
        <v>89999</v>
      </c>
      <c r="M109" s="116"/>
      <c r="O109" s="17">
        <f t="shared" si="20"/>
        <v>629993</v>
      </c>
      <c r="AP109" s="6"/>
      <c r="AQ109" s="235"/>
      <c r="AR109" s="80"/>
      <c r="AT109" s="6"/>
      <c r="AU109" s="17"/>
      <c r="AY109" s="6" t="s">
        <v>1144</v>
      </c>
      <c r="AZ109" s="235" t="s">
        <v>1137</v>
      </c>
      <c r="BA109" s="235" t="s">
        <v>1187</v>
      </c>
      <c r="BB109" s="6">
        <v>7</v>
      </c>
      <c r="BC109" s="17">
        <f t="shared" si="21"/>
        <v>89999</v>
      </c>
      <c r="BD109" s="116">
        <f t="shared" si="22"/>
        <v>0.02</v>
      </c>
      <c r="BE109" s="17">
        <f t="shared" si="23"/>
        <v>628193.02</v>
      </c>
      <c r="BF109" s="17"/>
      <c r="BG109" s="235" t="s">
        <v>1137</v>
      </c>
      <c r="BH109" s="250">
        <f t="shared" si="18"/>
        <v>755</v>
      </c>
      <c r="BI109" s="250"/>
      <c r="BJ109" s="250"/>
    </row>
    <row r="110" spans="1:62" ht="21" customHeight="1" x14ac:dyDescent="0.35">
      <c r="A110">
        <v>107</v>
      </c>
      <c r="B110" s="136">
        <v>44974</v>
      </c>
      <c r="C110" t="s">
        <v>1050</v>
      </c>
      <c r="D110" s="1" t="s">
        <v>163</v>
      </c>
      <c r="E110" t="s">
        <v>1092</v>
      </c>
      <c r="F110" s="6" t="s">
        <v>1126</v>
      </c>
      <c r="G110" s="6" t="s">
        <v>1144</v>
      </c>
      <c r="H110" s="235"/>
      <c r="I110" s="235" t="s">
        <v>1187</v>
      </c>
      <c r="K110" s="6">
        <v>7</v>
      </c>
      <c r="L110" s="17">
        <f t="shared" si="19"/>
        <v>89999</v>
      </c>
      <c r="M110" s="116"/>
      <c r="O110" s="17">
        <f t="shared" si="20"/>
        <v>629993</v>
      </c>
      <c r="AP110" s="6"/>
      <c r="AQ110" s="235"/>
      <c r="AR110" s="80"/>
      <c r="AT110" s="6"/>
      <c r="AU110" s="17"/>
      <c r="AY110" s="6" t="s">
        <v>1144</v>
      </c>
      <c r="AZ110" s="235" t="s">
        <v>1137</v>
      </c>
      <c r="BA110" s="235" t="s">
        <v>1187</v>
      </c>
      <c r="BB110" s="6">
        <v>7</v>
      </c>
      <c r="BC110" s="17">
        <f t="shared" si="21"/>
        <v>89999</v>
      </c>
      <c r="BD110" s="116">
        <f t="shared" si="22"/>
        <v>0.02</v>
      </c>
      <c r="BE110" s="17">
        <f t="shared" si="23"/>
        <v>628193.02</v>
      </c>
      <c r="BF110" s="17"/>
      <c r="BG110" s="235" t="s">
        <v>1137</v>
      </c>
      <c r="BH110" s="250">
        <f t="shared" si="18"/>
        <v>755</v>
      </c>
      <c r="BI110" s="250"/>
      <c r="BJ110" s="250"/>
    </row>
    <row r="111" spans="1:62" ht="21" customHeight="1" x14ac:dyDescent="0.35">
      <c r="A111">
        <v>108</v>
      </c>
      <c r="B111" s="136">
        <v>44974</v>
      </c>
      <c r="C111" t="s">
        <v>1051</v>
      </c>
      <c r="D111" s="1" t="s">
        <v>162</v>
      </c>
      <c r="E111" t="s">
        <v>1096</v>
      </c>
      <c r="F111" s="6" t="s">
        <v>1127</v>
      </c>
      <c r="G111" s="6" t="s">
        <v>1144</v>
      </c>
      <c r="H111" s="235"/>
      <c r="I111" s="235" t="s">
        <v>1187</v>
      </c>
      <c r="K111" s="6">
        <v>5</v>
      </c>
      <c r="L111" s="17">
        <f t="shared" si="19"/>
        <v>89999</v>
      </c>
      <c r="M111" s="116"/>
      <c r="O111" s="17">
        <f t="shared" si="20"/>
        <v>449995</v>
      </c>
      <c r="AP111" s="6"/>
      <c r="AQ111" s="235"/>
      <c r="AR111" s="80"/>
      <c r="AT111" s="6"/>
      <c r="AU111" s="17"/>
      <c r="AY111" s="6" t="s">
        <v>1144</v>
      </c>
      <c r="AZ111" s="235" t="s">
        <v>1137</v>
      </c>
      <c r="BA111" s="235" t="s">
        <v>1187</v>
      </c>
      <c r="BB111" s="6">
        <v>5</v>
      </c>
      <c r="BC111" s="17">
        <f t="shared" si="21"/>
        <v>89999</v>
      </c>
      <c r="BD111" s="116">
        <f t="shared" si="22"/>
        <v>0.02</v>
      </c>
      <c r="BE111" s="17">
        <f t="shared" si="23"/>
        <v>448195.02</v>
      </c>
      <c r="BF111" s="17"/>
      <c r="BG111" s="235" t="s">
        <v>1137</v>
      </c>
      <c r="BH111" s="250">
        <f t="shared" si="18"/>
        <v>755</v>
      </c>
      <c r="BI111" s="250"/>
      <c r="BJ111" s="250"/>
    </row>
    <row r="112" spans="1:62" ht="21" customHeight="1" x14ac:dyDescent="0.35">
      <c r="A112">
        <v>109</v>
      </c>
      <c r="B112" s="136">
        <v>44974</v>
      </c>
      <c r="C112" t="s">
        <v>1052</v>
      </c>
      <c r="D112" s="1" t="s">
        <v>162</v>
      </c>
      <c r="E112" t="s">
        <v>1096</v>
      </c>
      <c r="F112" s="6" t="s">
        <v>1103</v>
      </c>
      <c r="G112" s="6" t="s">
        <v>1152</v>
      </c>
      <c r="H112" s="235"/>
      <c r="I112" s="80" t="s">
        <v>1159</v>
      </c>
      <c r="K112" s="6">
        <v>4</v>
      </c>
      <c r="L112" s="17">
        <f t="shared" si="19"/>
        <v>75000</v>
      </c>
      <c r="M112" s="116"/>
      <c r="O112" s="17">
        <f t="shared" si="20"/>
        <v>300000</v>
      </c>
      <c r="AP112" s="6"/>
      <c r="AQ112" s="235"/>
      <c r="AR112" s="80"/>
      <c r="AT112" s="6"/>
      <c r="AU112" s="17"/>
      <c r="AY112" s="6" t="s">
        <v>1152</v>
      </c>
      <c r="AZ112" s="235" t="s">
        <v>1135</v>
      </c>
      <c r="BA112" s="80" t="s">
        <v>1159</v>
      </c>
      <c r="BB112" s="6">
        <v>4</v>
      </c>
      <c r="BC112" s="17">
        <f t="shared" si="21"/>
        <v>75000</v>
      </c>
      <c r="BD112" s="116">
        <f t="shared" si="22"/>
        <v>0.02</v>
      </c>
      <c r="BE112" s="17">
        <f t="shared" si="23"/>
        <v>298500</v>
      </c>
      <c r="BF112" s="17"/>
      <c r="BG112" s="235" t="s">
        <v>1135</v>
      </c>
      <c r="BH112" s="250">
        <f t="shared" si="18"/>
        <v>700</v>
      </c>
      <c r="BI112" s="250"/>
      <c r="BJ112" s="250"/>
    </row>
    <row r="113" spans="1:62" ht="21" customHeight="1" x14ac:dyDescent="0.35">
      <c r="A113">
        <v>110</v>
      </c>
      <c r="B113" s="136">
        <v>44974</v>
      </c>
      <c r="C113" t="s">
        <v>1053</v>
      </c>
      <c r="D113" s="1" t="s">
        <v>163</v>
      </c>
      <c r="E113" t="s">
        <v>1093</v>
      </c>
      <c r="F113" s="6" t="s">
        <v>1128</v>
      </c>
      <c r="G113" s="6" t="s">
        <v>1152</v>
      </c>
      <c r="H113" s="235"/>
      <c r="I113" s="80" t="s">
        <v>1170</v>
      </c>
      <c r="K113" s="6">
        <v>6</v>
      </c>
      <c r="L113" s="17">
        <f t="shared" si="19"/>
        <v>55000</v>
      </c>
      <c r="M113" s="116"/>
      <c r="O113" s="17">
        <f t="shared" si="20"/>
        <v>330000</v>
      </c>
      <c r="AP113" s="6"/>
      <c r="AQ113" s="235"/>
      <c r="AR113" s="80"/>
      <c r="AT113" s="6"/>
      <c r="AU113" s="17"/>
      <c r="AY113" s="6" t="s">
        <v>1152</v>
      </c>
      <c r="AZ113" s="235" t="s">
        <v>1135</v>
      </c>
      <c r="BA113" s="80" t="s">
        <v>1170</v>
      </c>
      <c r="BB113" s="6">
        <v>6</v>
      </c>
      <c r="BC113" s="17">
        <f t="shared" si="21"/>
        <v>55000</v>
      </c>
      <c r="BD113" s="116">
        <f t="shared" si="22"/>
        <v>0.02</v>
      </c>
      <c r="BE113" s="17">
        <f t="shared" si="23"/>
        <v>328900</v>
      </c>
      <c r="BF113" s="17"/>
      <c r="BG113" s="235" t="s">
        <v>1135</v>
      </c>
      <c r="BH113" s="250">
        <f t="shared" si="18"/>
        <v>700</v>
      </c>
      <c r="BI113" s="250"/>
      <c r="BJ113" s="250"/>
    </row>
    <row r="114" spans="1:62" ht="21" customHeight="1" x14ac:dyDescent="0.35">
      <c r="A114">
        <v>111</v>
      </c>
      <c r="B114" s="136">
        <v>44974</v>
      </c>
      <c r="C114" t="s">
        <v>1054</v>
      </c>
      <c r="D114" s="1" t="s">
        <v>163</v>
      </c>
      <c r="E114" t="s">
        <v>1096</v>
      </c>
      <c r="F114" s="6" t="s">
        <v>1128</v>
      </c>
      <c r="G114" s="6" t="s">
        <v>1152</v>
      </c>
      <c r="H114" s="235"/>
      <c r="I114" s="80" t="s">
        <v>1170</v>
      </c>
      <c r="K114" s="6">
        <v>8</v>
      </c>
      <c r="L114" s="17">
        <f t="shared" si="19"/>
        <v>55000</v>
      </c>
      <c r="M114" s="116"/>
      <c r="O114" s="17">
        <f t="shared" si="20"/>
        <v>440000</v>
      </c>
      <c r="AP114" s="6"/>
      <c r="AQ114" s="235"/>
      <c r="AR114" s="235"/>
      <c r="AT114" s="6"/>
      <c r="AU114" s="17"/>
      <c r="AY114" s="6" t="s">
        <v>1152</v>
      </c>
      <c r="AZ114" s="235" t="s">
        <v>1135</v>
      </c>
      <c r="BA114" s="80" t="s">
        <v>1170</v>
      </c>
      <c r="BB114" s="6">
        <v>8</v>
      </c>
      <c r="BC114" s="17">
        <f t="shared" si="21"/>
        <v>55000</v>
      </c>
      <c r="BD114" s="116">
        <f t="shared" si="22"/>
        <v>0.02</v>
      </c>
      <c r="BE114" s="17">
        <f t="shared" si="23"/>
        <v>438900</v>
      </c>
      <c r="BF114" s="17"/>
      <c r="BG114" s="235" t="s">
        <v>1135</v>
      </c>
      <c r="BH114" s="250">
        <f t="shared" si="18"/>
        <v>700</v>
      </c>
      <c r="BI114" s="250"/>
      <c r="BJ114" s="250"/>
    </row>
    <row r="115" spans="1:62" ht="21" customHeight="1" x14ac:dyDescent="0.35">
      <c r="A115">
        <v>112</v>
      </c>
      <c r="B115" s="136">
        <v>44974</v>
      </c>
      <c r="C115" t="s">
        <v>1055</v>
      </c>
      <c r="D115" s="1" t="s">
        <v>162</v>
      </c>
      <c r="E115" t="s">
        <v>1096</v>
      </c>
      <c r="F115" s="6" t="s">
        <v>1129</v>
      </c>
      <c r="G115" s="6" t="s">
        <v>1149</v>
      </c>
      <c r="H115" s="235"/>
      <c r="I115" s="235" t="s">
        <v>1175</v>
      </c>
      <c r="K115" s="6">
        <v>8</v>
      </c>
      <c r="L115" s="17">
        <f t="shared" si="19"/>
        <v>115000</v>
      </c>
      <c r="M115" s="116"/>
      <c r="O115" s="17">
        <f t="shared" si="20"/>
        <v>920000</v>
      </c>
      <c r="AP115" s="6"/>
      <c r="AQ115" s="235"/>
      <c r="AR115" s="235"/>
      <c r="AT115" s="6"/>
      <c r="AU115" s="17"/>
      <c r="AY115" s="6" t="s">
        <v>1149</v>
      </c>
      <c r="AZ115" s="235" t="s">
        <v>1136</v>
      </c>
      <c r="BA115" s="235" t="s">
        <v>1175</v>
      </c>
      <c r="BB115" s="6">
        <v>8</v>
      </c>
      <c r="BC115" s="17">
        <f t="shared" si="21"/>
        <v>115000</v>
      </c>
      <c r="BD115" s="116">
        <f t="shared" si="22"/>
        <v>0.02</v>
      </c>
      <c r="BE115" s="17">
        <f t="shared" si="23"/>
        <v>917700</v>
      </c>
      <c r="BF115" s="17"/>
      <c r="BG115" s="235" t="s">
        <v>1136</v>
      </c>
      <c r="BH115" s="250">
        <f t="shared" si="18"/>
        <v>900</v>
      </c>
      <c r="BI115" s="250"/>
      <c r="BJ115" s="250"/>
    </row>
    <row r="116" spans="1:62" ht="21" customHeight="1" x14ac:dyDescent="0.35">
      <c r="A116">
        <v>113</v>
      </c>
      <c r="B116" s="136">
        <v>44975</v>
      </c>
      <c r="C116" t="s">
        <v>1056</v>
      </c>
      <c r="D116" s="1" t="s">
        <v>162</v>
      </c>
      <c r="E116" t="s">
        <v>1093</v>
      </c>
      <c r="F116" s="6" t="s">
        <v>1130</v>
      </c>
      <c r="G116" s="6" t="s">
        <v>1150</v>
      </c>
      <c r="H116" s="235"/>
      <c r="I116" s="235" t="s">
        <v>1175</v>
      </c>
      <c r="K116" s="6">
        <v>9</v>
      </c>
      <c r="L116" s="17">
        <f t="shared" si="19"/>
        <v>115000</v>
      </c>
      <c r="M116" s="116"/>
      <c r="O116" s="17">
        <f t="shared" si="20"/>
        <v>1035000</v>
      </c>
      <c r="AP116" s="6"/>
      <c r="AQ116" s="235"/>
      <c r="AR116" s="235"/>
      <c r="AT116" s="6"/>
      <c r="AU116" s="17"/>
      <c r="AY116" s="6" t="s">
        <v>1150</v>
      </c>
      <c r="AZ116" s="235" t="s">
        <v>1136</v>
      </c>
      <c r="BA116" s="235" t="s">
        <v>1175</v>
      </c>
      <c r="BB116" s="6">
        <v>9</v>
      </c>
      <c r="BC116" s="17">
        <f t="shared" si="21"/>
        <v>115000</v>
      </c>
      <c r="BD116" s="116">
        <f t="shared" si="22"/>
        <v>0.03</v>
      </c>
      <c r="BE116" s="17">
        <f t="shared" si="23"/>
        <v>1031550</v>
      </c>
      <c r="BF116" s="17"/>
      <c r="BG116" s="235" t="s">
        <v>1136</v>
      </c>
      <c r="BH116" s="250">
        <f t="shared" si="18"/>
        <v>900</v>
      </c>
      <c r="BI116" s="250"/>
      <c r="BJ116" s="250"/>
    </row>
    <row r="117" spans="1:62" ht="21" customHeight="1" x14ac:dyDescent="0.35">
      <c r="A117">
        <v>114</v>
      </c>
      <c r="B117" s="136">
        <v>44975</v>
      </c>
      <c r="C117" t="s">
        <v>1057</v>
      </c>
      <c r="D117" s="1" t="s">
        <v>162</v>
      </c>
      <c r="E117" t="s">
        <v>1096</v>
      </c>
      <c r="F117" s="6" t="s">
        <v>1131</v>
      </c>
      <c r="G117" s="6" t="s">
        <v>1153</v>
      </c>
      <c r="H117" s="235"/>
      <c r="I117" s="80" t="s">
        <v>1182</v>
      </c>
      <c r="K117" s="6">
        <v>11</v>
      </c>
      <c r="L117" s="17">
        <f t="shared" si="19"/>
        <v>110500</v>
      </c>
      <c r="M117" s="116"/>
      <c r="O117" s="17">
        <f t="shared" si="20"/>
        <v>1215500</v>
      </c>
      <c r="AP117" s="6"/>
      <c r="AQ117" s="235"/>
      <c r="AR117" s="235"/>
      <c r="AT117" s="6"/>
      <c r="AU117" s="17"/>
      <c r="AY117" s="6" t="s">
        <v>1153</v>
      </c>
      <c r="AZ117" s="235" t="s">
        <v>1138</v>
      </c>
      <c r="BA117" s="80" t="s">
        <v>1182</v>
      </c>
      <c r="BB117" s="6">
        <v>11</v>
      </c>
      <c r="BC117" s="17">
        <f t="shared" si="21"/>
        <v>110500</v>
      </c>
      <c r="BD117" s="116">
        <f t="shared" si="22"/>
        <v>0.03</v>
      </c>
      <c r="BE117" s="17">
        <f t="shared" si="23"/>
        <v>1212185</v>
      </c>
      <c r="BF117" s="17"/>
      <c r="BG117" s="235" t="s">
        <v>1138</v>
      </c>
      <c r="BH117" s="250">
        <f t="shared" si="18"/>
        <v>855</v>
      </c>
      <c r="BI117" s="250"/>
      <c r="BJ117" s="250"/>
    </row>
    <row r="118" spans="1:62" ht="21" customHeight="1" x14ac:dyDescent="0.35">
      <c r="A118">
        <v>115</v>
      </c>
      <c r="B118" s="136">
        <v>44975</v>
      </c>
      <c r="C118" t="s">
        <v>1058</v>
      </c>
      <c r="D118" s="1" t="s">
        <v>162</v>
      </c>
      <c r="E118" t="s">
        <v>1093</v>
      </c>
      <c r="F118" s="6" t="s">
        <v>1132</v>
      </c>
      <c r="G118" s="6" t="s">
        <v>1149</v>
      </c>
      <c r="H118" s="235"/>
      <c r="I118" s="235" t="s">
        <v>1176</v>
      </c>
      <c r="K118" s="6">
        <v>10</v>
      </c>
      <c r="L118" s="17">
        <f t="shared" si="19"/>
        <v>45500</v>
      </c>
      <c r="M118" s="116"/>
      <c r="O118" s="17">
        <f t="shared" si="20"/>
        <v>455000</v>
      </c>
      <c r="AP118" s="6"/>
      <c r="AQ118" s="235"/>
      <c r="AR118" s="235"/>
      <c r="AT118" s="6"/>
      <c r="AU118" s="17"/>
      <c r="AY118" s="6" t="s">
        <v>1149</v>
      </c>
      <c r="AZ118" s="235" t="s">
        <v>1136</v>
      </c>
      <c r="BA118" s="235" t="s">
        <v>1176</v>
      </c>
      <c r="BB118" s="6">
        <v>10</v>
      </c>
      <c r="BC118" s="17">
        <f t="shared" si="21"/>
        <v>45500</v>
      </c>
      <c r="BD118" s="116">
        <f t="shared" si="22"/>
        <v>0.03</v>
      </c>
      <c r="BE118" s="17">
        <f t="shared" si="23"/>
        <v>453635</v>
      </c>
      <c r="BF118" s="17"/>
      <c r="BG118" s="235" t="s">
        <v>1136</v>
      </c>
      <c r="BH118" s="250">
        <f t="shared" si="18"/>
        <v>900</v>
      </c>
      <c r="BI118" s="250"/>
      <c r="BJ118" s="250"/>
    </row>
    <row r="119" spans="1:62" ht="21" customHeight="1" x14ac:dyDescent="0.35">
      <c r="A119">
        <v>116</v>
      </c>
      <c r="B119" s="136">
        <v>44976</v>
      </c>
      <c r="C119" t="s">
        <v>1059</v>
      </c>
      <c r="D119" s="1" t="s">
        <v>162</v>
      </c>
      <c r="E119" t="s">
        <v>1096</v>
      </c>
      <c r="F119" s="6" t="s">
        <v>1133</v>
      </c>
      <c r="G119" s="6" t="s">
        <v>1139</v>
      </c>
      <c r="H119" s="235"/>
      <c r="I119" s="80" t="s">
        <v>1160</v>
      </c>
      <c r="K119" s="6">
        <v>9</v>
      </c>
      <c r="L119" s="17">
        <f t="shared" si="19"/>
        <v>120000</v>
      </c>
      <c r="M119" s="116"/>
      <c r="O119" s="17">
        <f t="shared" si="20"/>
        <v>1080000</v>
      </c>
      <c r="AP119" s="6"/>
      <c r="AQ119" s="235"/>
      <c r="AR119" s="235"/>
      <c r="AT119" s="6"/>
      <c r="AU119" s="17"/>
      <c r="AY119" s="6" t="s">
        <v>1139</v>
      </c>
      <c r="AZ119" s="235" t="s">
        <v>1135</v>
      </c>
      <c r="BA119" s="80" t="s">
        <v>1160</v>
      </c>
      <c r="BB119" s="6">
        <v>9</v>
      </c>
      <c r="BC119" s="17">
        <f t="shared" si="21"/>
        <v>120000</v>
      </c>
      <c r="BD119" s="116">
        <f t="shared" si="22"/>
        <v>0.03</v>
      </c>
      <c r="BE119" s="17">
        <f t="shared" si="23"/>
        <v>1076400</v>
      </c>
      <c r="BF119" s="17"/>
      <c r="BG119" s="235" t="s">
        <v>1135</v>
      </c>
      <c r="BH119" s="250">
        <f t="shared" si="18"/>
        <v>700</v>
      </c>
      <c r="BI119" s="250"/>
      <c r="BJ119" s="250"/>
    </row>
    <row r="120" spans="1:62" ht="21" customHeight="1" x14ac:dyDescent="0.35">
      <c r="A120">
        <v>117</v>
      </c>
      <c r="B120" s="136">
        <v>44976</v>
      </c>
      <c r="C120" t="s">
        <v>1060</v>
      </c>
      <c r="D120" s="1" t="s">
        <v>162</v>
      </c>
      <c r="E120" t="s">
        <v>1095</v>
      </c>
      <c r="F120" s="6" t="s">
        <v>1113</v>
      </c>
      <c r="G120" s="6" t="s">
        <v>1151</v>
      </c>
      <c r="H120" s="235"/>
      <c r="I120" s="80" t="s">
        <v>1159</v>
      </c>
      <c r="K120" s="6">
        <v>5</v>
      </c>
      <c r="L120" s="17">
        <f t="shared" si="19"/>
        <v>75000</v>
      </c>
      <c r="M120" s="116"/>
      <c r="O120" s="17">
        <f t="shared" si="20"/>
        <v>375000</v>
      </c>
      <c r="AP120" s="6"/>
      <c r="AQ120" s="235"/>
      <c r="AR120" s="80"/>
      <c r="AT120" s="6"/>
      <c r="AU120" s="17"/>
      <c r="AY120" s="6" t="s">
        <v>1151</v>
      </c>
      <c r="AZ120" s="235" t="s">
        <v>1135</v>
      </c>
      <c r="BA120" s="80" t="s">
        <v>1159</v>
      </c>
      <c r="BB120" s="6">
        <v>5</v>
      </c>
      <c r="BC120" s="17">
        <f t="shared" si="21"/>
        <v>75000</v>
      </c>
      <c r="BD120" s="116">
        <f t="shared" si="22"/>
        <v>0.02</v>
      </c>
      <c r="BE120" s="17">
        <f t="shared" si="23"/>
        <v>373500</v>
      </c>
      <c r="BF120" s="17"/>
      <c r="BG120" s="235" t="s">
        <v>1135</v>
      </c>
      <c r="BH120" s="250">
        <f t="shared" si="18"/>
        <v>700</v>
      </c>
      <c r="BI120" s="250"/>
      <c r="BJ120" s="250"/>
    </row>
    <row r="121" spans="1:62" ht="21" customHeight="1" x14ac:dyDescent="0.35">
      <c r="A121">
        <v>118</v>
      </c>
      <c r="B121" s="136">
        <v>44976</v>
      </c>
      <c r="C121" t="s">
        <v>1061</v>
      </c>
      <c r="D121" s="1" t="s">
        <v>162</v>
      </c>
      <c r="E121" t="s">
        <v>1095</v>
      </c>
      <c r="F121" s="6" t="s">
        <v>1114</v>
      </c>
      <c r="G121" s="6" t="s">
        <v>1152</v>
      </c>
      <c r="H121" s="235"/>
      <c r="I121" s="80" t="s">
        <v>1170</v>
      </c>
      <c r="K121" s="6">
        <v>5</v>
      </c>
      <c r="L121" s="17">
        <f t="shared" si="19"/>
        <v>55000</v>
      </c>
      <c r="M121" s="116"/>
      <c r="O121" s="17">
        <f t="shared" si="20"/>
        <v>275000</v>
      </c>
      <c r="AP121" s="6"/>
      <c r="AQ121" s="235"/>
      <c r="AR121" s="235"/>
      <c r="AT121" s="6"/>
      <c r="AU121" s="17"/>
      <c r="AY121" s="6" t="s">
        <v>1152</v>
      </c>
      <c r="AZ121" s="235" t="s">
        <v>1135</v>
      </c>
      <c r="BA121" s="80" t="s">
        <v>1170</v>
      </c>
      <c r="BB121" s="6">
        <v>5</v>
      </c>
      <c r="BC121" s="17">
        <f t="shared" si="21"/>
        <v>55000</v>
      </c>
      <c r="BD121" s="116">
        <f t="shared" si="22"/>
        <v>0.02</v>
      </c>
      <c r="BE121" s="17">
        <f t="shared" si="23"/>
        <v>273900</v>
      </c>
      <c r="BF121" s="17"/>
      <c r="BG121" s="235" t="s">
        <v>1135</v>
      </c>
      <c r="BH121" s="250">
        <f t="shared" si="18"/>
        <v>700</v>
      </c>
      <c r="BI121" s="250"/>
      <c r="BJ121" s="250"/>
    </row>
    <row r="122" spans="1:62" ht="21" customHeight="1" x14ac:dyDescent="0.35">
      <c r="A122">
        <v>119</v>
      </c>
      <c r="B122" s="136">
        <v>44976</v>
      </c>
      <c r="C122" t="s">
        <v>1062</v>
      </c>
      <c r="D122" s="1" t="s">
        <v>162</v>
      </c>
      <c r="E122" t="s">
        <v>1095</v>
      </c>
      <c r="F122" s="6" t="s">
        <v>1103</v>
      </c>
      <c r="G122" s="6" t="s">
        <v>1142</v>
      </c>
      <c r="H122" s="235"/>
      <c r="I122" s="80" t="s">
        <v>1182</v>
      </c>
      <c r="K122" s="6">
        <v>3</v>
      </c>
      <c r="L122" s="17">
        <f t="shared" si="19"/>
        <v>110500</v>
      </c>
      <c r="M122" s="116"/>
      <c r="O122" s="17">
        <f t="shared" si="20"/>
        <v>331500</v>
      </c>
      <c r="AP122" s="6"/>
      <c r="AQ122" s="235"/>
      <c r="AR122" s="235"/>
      <c r="AT122" s="6"/>
      <c r="AU122" s="17"/>
      <c r="AY122" s="6" t="s">
        <v>1142</v>
      </c>
      <c r="AZ122" s="235" t="s">
        <v>1138</v>
      </c>
      <c r="BA122" s="80" t="s">
        <v>1182</v>
      </c>
      <c r="BB122" s="6">
        <v>3</v>
      </c>
      <c r="BC122" s="17">
        <f t="shared" si="21"/>
        <v>110500</v>
      </c>
      <c r="BD122" s="116">
        <f t="shared" si="22"/>
        <v>0.02</v>
      </c>
      <c r="BE122" s="17">
        <f t="shared" si="23"/>
        <v>329290</v>
      </c>
      <c r="BF122" s="17"/>
      <c r="BG122" s="235" t="s">
        <v>1138</v>
      </c>
      <c r="BH122" s="250">
        <f t="shared" ref="BH122:BH153" si="24">IF(AZ122="Food Product",700,IF(AZ122="Non Food Product",900,IF(AZ122="General Merchandise Product",855,755)))</f>
        <v>855</v>
      </c>
      <c r="BI122" s="250"/>
      <c r="BJ122" s="250"/>
    </row>
    <row r="123" spans="1:62" ht="21" customHeight="1" x14ac:dyDescent="0.35">
      <c r="A123">
        <v>120</v>
      </c>
      <c r="B123" s="136">
        <v>44976</v>
      </c>
      <c r="C123" t="s">
        <v>1063</v>
      </c>
      <c r="D123" s="1" t="s">
        <v>162</v>
      </c>
      <c r="E123" t="s">
        <v>1095</v>
      </c>
      <c r="F123" s="6" t="s">
        <v>1115</v>
      </c>
      <c r="G123" s="6" t="s">
        <v>1158</v>
      </c>
      <c r="H123" s="235"/>
      <c r="I123" s="235" t="s">
        <v>1186</v>
      </c>
      <c r="K123" s="6">
        <v>2</v>
      </c>
      <c r="L123" s="17">
        <f t="shared" si="19"/>
        <v>69999</v>
      </c>
      <c r="M123" s="116"/>
      <c r="O123" s="17">
        <f t="shared" si="20"/>
        <v>139998</v>
      </c>
      <c r="AP123" s="6"/>
      <c r="AQ123" s="235"/>
      <c r="AR123" s="235"/>
      <c r="AT123" s="6"/>
      <c r="AU123" s="17"/>
      <c r="AY123" s="6" t="s">
        <v>1158</v>
      </c>
      <c r="AZ123" s="235" t="s">
        <v>1137</v>
      </c>
      <c r="BA123" s="235" t="s">
        <v>1186</v>
      </c>
      <c r="BB123" s="6">
        <v>2</v>
      </c>
      <c r="BC123" s="17">
        <f t="shared" si="21"/>
        <v>69999</v>
      </c>
      <c r="BD123" s="116">
        <f t="shared" si="22"/>
        <v>0.02</v>
      </c>
      <c r="BE123" s="17">
        <f t="shared" si="23"/>
        <v>138598.01999999999</v>
      </c>
      <c r="BF123" s="17"/>
      <c r="BG123" s="235" t="s">
        <v>1137</v>
      </c>
      <c r="BH123" s="250">
        <f t="shared" si="24"/>
        <v>755</v>
      </c>
      <c r="BI123" s="250"/>
      <c r="BJ123" s="250"/>
    </row>
    <row r="124" spans="1:62" ht="21" customHeight="1" x14ac:dyDescent="0.35">
      <c r="A124">
        <v>121</v>
      </c>
      <c r="B124" s="136">
        <v>44977</v>
      </c>
      <c r="C124" t="s">
        <v>1064</v>
      </c>
      <c r="D124" s="1" t="s">
        <v>162</v>
      </c>
      <c r="E124" t="s">
        <v>1095</v>
      </c>
      <c r="F124" s="6" t="s">
        <v>1116</v>
      </c>
      <c r="G124" s="6" t="s">
        <v>1141</v>
      </c>
      <c r="H124" s="235"/>
      <c r="I124" s="235" t="s">
        <v>1184</v>
      </c>
      <c r="K124" s="6">
        <v>2</v>
      </c>
      <c r="L124" s="17">
        <f t="shared" si="19"/>
        <v>25500</v>
      </c>
      <c r="M124" s="116"/>
      <c r="O124" s="17">
        <f t="shared" si="20"/>
        <v>51000</v>
      </c>
      <c r="AP124" s="6"/>
      <c r="AQ124" s="235"/>
      <c r="AR124" s="235"/>
      <c r="AT124" s="6"/>
      <c r="AU124" s="17"/>
      <c r="AY124" s="6" t="s">
        <v>1141</v>
      </c>
      <c r="AZ124" s="235" t="s">
        <v>1137</v>
      </c>
      <c r="BA124" s="235" t="s">
        <v>1184</v>
      </c>
      <c r="BB124" s="6">
        <v>2</v>
      </c>
      <c r="BC124" s="17">
        <f t="shared" si="21"/>
        <v>25500</v>
      </c>
      <c r="BD124" s="116">
        <f t="shared" si="22"/>
        <v>0.02</v>
      </c>
      <c r="BE124" s="17">
        <f t="shared" si="23"/>
        <v>50490</v>
      </c>
      <c r="BF124" s="17"/>
      <c r="BG124" s="235" t="s">
        <v>1137</v>
      </c>
      <c r="BH124" s="250">
        <f t="shared" si="24"/>
        <v>755</v>
      </c>
      <c r="BI124" s="250"/>
      <c r="BJ124" s="250"/>
    </row>
    <row r="125" spans="1:62" ht="21" customHeight="1" x14ac:dyDescent="0.35">
      <c r="A125">
        <v>122</v>
      </c>
      <c r="B125" s="136">
        <v>44977</v>
      </c>
      <c r="C125" t="s">
        <v>1065</v>
      </c>
      <c r="D125" s="1" t="s">
        <v>162</v>
      </c>
      <c r="E125" t="s">
        <v>1095</v>
      </c>
      <c r="F125" s="6" t="s">
        <v>1117</v>
      </c>
      <c r="G125" s="6" t="s">
        <v>1143</v>
      </c>
      <c r="H125" s="235"/>
      <c r="I125" s="235" t="s">
        <v>1184</v>
      </c>
      <c r="K125" s="6">
        <v>2</v>
      </c>
      <c r="L125" s="17">
        <f t="shared" si="19"/>
        <v>25500</v>
      </c>
      <c r="M125" s="116"/>
      <c r="O125" s="17">
        <f t="shared" si="20"/>
        <v>51000</v>
      </c>
      <c r="AP125" s="6"/>
      <c r="AQ125" s="235"/>
      <c r="AR125" s="235"/>
      <c r="AT125" s="6"/>
      <c r="AU125" s="17"/>
      <c r="AY125" s="6" t="s">
        <v>1143</v>
      </c>
      <c r="AZ125" s="235" t="s">
        <v>1137</v>
      </c>
      <c r="BA125" s="235" t="s">
        <v>1184</v>
      </c>
      <c r="BB125" s="6">
        <v>2</v>
      </c>
      <c r="BC125" s="17">
        <f t="shared" si="21"/>
        <v>25500</v>
      </c>
      <c r="BD125" s="116">
        <f t="shared" si="22"/>
        <v>0.02</v>
      </c>
      <c r="BE125" s="17">
        <f t="shared" si="23"/>
        <v>50490</v>
      </c>
      <c r="BF125" s="17"/>
      <c r="BG125" s="235" t="s">
        <v>1137</v>
      </c>
      <c r="BH125" s="250">
        <f t="shared" si="24"/>
        <v>755</v>
      </c>
      <c r="BI125" s="250"/>
      <c r="BJ125" s="250"/>
    </row>
    <row r="126" spans="1:62" ht="21" customHeight="1" x14ac:dyDescent="0.35">
      <c r="A126">
        <v>123</v>
      </c>
      <c r="B126" s="136">
        <v>44977</v>
      </c>
      <c r="C126" t="s">
        <v>1066</v>
      </c>
      <c r="D126" s="1" t="s">
        <v>162</v>
      </c>
      <c r="E126" t="s">
        <v>1095</v>
      </c>
      <c r="F126" s="6" t="s">
        <v>1118</v>
      </c>
      <c r="G126" s="6" t="s">
        <v>1143</v>
      </c>
      <c r="H126" s="235"/>
      <c r="I126" s="235" t="s">
        <v>1184</v>
      </c>
      <c r="K126" s="6">
        <v>4</v>
      </c>
      <c r="L126" s="17">
        <f t="shared" si="19"/>
        <v>25500</v>
      </c>
      <c r="M126" s="116"/>
      <c r="O126" s="17">
        <f t="shared" si="20"/>
        <v>102000</v>
      </c>
      <c r="AP126" s="6"/>
      <c r="AQ126" s="235"/>
      <c r="AR126" s="235"/>
      <c r="AT126" s="6"/>
      <c r="AU126" s="17"/>
      <c r="AY126" s="6" t="s">
        <v>1143</v>
      </c>
      <c r="AZ126" s="235" t="s">
        <v>1137</v>
      </c>
      <c r="BA126" s="235" t="s">
        <v>1184</v>
      </c>
      <c r="BB126" s="6">
        <v>4</v>
      </c>
      <c r="BC126" s="17">
        <f t="shared" si="21"/>
        <v>25500</v>
      </c>
      <c r="BD126" s="116">
        <f t="shared" si="22"/>
        <v>0.02</v>
      </c>
      <c r="BE126" s="17">
        <f t="shared" si="23"/>
        <v>101490</v>
      </c>
      <c r="BF126" s="17"/>
      <c r="BG126" s="235" t="s">
        <v>1137</v>
      </c>
      <c r="BH126" s="250">
        <f t="shared" si="24"/>
        <v>755</v>
      </c>
      <c r="BI126" s="250"/>
      <c r="BJ126" s="250"/>
    </row>
    <row r="127" spans="1:62" ht="21" customHeight="1" x14ac:dyDescent="0.35">
      <c r="A127">
        <v>124</v>
      </c>
      <c r="B127" s="136">
        <v>44977</v>
      </c>
      <c r="C127" t="s">
        <v>1067</v>
      </c>
      <c r="D127" s="1" t="s">
        <v>163</v>
      </c>
      <c r="E127" t="s">
        <v>1095</v>
      </c>
      <c r="F127" s="6" t="s">
        <v>1128</v>
      </c>
      <c r="G127" s="6" t="s">
        <v>1143</v>
      </c>
      <c r="H127" s="235"/>
      <c r="I127" s="235" t="s">
        <v>1186</v>
      </c>
      <c r="K127" s="6">
        <v>5</v>
      </c>
      <c r="L127" s="17">
        <f t="shared" si="19"/>
        <v>69999</v>
      </c>
      <c r="M127" s="116"/>
      <c r="O127" s="17">
        <f t="shared" si="20"/>
        <v>349995</v>
      </c>
      <c r="AP127" s="6"/>
      <c r="AQ127" s="235"/>
      <c r="AR127" s="235"/>
      <c r="AT127" s="6"/>
      <c r="AU127" s="17"/>
      <c r="AY127" s="6" t="s">
        <v>1143</v>
      </c>
      <c r="AZ127" s="235" t="s">
        <v>1137</v>
      </c>
      <c r="BA127" s="235" t="s">
        <v>1186</v>
      </c>
      <c r="BB127" s="6">
        <v>5</v>
      </c>
      <c r="BC127" s="17">
        <f t="shared" si="21"/>
        <v>69999</v>
      </c>
      <c r="BD127" s="116">
        <f t="shared" si="22"/>
        <v>0.02</v>
      </c>
      <c r="BE127" s="17">
        <f t="shared" si="23"/>
        <v>348595.02</v>
      </c>
      <c r="BF127" s="17"/>
      <c r="BG127" s="235" t="s">
        <v>1137</v>
      </c>
      <c r="BH127" s="250">
        <f t="shared" si="24"/>
        <v>755</v>
      </c>
      <c r="BI127" s="250"/>
      <c r="BJ127" s="250"/>
    </row>
    <row r="128" spans="1:62" ht="21" customHeight="1" x14ac:dyDescent="0.35">
      <c r="A128">
        <v>125</v>
      </c>
      <c r="B128" s="136">
        <v>44978</v>
      </c>
      <c r="C128" t="s">
        <v>1068</v>
      </c>
      <c r="D128" s="1" t="s">
        <v>163</v>
      </c>
      <c r="E128" t="s">
        <v>1095</v>
      </c>
      <c r="F128" s="6" t="s">
        <v>1114</v>
      </c>
      <c r="G128" s="6" t="s">
        <v>1158</v>
      </c>
      <c r="H128" s="235"/>
      <c r="I128" s="235" t="s">
        <v>1186</v>
      </c>
      <c r="K128" s="6">
        <v>5</v>
      </c>
      <c r="L128" s="17">
        <f t="shared" si="19"/>
        <v>69999</v>
      </c>
      <c r="M128" s="116"/>
      <c r="O128" s="17">
        <f t="shared" si="20"/>
        <v>349995</v>
      </c>
      <c r="AP128" s="6"/>
      <c r="AQ128" s="235"/>
      <c r="AR128" s="80"/>
      <c r="AT128" s="6"/>
      <c r="AU128" s="17"/>
      <c r="AY128" s="6" t="s">
        <v>1158</v>
      </c>
      <c r="AZ128" s="235" t="s">
        <v>1137</v>
      </c>
      <c r="BA128" s="235" t="s">
        <v>1186</v>
      </c>
      <c r="BB128" s="6">
        <v>5</v>
      </c>
      <c r="BC128" s="17">
        <f t="shared" si="21"/>
        <v>69999</v>
      </c>
      <c r="BD128" s="116">
        <f t="shared" si="22"/>
        <v>0.02</v>
      </c>
      <c r="BE128" s="17">
        <f t="shared" si="23"/>
        <v>348595.02</v>
      </c>
      <c r="BF128" s="17"/>
      <c r="BG128" s="235" t="s">
        <v>1137</v>
      </c>
      <c r="BH128" s="250">
        <f t="shared" si="24"/>
        <v>755</v>
      </c>
      <c r="BI128" s="250"/>
      <c r="BJ128" s="250"/>
    </row>
    <row r="129" spans="1:62" ht="21" customHeight="1" x14ac:dyDescent="0.35">
      <c r="A129">
        <v>126</v>
      </c>
      <c r="B129" s="136">
        <v>44978</v>
      </c>
      <c r="C129" t="s">
        <v>1013</v>
      </c>
      <c r="D129" s="1" t="s">
        <v>162</v>
      </c>
      <c r="E129" t="s">
        <v>1095</v>
      </c>
      <c r="F129" s="6" t="s">
        <v>1103</v>
      </c>
      <c r="G129" s="6" t="s">
        <v>1158</v>
      </c>
      <c r="H129" s="235"/>
      <c r="I129" s="235" t="s">
        <v>1185</v>
      </c>
      <c r="K129" s="6">
        <v>7</v>
      </c>
      <c r="L129" s="17">
        <f t="shared" si="19"/>
        <v>49999</v>
      </c>
      <c r="M129" s="116"/>
      <c r="O129" s="17">
        <f t="shared" si="20"/>
        <v>349993</v>
      </c>
      <c r="AP129" s="6"/>
      <c r="AQ129" s="235"/>
      <c r="AR129" s="235"/>
      <c r="AT129" s="6"/>
      <c r="AU129" s="17"/>
      <c r="AY129" s="6" t="s">
        <v>1158</v>
      </c>
      <c r="AZ129" s="235" t="s">
        <v>1137</v>
      </c>
      <c r="BA129" s="235" t="s">
        <v>1185</v>
      </c>
      <c r="BB129" s="6">
        <v>7</v>
      </c>
      <c r="BC129" s="17">
        <f t="shared" si="21"/>
        <v>49999</v>
      </c>
      <c r="BD129" s="116">
        <f t="shared" si="22"/>
        <v>0.02</v>
      </c>
      <c r="BE129" s="17">
        <f t="shared" si="23"/>
        <v>348993.02</v>
      </c>
      <c r="BF129" s="17"/>
      <c r="BG129" s="235" t="s">
        <v>1137</v>
      </c>
      <c r="BH129" s="250">
        <f t="shared" si="24"/>
        <v>755</v>
      </c>
      <c r="BI129" s="250"/>
      <c r="BJ129" s="250"/>
    </row>
    <row r="130" spans="1:62" ht="21" customHeight="1" x14ac:dyDescent="0.35">
      <c r="A130">
        <v>127</v>
      </c>
      <c r="B130" s="136">
        <v>44978</v>
      </c>
      <c r="C130" t="s">
        <v>1014</v>
      </c>
      <c r="D130" s="1" t="s">
        <v>162</v>
      </c>
      <c r="E130" t="s">
        <v>1095</v>
      </c>
      <c r="F130" s="6" t="s">
        <v>1115</v>
      </c>
      <c r="G130" s="6" t="s">
        <v>1141</v>
      </c>
      <c r="H130" s="235"/>
      <c r="I130" s="235" t="s">
        <v>1185</v>
      </c>
      <c r="K130" s="6">
        <v>7</v>
      </c>
      <c r="L130" s="17">
        <f t="shared" si="19"/>
        <v>49999</v>
      </c>
      <c r="M130" s="116"/>
      <c r="O130" s="17">
        <f t="shared" si="20"/>
        <v>349993</v>
      </c>
      <c r="AP130" s="6"/>
      <c r="AQ130" s="235"/>
      <c r="AR130" s="80"/>
      <c r="AT130" s="6"/>
      <c r="AU130" s="17"/>
      <c r="AY130" s="6" t="s">
        <v>1141</v>
      </c>
      <c r="AZ130" s="235" t="s">
        <v>1137</v>
      </c>
      <c r="BA130" s="235" t="s">
        <v>1185</v>
      </c>
      <c r="BB130" s="6">
        <v>7</v>
      </c>
      <c r="BC130" s="17">
        <f t="shared" si="21"/>
        <v>49999</v>
      </c>
      <c r="BD130" s="116">
        <f t="shared" si="22"/>
        <v>0.02</v>
      </c>
      <c r="BE130" s="17">
        <f t="shared" si="23"/>
        <v>348993.02</v>
      </c>
      <c r="BF130" s="17"/>
      <c r="BG130" s="235" t="s">
        <v>1137</v>
      </c>
      <c r="BH130" s="250">
        <f t="shared" si="24"/>
        <v>755</v>
      </c>
      <c r="BI130" s="250"/>
      <c r="BJ130" s="250"/>
    </row>
    <row r="131" spans="1:62" ht="21" customHeight="1" x14ac:dyDescent="0.35">
      <c r="A131">
        <v>128</v>
      </c>
      <c r="B131" s="136">
        <v>44978</v>
      </c>
      <c r="C131" t="s">
        <v>1015</v>
      </c>
      <c r="D131" s="1" t="s">
        <v>162</v>
      </c>
      <c r="E131" t="s">
        <v>1095</v>
      </c>
      <c r="F131" s="6" t="s">
        <v>1116</v>
      </c>
      <c r="G131" s="6" t="s">
        <v>1141</v>
      </c>
      <c r="H131" s="235"/>
      <c r="I131" s="235" t="s">
        <v>1185</v>
      </c>
      <c r="K131" s="6">
        <v>7</v>
      </c>
      <c r="L131" s="17">
        <f t="shared" si="19"/>
        <v>49999</v>
      </c>
      <c r="M131" s="116"/>
      <c r="O131" s="17">
        <f t="shared" si="20"/>
        <v>349993</v>
      </c>
      <c r="AP131" s="6"/>
      <c r="AQ131" s="235"/>
      <c r="AR131" s="80"/>
      <c r="AT131" s="6"/>
      <c r="AU131" s="17"/>
      <c r="AY131" s="6" t="s">
        <v>1141</v>
      </c>
      <c r="AZ131" s="235" t="s">
        <v>1137</v>
      </c>
      <c r="BA131" s="235" t="s">
        <v>1185</v>
      </c>
      <c r="BB131" s="6">
        <v>7</v>
      </c>
      <c r="BC131" s="17">
        <f t="shared" si="21"/>
        <v>49999</v>
      </c>
      <c r="BD131" s="116">
        <f t="shared" si="22"/>
        <v>0.02</v>
      </c>
      <c r="BE131" s="17">
        <f t="shared" si="23"/>
        <v>348993.02</v>
      </c>
      <c r="BF131" s="17"/>
      <c r="BG131" s="235" t="s">
        <v>1137</v>
      </c>
      <c r="BH131" s="250">
        <f t="shared" si="24"/>
        <v>755</v>
      </c>
      <c r="BI131" s="250"/>
      <c r="BJ131" s="250"/>
    </row>
    <row r="132" spans="1:62" ht="21" customHeight="1" x14ac:dyDescent="0.35">
      <c r="A132">
        <v>129</v>
      </c>
      <c r="B132" s="136">
        <v>44978</v>
      </c>
      <c r="C132" t="s">
        <v>1016</v>
      </c>
      <c r="D132" s="1" t="s">
        <v>162</v>
      </c>
      <c r="E132" t="s">
        <v>1095</v>
      </c>
      <c r="F132" s="6" t="s">
        <v>1117</v>
      </c>
      <c r="G132" s="6" t="s">
        <v>1155</v>
      </c>
      <c r="H132" s="235"/>
      <c r="I132" s="80" t="s">
        <v>1182</v>
      </c>
      <c r="K132" s="6">
        <v>8</v>
      </c>
      <c r="L132" s="17">
        <f t="shared" ref="L132:L163" si="25">INDEX($S$40:$S$69,MATCH(I132,$R$40:$R$69,0))</f>
        <v>110500</v>
      </c>
      <c r="M132" s="116"/>
      <c r="O132" s="17">
        <f t="shared" ref="O132:O143" si="26">(K132*L132)-(L132*M132)</f>
        <v>884000</v>
      </c>
      <c r="AP132" s="6"/>
      <c r="AQ132" s="235"/>
      <c r="AR132" s="80"/>
      <c r="AT132" s="6"/>
      <c r="AU132" s="17"/>
      <c r="AY132" s="6" t="s">
        <v>1155</v>
      </c>
      <c r="AZ132" s="235" t="s">
        <v>1138</v>
      </c>
      <c r="BA132" s="80" t="s">
        <v>1182</v>
      </c>
      <c r="BB132" s="6">
        <v>8</v>
      </c>
      <c r="BC132" s="17">
        <f t="shared" ref="BC132:BC163" si="27">INDEX($S$40:$S$69,MATCH(BA132,$R$40:$R$69,0))</f>
        <v>110500</v>
      </c>
      <c r="BD132" s="116">
        <f t="shared" ref="BD132:BD159" si="28">IF(BB132&gt;8,3%,2%)</f>
        <v>0.02</v>
      </c>
      <c r="BE132" s="17">
        <f t="shared" ref="BE132:BE163" si="29">(BB132*BC132)-(BC132*BD132)</f>
        <v>881790</v>
      </c>
      <c r="BF132" s="17"/>
      <c r="BG132" s="235" t="s">
        <v>1138</v>
      </c>
      <c r="BH132" s="250">
        <f t="shared" si="24"/>
        <v>855</v>
      </c>
      <c r="BI132" s="250"/>
      <c r="BJ132" s="250"/>
    </row>
    <row r="133" spans="1:62" ht="21" customHeight="1" x14ac:dyDescent="0.35">
      <c r="A133">
        <v>130</v>
      </c>
      <c r="B133" s="136">
        <v>44979</v>
      </c>
      <c r="C133" t="s">
        <v>1017</v>
      </c>
      <c r="D133" s="1" t="s">
        <v>163</v>
      </c>
      <c r="E133" t="s">
        <v>1095</v>
      </c>
      <c r="F133" s="6" t="s">
        <v>1118</v>
      </c>
      <c r="G133" s="6" t="s">
        <v>1142</v>
      </c>
      <c r="H133" s="235"/>
      <c r="I133" s="80" t="s">
        <v>1179</v>
      </c>
      <c r="K133" s="6">
        <v>8</v>
      </c>
      <c r="L133" s="17">
        <f t="shared" si="25"/>
        <v>85000</v>
      </c>
      <c r="M133" s="116"/>
      <c r="O133" s="17">
        <f t="shared" si="26"/>
        <v>680000</v>
      </c>
      <c r="AP133" s="6"/>
      <c r="AQ133" s="235"/>
      <c r="AR133" s="80"/>
      <c r="AT133" s="6"/>
      <c r="AU133" s="17"/>
      <c r="AY133" s="6" t="s">
        <v>1142</v>
      </c>
      <c r="AZ133" s="235" t="s">
        <v>1138</v>
      </c>
      <c r="BA133" s="80" t="s">
        <v>1179</v>
      </c>
      <c r="BB133" s="6">
        <v>8</v>
      </c>
      <c r="BC133" s="17">
        <f t="shared" si="27"/>
        <v>85000</v>
      </c>
      <c r="BD133" s="116">
        <f t="shared" si="28"/>
        <v>0.02</v>
      </c>
      <c r="BE133" s="17">
        <f t="shared" si="29"/>
        <v>678300</v>
      </c>
      <c r="BF133" s="17"/>
      <c r="BG133" s="235" t="s">
        <v>1138</v>
      </c>
      <c r="BH133" s="250">
        <f t="shared" si="24"/>
        <v>855</v>
      </c>
      <c r="BI133" s="250"/>
      <c r="BJ133" s="250"/>
    </row>
    <row r="134" spans="1:62" ht="21" customHeight="1" x14ac:dyDescent="0.35">
      <c r="A134">
        <v>131</v>
      </c>
      <c r="B134" s="136">
        <v>44979</v>
      </c>
      <c r="C134" t="s">
        <v>1018</v>
      </c>
      <c r="D134" s="1" t="s">
        <v>163</v>
      </c>
      <c r="E134" t="s">
        <v>1095</v>
      </c>
      <c r="F134" s="6" t="s">
        <v>1119</v>
      </c>
      <c r="G134" s="6" t="s">
        <v>1152</v>
      </c>
      <c r="H134" s="235"/>
      <c r="I134" s="80" t="s">
        <v>1159</v>
      </c>
      <c r="K134" s="6">
        <v>9</v>
      </c>
      <c r="L134" s="17">
        <f t="shared" si="25"/>
        <v>75000</v>
      </c>
      <c r="M134" s="116"/>
      <c r="O134" s="17">
        <f t="shared" si="26"/>
        <v>675000</v>
      </c>
      <c r="AP134" s="6"/>
      <c r="AQ134" s="235"/>
      <c r="AR134" s="80"/>
      <c r="AT134" s="6"/>
      <c r="AU134" s="17"/>
      <c r="AY134" s="6" t="s">
        <v>1152</v>
      </c>
      <c r="AZ134" s="235" t="s">
        <v>1135</v>
      </c>
      <c r="BA134" s="80" t="s">
        <v>1159</v>
      </c>
      <c r="BB134" s="6">
        <v>9</v>
      </c>
      <c r="BC134" s="17">
        <f t="shared" si="27"/>
        <v>75000</v>
      </c>
      <c r="BD134" s="116">
        <f t="shared" si="28"/>
        <v>0.03</v>
      </c>
      <c r="BE134" s="17">
        <f t="shared" si="29"/>
        <v>672750</v>
      </c>
      <c r="BF134" s="17"/>
      <c r="BG134" s="235" t="s">
        <v>1135</v>
      </c>
      <c r="BH134" s="250">
        <f t="shared" si="24"/>
        <v>700</v>
      </c>
      <c r="BI134" s="250"/>
      <c r="BJ134" s="250"/>
    </row>
    <row r="135" spans="1:62" ht="21" customHeight="1" x14ac:dyDescent="0.35">
      <c r="A135">
        <v>132</v>
      </c>
      <c r="B135" s="136">
        <v>44979</v>
      </c>
      <c r="C135" t="s">
        <v>1019</v>
      </c>
      <c r="D135" s="1" t="s">
        <v>163</v>
      </c>
      <c r="E135" t="s">
        <v>1095</v>
      </c>
      <c r="F135" s="6" t="s">
        <v>1120</v>
      </c>
      <c r="G135" s="6" t="s">
        <v>1156</v>
      </c>
      <c r="H135" s="235"/>
      <c r="I135" s="80" t="s">
        <v>1160</v>
      </c>
      <c r="K135" s="6">
        <v>12</v>
      </c>
      <c r="L135" s="17">
        <f t="shared" si="25"/>
        <v>120000</v>
      </c>
      <c r="M135" s="116"/>
      <c r="O135" s="17">
        <f t="shared" si="26"/>
        <v>1440000</v>
      </c>
      <c r="AP135" s="6"/>
      <c r="AQ135" s="235"/>
      <c r="AR135" s="80"/>
      <c r="AT135" s="6"/>
      <c r="AU135" s="17"/>
      <c r="AY135" s="6" t="s">
        <v>1156</v>
      </c>
      <c r="AZ135" s="235" t="s">
        <v>1135</v>
      </c>
      <c r="BA135" s="80" t="s">
        <v>1160</v>
      </c>
      <c r="BB135" s="6">
        <v>12</v>
      </c>
      <c r="BC135" s="17">
        <f t="shared" si="27"/>
        <v>120000</v>
      </c>
      <c r="BD135" s="116">
        <f t="shared" si="28"/>
        <v>0.03</v>
      </c>
      <c r="BE135" s="17">
        <f t="shared" si="29"/>
        <v>1436400</v>
      </c>
      <c r="BF135" s="17"/>
      <c r="BG135" s="235" t="s">
        <v>1135</v>
      </c>
      <c r="BH135" s="250">
        <f t="shared" si="24"/>
        <v>700</v>
      </c>
      <c r="BI135" s="250"/>
      <c r="BJ135" s="250"/>
    </row>
    <row r="136" spans="1:62" ht="21" customHeight="1" x14ac:dyDescent="0.35">
      <c r="A136">
        <v>133</v>
      </c>
      <c r="B136" s="136">
        <v>44979</v>
      </c>
      <c r="C136" t="s">
        <v>1020</v>
      </c>
      <c r="D136" s="1" t="s">
        <v>163</v>
      </c>
      <c r="E136" t="s">
        <v>1095</v>
      </c>
      <c r="F136" s="6" t="s">
        <v>1103</v>
      </c>
      <c r="G136" s="6" t="s">
        <v>1151</v>
      </c>
      <c r="H136" s="235"/>
      <c r="I136" s="80" t="s">
        <v>1170</v>
      </c>
      <c r="K136" s="6">
        <v>11</v>
      </c>
      <c r="L136" s="17">
        <f t="shared" si="25"/>
        <v>55000</v>
      </c>
      <c r="M136" s="116"/>
      <c r="O136" s="17">
        <f t="shared" si="26"/>
        <v>605000</v>
      </c>
      <c r="AP136" s="6"/>
      <c r="AQ136" s="235"/>
      <c r="AR136" s="235"/>
      <c r="AT136" s="6"/>
      <c r="AU136" s="17"/>
      <c r="AY136" s="6" t="s">
        <v>1151</v>
      </c>
      <c r="AZ136" s="235" t="s">
        <v>1135</v>
      </c>
      <c r="BA136" s="80" t="s">
        <v>1170</v>
      </c>
      <c r="BB136" s="6">
        <v>11</v>
      </c>
      <c r="BC136" s="17">
        <f t="shared" si="27"/>
        <v>55000</v>
      </c>
      <c r="BD136" s="116">
        <f t="shared" si="28"/>
        <v>0.03</v>
      </c>
      <c r="BE136" s="17">
        <f t="shared" si="29"/>
        <v>603350</v>
      </c>
      <c r="BF136" s="17"/>
      <c r="BG136" s="235" t="s">
        <v>1135</v>
      </c>
      <c r="BH136" s="250">
        <f t="shared" si="24"/>
        <v>700</v>
      </c>
      <c r="BI136" s="250"/>
      <c r="BJ136" s="250"/>
    </row>
    <row r="137" spans="1:62" ht="21" customHeight="1" x14ac:dyDescent="0.35">
      <c r="A137">
        <v>134</v>
      </c>
      <c r="B137" s="136">
        <v>44980</v>
      </c>
      <c r="C137" t="s">
        <v>1021</v>
      </c>
      <c r="D137" s="1" t="s">
        <v>163</v>
      </c>
      <c r="E137" t="s">
        <v>1095</v>
      </c>
      <c r="F137" s="6" t="s">
        <v>1116</v>
      </c>
      <c r="G137" s="6" t="s">
        <v>1151</v>
      </c>
      <c r="H137" s="235"/>
      <c r="I137" s="80" t="s">
        <v>1170</v>
      </c>
      <c r="K137" s="6">
        <v>11</v>
      </c>
      <c r="L137" s="17">
        <f t="shared" si="25"/>
        <v>55000</v>
      </c>
      <c r="M137" s="116"/>
      <c r="O137" s="17">
        <f t="shared" si="26"/>
        <v>605000</v>
      </c>
      <c r="AP137" s="6"/>
      <c r="AQ137" s="235"/>
      <c r="AR137" s="80"/>
      <c r="AT137" s="6"/>
      <c r="AU137" s="17"/>
      <c r="AY137" s="6" t="s">
        <v>1151</v>
      </c>
      <c r="AZ137" s="235" t="s">
        <v>1135</v>
      </c>
      <c r="BA137" s="80" t="s">
        <v>1170</v>
      </c>
      <c r="BB137" s="6">
        <v>11</v>
      </c>
      <c r="BC137" s="17">
        <f t="shared" si="27"/>
        <v>55000</v>
      </c>
      <c r="BD137" s="116">
        <f t="shared" si="28"/>
        <v>0.03</v>
      </c>
      <c r="BE137" s="17">
        <f t="shared" si="29"/>
        <v>603350</v>
      </c>
      <c r="BF137" s="17"/>
      <c r="BG137" s="235" t="s">
        <v>1135</v>
      </c>
      <c r="BH137" s="250">
        <f t="shared" si="24"/>
        <v>700</v>
      </c>
      <c r="BI137" s="250"/>
      <c r="BJ137" s="250"/>
    </row>
    <row r="138" spans="1:62" ht="21" customHeight="1" x14ac:dyDescent="0.35">
      <c r="A138">
        <v>135</v>
      </c>
      <c r="B138" s="136">
        <v>44980</v>
      </c>
      <c r="C138" t="s">
        <v>1022</v>
      </c>
      <c r="D138" s="1" t="s">
        <v>162</v>
      </c>
      <c r="E138" t="s">
        <v>1095</v>
      </c>
      <c r="F138" s="6" t="s">
        <v>1123</v>
      </c>
      <c r="G138" s="6" t="s">
        <v>1151</v>
      </c>
      <c r="H138" s="235"/>
      <c r="I138" s="80" t="s">
        <v>1170</v>
      </c>
      <c r="K138" s="6">
        <v>15</v>
      </c>
      <c r="L138" s="17">
        <f t="shared" si="25"/>
        <v>55000</v>
      </c>
      <c r="M138" s="116"/>
      <c r="O138" s="17">
        <f t="shared" si="26"/>
        <v>825000</v>
      </c>
      <c r="AP138" s="6"/>
      <c r="AQ138" s="235"/>
      <c r="AR138" s="235"/>
      <c r="AT138" s="6"/>
      <c r="AU138" s="17"/>
      <c r="AY138" s="6" t="s">
        <v>1151</v>
      </c>
      <c r="AZ138" s="235" t="s">
        <v>1135</v>
      </c>
      <c r="BA138" s="80" t="s">
        <v>1170</v>
      </c>
      <c r="BB138" s="6">
        <v>15</v>
      </c>
      <c r="BC138" s="17">
        <f t="shared" si="27"/>
        <v>55000</v>
      </c>
      <c r="BD138" s="116">
        <f t="shared" si="28"/>
        <v>0.03</v>
      </c>
      <c r="BE138" s="17">
        <f t="shared" si="29"/>
        <v>823350</v>
      </c>
      <c r="BF138" s="17"/>
      <c r="BG138" s="235" t="s">
        <v>1135</v>
      </c>
      <c r="BH138" s="250">
        <f t="shared" si="24"/>
        <v>700</v>
      </c>
      <c r="BI138" s="250"/>
      <c r="BJ138" s="250"/>
    </row>
    <row r="139" spans="1:62" ht="21" customHeight="1" x14ac:dyDescent="0.35">
      <c r="A139">
        <v>136</v>
      </c>
      <c r="B139" s="136">
        <v>44980</v>
      </c>
      <c r="C139" t="s">
        <v>1023</v>
      </c>
      <c r="D139" s="1" t="s">
        <v>162</v>
      </c>
      <c r="E139" t="s">
        <v>1095</v>
      </c>
      <c r="F139" s="6" t="s">
        <v>1124</v>
      </c>
      <c r="G139" s="6" t="s">
        <v>1139</v>
      </c>
      <c r="H139" s="235"/>
      <c r="I139" s="80" t="s">
        <v>1160</v>
      </c>
      <c r="K139" s="6">
        <v>13</v>
      </c>
      <c r="L139" s="17">
        <f t="shared" si="25"/>
        <v>120000</v>
      </c>
      <c r="M139" s="116"/>
      <c r="O139" s="17">
        <f t="shared" si="26"/>
        <v>1560000</v>
      </c>
      <c r="AP139" s="6"/>
      <c r="AQ139" s="235"/>
      <c r="AR139" s="235"/>
      <c r="AT139" s="6"/>
      <c r="AU139" s="17"/>
      <c r="AY139" s="6" t="s">
        <v>1139</v>
      </c>
      <c r="AZ139" s="235" t="s">
        <v>1135</v>
      </c>
      <c r="BA139" s="80" t="s">
        <v>1160</v>
      </c>
      <c r="BB139" s="6">
        <v>13</v>
      </c>
      <c r="BC139" s="17">
        <f t="shared" si="27"/>
        <v>120000</v>
      </c>
      <c r="BD139" s="116">
        <f t="shared" si="28"/>
        <v>0.03</v>
      </c>
      <c r="BE139" s="17">
        <f t="shared" si="29"/>
        <v>1556400</v>
      </c>
      <c r="BF139" s="17"/>
      <c r="BG139" s="235" t="s">
        <v>1135</v>
      </c>
      <c r="BH139" s="250">
        <f t="shared" si="24"/>
        <v>700</v>
      </c>
      <c r="BI139" s="250"/>
      <c r="BJ139" s="250"/>
    </row>
    <row r="140" spans="1:62" ht="21" customHeight="1" x14ac:dyDescent="0.35">
      <c r="A140">
        <v>137</v>
      </c>
      <c r="B140" s="136">
        <v>44980</v>
      </c>
      <c r="C140" t="s">
        <v>1024</v>
      </c>
      <c r="D140" s="1" t="s">
        <v>163</v>
      </c>
      <c r="E140" t="s">
        <v>1095</v>
      </c>
      <c r="F140" s="6" t="s">
        <v>1125</v>
      </c>
      <c r="G140" s="6" t="s">
        <v>1139</v>
      </c>
      <c r="H140" s="235"/>
      <c r="I140" s="80" t="s">
        <v>1160</v>
      </c>
      <c r="K140" s="6">
        <v>2</v>
      </c>
      <c r="L140" s="17">
        <f t="shared" si="25"/>
        <v>120000</v>
      </c>
      <c r="M140" s="116"/>
      <c r="O140" s="17">
        <f t="shared" si="26"/>
        <v>240000</v>
      </c>
      <c r="AP140" s="6"/>
      <c r="AQ140" s="235"/>
      <c r="AR140" s="235"/>
      <c r="AT140" s="6"/>
      <c r="AU140" s="17"/>
      <c r="AY140" s="6" t="s">
        <v>1139</v>
      </c>
      <c r="AZ140" s="235" t="s">
        <v>1135</v>
      </c>
      <c r="BA140" s="80" t="s">
        <v>1160</v>
      </c>
      <c r="BB140" s="6">
        <v>2</v>
      </c>
      <c r="BC140" s="17">
        <f t="shared" si="27"/>
        <v>120000</v>
      </c>
      <c r="BD140" s="116">
        <f t="shared" si="28"/>
        <v>0.02</v>
      </c>
      <c r="BE140" s="17">
        <f t="shared" si="29"/>
        <v>237600</v>
      </c>
      <c r="BF140" s="17"/>
      <c r="BG140" s="235" t="s">
        <v>1135</v>
      </c>
      <c r="BH140" s="250">
        <f t="shared" si="24"/>
        <v>700</v>
      </c>
      <c r="BI140" s="250"/>
      <c r="BJ140" s="250"/>
    </row>
    <row r="141" spans="1:62" ht="21" customHeight="1" x14ac:dyDescent="0.35">
      <c r="A141">
        <v>138</v>
      </c>
      <c r="B141" s="136">
        <v>44981</v>
      </c>
      <c r="C141" t="s">
        <v>1025</v>
      </c>
      <c r="D141" s="1" t="s">
        <v>162</v>
      </c>
      <c r="E141" t="s">
        <v>1095</v>
      </c>
      <c r="F141" s="6" t="s">
        <v>1126</v>
      </c>
      <c r="G141" s="6" t="s">
        <v>1157</v>
      </c>
      <c r="H141" s="235"/>
      <c r="I141" s="235" t="s">
        <v>1175</v>
      </c>
      <c r="K141" s="6">
        <v>2</v>
      </c>
      <c r="L141" s="17">
        <f t="shared" si="25"/>
        <v>115000</v>
      </c>
      <c r="M141" s="116"/>
      <c r="O141" s="17">
        <f t="shared" si="26"/>
        <v>230000</v>
      </c>
      <c r="AP141" s="6"/>
      <c r="AQ141" s="235"/>
      <c r="AR141" s="80"/>
      <c r="AT141" s="6"/>
      <c r="AU141" s="17"/>
      <c r="AY141" s="6" t="s">
        <v>1157</v>
      </c>
      <c r="AZ141" s="235" t="s">
        <v>1136</v>
      </c>
      <c r="BA141" s="235" t="s">
        <v>1175</v>
      </c>
      <c r="BB141" s="6">
        <v>2</v>
      </c>
      <c r="BC141" s="17">
        <f t="shared" si="27"/>
        <v>115000</v>
      </c>
      <c r="BD141" s="116">
        <f t="shared" si="28"/>
        <v>0.02</v>
      </c>
      <c r="BE141" s="17">
        <f t="shared" si="29"/>
        <v>227700</v>
      </c>
      <c r="BF141" s="17"/>
      <c r="BG141" s="235" t="s">
        <v>1136</v>
      </c>
      <c r="BH141" s="250">
        <f t="shared" si="24"/>
        <v>900</v>
      </c>
      <c r="BI141" s="250"/>
      <c r="BJ141" s="250"/>
    </row>
    <row r="142" spans="1:62" ht="21" customHeight="1" x14ac:dyDescent="0.35">
      <c r="A142">
        <v>139</v>
      </c>
      <c r="B142" s="136">
        <v>44981</v>
      </c>
      <c r="C142" t="s">
        <v>1026</v>
      </c>
      <c r="D142" s="1" t="s">
        <v>162</v>
      </c>
      <c r="E142" t="s">
        <v>1095</v>
      </c>
      <c r="F142" s="6" t="s">
        <v>1127</v>
      </c>
      <c r="G142" s="6" t="s">
        <v>1157</v>
      </c>
      <c r="H142" s="235"/>
      <c r="I142" s="235" t="s">
        <v>1175</v>
      </c>
      <c r="K142" s="6">
        <v>2</v>
      </c>
      <c r="L142" s="17">
        <f t="shared" si="25"/>
        <v>115000</v>
      </c>
      <c r="M142" s="116"/>
      <c r="O142" s="17">
        <f t="shared" si="26"/>
        <v>230000</v>
      </c>
      <c r="AP142" s="6"/>
      <c r="AQ142" s="235"/>
      <c r="AR142" s="80"/>
      <c r="AT142" s="6"/>
      <c r="AU142" s="17"/>
      <c r="AY142" s="6" t="s">
        <v>1157</v>
      </c>
      <c r="AZ142" s="235" t="s">
        <v>1136</v>
      </c>
      <c r="BA142" s="235" t="s">
        <v>1175</v>
      </c>
      <c r="BB142" s="6">
        <v>2</v>
      </c>
      <c r="BC142" s="17">
        <f t="shared" si="27"/>
        <v>115000</v>
      </c>
      <c r="BD142" s="116">
        <f t="shared" si="28"/>
        <v>0.02</v>
      </c>
      <c r="BE142" s="17">
        <f t="shared" si="29"/>
        <v>227700</v>
      </c>
      <c r="BF142" s="17"/>
      <c r="BG142" s="235" t="s">
        <v>1136</v>
      </c>
      <c r="BH142" s="250">
        <f t="shared" si="24"/>
        <v>900</v>
      </c>
      <c r="BI142" s="250"/>
      <c r="BJ142" s="250"/>
    </row>
    <row r="143" spans="1:62" ht="21" customHeight="1" x14ac:dyDescent="0.35">
      <c r="A143">
        <v>140</v>
      </c>
      <c r="B143" s="136">
        <v>44981</v>
      </c>
      <c r="C143" t="s">
        <v>1027</v>
      </c>
      <c r="D143" s="1" t="s">
        <v>162</v>
      </c>
      <c r="E143" t="s">
        <v>1095</v>
      </c>
      <c r="F143" s="6" t="s">
        <v>1103</v>
      </c>
      <c r="G143" s="6" t="s">
        <v>1141</v>
      </c>
      <c r="H143" s="235"/>
      <c r="I143" s="235" t="s">
        <v>1184</v>
      </c>
      <c r="K143" s="6">
        <v>3</v>
      </c>
      <c r="L143" s="17">
        <f t="shared" si="25"/>
        <v>25500</v>
      </c>
      <c r="M143" s="116"/>
      <c r="O143" s="17">
        <f t="shared" si="26"/>
        <v>76500</v>
      </c>
      <c r="AP143" s="6"/>
      <c r="AQ143" s="235"/>
      <c r="AR143" s="80"/>
      <c r="AT143" s="6"/>
      <c r="AU143" s="17"/>
      <c r="AY143" s="6" t="s">
        <v>1141</v>
      </c>
      <c r="AZ143" s="235" t="s">
        <v>1137</v>
      </c>
      <c r="BA143" s="235" t="s">
        <v>1184</v>
      </c>
      <c r="BB143" s="6">
        <v>3</v>
      </c>
      <c r="BC143" s="17">
        <f t="shared" si="27"/>
        <v>25500</v>
      </c>
      <c r="BD143" s="116">
        <f t="shared" si="28"/>
        <v>0.02</v>
      </c>
      <c r="BE143" s="17">
        <f t="shared" si="29"/>
        <v>75990</v>
      </c>
      <c r="BF143" s="17"/>
      <c r="BG143" s="235" t="s">
        <v>1137</v>
      </c>
      <c r="BH143" s="250">
        <f t="shared" si="24"/>
        <v>755</v>
      </c>
      <c r="BI143" s="250"/>
      <c r="BJ143" s="250"/>
    </row>
    <row r="144" spans="1:62" ht="21" customHeight="1" x14ac:dyDescent="0.35">
      <c r="A144">
        <v>141</v>
      </c>
      <c r="B144" s="136">
        <v>44982</v>
      </c>
      <c r="C144" t="s">
        <v>1028</v>
      </c>
      <c r="D144" s="1" t="s">
        <v>162</v>
      </c>
      <c r="E144" t="s">
        <v>1096</v>
      </c>
      <c r="F144" s="6" t="s">
        <v>1128</v>
      </c>
      <c r="G144" s="6" t="s">
        <v>1144</v>
      </c>
      <c r="H144" s="235"/>
      <c r="I144" s="235" t="s">
        <v>1184</v>
      </c>
      <c r="K144" s="6">
        <v>4</v>
      </c>
      <c r="L144" s="17">
        <f t="shared" si="25"/>
        <v>25500</v>
      </c>
      <c r="M144" s="116"/>
      <c r="O144" s="17">
        <f t="shared" ref="O144" si="30">(K144*L144)-(L144*M144)</f>
        <v>102000</v>
      </c>
      <c r="AP144" s="6"/>
      <c r="AQ144" s="235"/>
      <c r="AR144" s="235"/>
      <c r="AT144" s="6"/>
      <c r="AU144" s="17"/>
      <c r="AY144" s="6" t="s">
        <v>1144</v>
      </c>
      <c r="AZ144" s="235" t="s">
        <v>1137</v>
      </c>
      <c r="BA144" s="235" t="s">
        <v>1184</v>
      </c>
      <c r="BB144" s="6">
        <v>4</v>
      </c>
      <c r="BC144" s="17">
        <f t="shared" si="27"/>
        <v>25500</v>
      </c>
      <c r="BD144" s="116">
        <f t="shared" si="28"/>
        <v>0.02</v>
      </c>
      <c r="BE144" s="17">
        <f t="shared" ref="BE144" si="31">(BB144*BC144)-(BC144*BD144)</f>
        <v>101490</v>
      </c>
      <c r="BF144" s="17"/>
      <c r="BG144" s="235" t="s">
        <v>1137</v>
      </c>
      <c r="BH144" s="250">
        <f t="shared" si="24"/>
        <v>755</v>
      </c>
      <c r="BI144" s="250"/>
      <c r="BJ144" s="250"/>
    </row>
    <row r="145" spans="1:62" ht="21" customHeight="1" x14ac:dyDescent="0.35">
      <c r="A145">
        <v>142</v>
      </c>
      <c r="B145" s="136">
        <v>44982</v>
      </c>
      <c r="C145" t="s">
        <v>1029</v>
      </c>
      <c r="D145" s="1" t="s">
        <v>163</v>
      </c>
      <c r="E145" t="s">
        <v>1096</v>
      </c>
      <c r="F145" s="6" t="s">
        <v>1128</v>
      </c>
      <c r="G145" s="6" t="s">
        <v>1149</v>
      </c>
      <c r="H145" s="235"/>
      <c r="I145" s="235" t="s">
        <v>1177</v>
      </c>
      <c r="K145" s="6">
        <v>5</v>
      </c>
      <c r="L145" s="17">
        <f t="shared" si="25"/>
        <v>195000</v>
      </c>
      <c r="M145" s="116"/>
      <c r="O145" s="17">
        <f t="shared" ref="O145:O183" si="32">(K145*L145)-(L145*M145)</f>
        <v>975000</v>
      </c>
      <c r="AP145" s="6"/>
      <c r="AQ145" s="235"/>
      <c r="AR145" s="235"/>
      <c r="AT145" s="6"/>
      <c r="AU145" s="17"/>
      <c r="AY145" s="6" t="s">
        <v>1149</v>
      </c>
      <c r="AZ145" s="235" t="s">
        <v>1136</v>
      </c>
      <c r="BA145" s="235" t="s">
        <v>1177</v>
      </c>
      <c r="BB145" s="6">
        <v>5</v>
      </c>
      <c r="BC145" s="17">
        <f t="shared" si="27"/>
        <v>195000</v>
      </c>
      <c r="BD145" s="116">
        <f t="shared" si="28"/>
        <v>0.02</v>
      </c>
      <c r="BE145" s="17">
        <f t="shared" ref="BE145:BE183" si="33">(BB145*BC145)-(BC145*BD145)</f>
        <v>971100</v>
      </c>
      <c r="BF145" s="17"/>
      <c r="BG145" s="235" t="s">
        <v>1136</v>
      </c>
      <c r="BH145" s="250">
        <f t="shared" si="24"/>
        <v>900</v>
      </c>
      <c r="BI145" s="250"/>
      <c r="BJ145" s="250"/>
    </row>
    <row r="146" spans="1:62" ht="21" customHeight="1" x14ac:dyDescent="0.35">
      <c r="A146">
        <v>143</v>
      </c>
      <c r="B146" s="136">
        <v>44982</v>
      </c>
      <c r="C146" t="s">
        <v>1030</v>
      </c>
      <c r="D146" s="1" t="s">
        <v>163</v>
      </c>
      <c r="E146" t="s">
        <v>1096</v>
      </c>
      <c r="F146" s="6" t="s">
        <v>1129</v>
      </c>
      <c r="G146" s="6" t="s">
        <v>1150</v>
      </c>
      <c r="H146" s="235"/>
      <c r="I146" s="235" t="s">
        <v>1176</v>
      </c>
      <c r="K146" s="6">
        <v>7</v>
      </c>
      <c r="L146" s="17">
        <f t="shared" si="25"/>
        <v>45500</v>
      </c>
      <c r="M146" s="116"/>
      <c r="O146" s="17">
        <f t="shared" si="32"/>
        <v>318500</v>
      </c>
      <c r="AP146" s="6"/>
      <c r="AQ146" s="235"/>
      <c r="AR146" s="80"/>
      <c r="AT146" s="6"/>
      <c r="AU146" s="17"/>
      <c r="AY146" s="6" t="s">
        <v>1150</v>
      </c>
      <c r="AZ146" s="235" t="s">
        <v>1136</v>
      </c>
      <c r="BA146" s="235" t="s">
        <v>1176</v>
      </c>
      <c r="BB146" s="6">
        <v>7</v>
      </c>
      <c r="BC146" s="17">
        <f t="shared" si="27"/>
        <v>45500</v>
      </c>
      <c r="BD146" s="116">
        <f t="shared" si="28"/>
        <v>0.02</v>
      </c>
      <c r="BE146" s="17">
        <f t="shared" si="33"/>
        <v>317590</v>
      </c>
      <c r="BF146" s="17"/>
      <c r="BG146" s="235" t="s">
        <v>1136</v>
      </c>
      <c r="BH146" s="250">
        <f t="shared" si="24"/>
        <v>900</v>
      </c>
      <c r="BI146" s="250"/>
      <c r="BJ146" s="250"/>
    </row>
    <row r="147" spans="1:62" ht="21" customHeight="1" x14ac:dyDescent="0.35">
      <c r="A147">
        <v>144</v>
      </c>
      <c r="B147" s="136">
        <v>44982</v>
      </c>
      <c r="C147" t="s">
        <v>1031</v>
      </c>
      <c r="D147" s="1" t="s">
        <v>163</v>
      </c>
      <c r="E147" t="s">
        <v>1096</v>
      </c>
      <c r="F147" s="6" t="s">
        <v>1118</v>
      </c>
      <c r="G147" s="6" t="s">
        <v>1150</v>
      </c>
      <c r="H147" s="235"/>
      <c r="I147" s="235" t="s">
        <v>1176</v>
      </c>
      <c r="K147" s="6">
        <v>7</v>
      </c>
      <c r="L147" s="17">
        <f t="shared" si="25"/>
        <v>45500</v>
      </c>
      <c r="M147" s="116"/>
      <c r="O147" s="17">
        <f t="shared" si="32"/>
        <v>318500</v>
      </c>
      <c r="AP147" s="6"/>
      <c r="AQ147" s="235"/>
      <c r="AR147" s="235"/>
      <c r="AT147" s="6"/>
      <c r="AU147" s="17"/>
      <c r="AY147" s="6" t="s">
        <v>1150</v>
      </c>
      <c r="AZ147" s="235" t="s">
        <v>1136</v>
      </c>
      <c r="BA147" s="235" t="s">
        <v>1176</v>
      </c>
      <c r="BB147" s="6">
        <v>7</v>
      </c>
      <c r="BC147" s="17">
        <f t="shared" si="27"/>
        <v>45500</v>
      </c>
      <c r="BD147" s="116">
        <f t="shared" si="28"/>
        <v>0.02</v>
      </c>
      <c r="BE147" s="17">
        <f t="shared" si="33"/>
        <v>317590</v>
      </c>
      <c r="BF147" s="17"/>
      <c r="BG147" s="235" t="s">
        <v>1136</v>
      </c>
      <c r="BH147" s="250">
        <f t="shared" si="24"/>
        <v>900</v>
      </c>
      <c r="BI147" s="250"/>
      <c r="BJ147" s="250"/>
    </row>
    <row r="148" spans="1:62" ht="21" customHeight="1" x14ac:dyDescent="0.35">
      <c r="A148">
        <v>145</v>
      </c>
      <c r="B148" s="136">
        <v>44982</v>
      </c>
      <c r="C148" t="s">
        <v>1032</v>
      </c>
      <c r="D148" s="1" t="s">
        <v>163</v>
      </c>
      <c r="E148" t="s">
        <v>1096</v>
      </c>
      <c r="F148" s="6" t="s">
        <v>1118</v>
      </c>
      <c r="G148" s="6" t="s">
        <v>1140</v>
      </c>
      <c r="H148" s="235"/>
      <c r="I148" s="235" t="s">
        <v>1176</v>
      </c>
      <c r="K148" s="6">
        <v>5</v>
      </c>
      <c r="L148" s="17">
        <f t="shared" si="25"/>
        <v>45500</v>
      </c>
      <c r="M148" s="116"/>
      <c r="O148" s="17">
        <f t="shared" si="32"/>
        <v>227500</v>
      </c>
      <c r="AP148" s="6"/>
      <c r="AQ148" s="235"/>
      <c r="AR148" s="80"/>
      <c r="AT148" s="6"/>
      <c r="AU148" s="17"/>
      <c r="AY148" s="6" t="s">
        <v>1140</v>
      </c>
      <c r="AZ148" s="235" t="s">
        <v>1136</v>
      </c>
      <c r="BA148" s="235" t="s">
        <v>1176</v>
      </c>
      <c r="BB148" s="6">
        <v>5</v>
      </c>
      <c r="BC148" s="17">
        <f t="shared" si="27"/>
        <v>45500</v>
      </c>
      <c r="BD148" s="116">
        <f t="shared" si="28"/>
        <v>0.02</v>
      </c>
      <c r="BE148" s="17">
        <f t="shared" si="33"/>
        <v>226590</v>
      </c>
      <c r="BF148" s="17"/>
      <c r="BG148" s="235" t="s">
        <v>1136</v>
      </c>
      <c r="BH148" s="250">
        <f t="shared" si="24"/>
        <v>900</v>
      </c>
      <c r="BI148" s="250"/>
      <c r="BJ148" s="250"/>
    </row>
    <row r="149" spans="1:62" ht="21" customHeight="1" x14ac:dyDescent="0.35">
      <c r="A149">
        <v>146</v>
      </c>
      <c r="B149" s="136">
        <v>44983</v>
      </c>
      <c r="C149" t="s">
        <v>1033</v>
      </c>
      <c r="D149" s="1" t="s">
        <v>162</v>
      </c>
      <c r="E149" t="s">
        <v>1096</v>
      </c>
      <c r="F149" s="6" t="s">
        <v>1127</v>
      </c>
      <c r="G149" s="6" t="s">
        <v>1149</v>
      </c>
      <c r="H149" s="235"/>
      <c r="I149" s="235" t="s">
        <v>1177</v>
      </c>
      <c r="K149" s="6">
        <v>4</v>
      </c>
      <c r="L149" s="17">
        <f t="shared" si="25"/>
        <v>195000</v>
      </c>
      <c r="M149" s="116"/>
      <c r="O149" s="17">
        <f t="shared" si="32"/>
        <v>780000</v>
      </c>
      <c r="AP149" s="6"/>
      <c r="AQ149" s="235"/>
      <c r="AR149" s="80"/>
      <c r="AT149" s="6"/>
      <c r="AU149" s="17"/>
      <c r="AY149" s="6" t="s">
        <v>1149</v>
      </c>
      <c r="AZ149" s="235" t="s">
        <v>1136</v>
      </c>
      <c r="BA149" s="235" t="s">
        <v>1177</v>
      </c>
      <c r="BB149" s="6">
        <v>4</v>
      </c>
      <c r="BC149" s="17">
        <f t="shared" si="27"/>
        <v>195000</v>
      </c>
      <c r="BD149" s="116">
        <f t="shared" si="28"/>
        <v>0.02</v>
      </c>
      <c r="BE149" s="17">
        <f t="shared" si="33"/>
        <v>776100</v>
      </c>
      <c r="BF149" s="17"/>
      <c r="BG149" s="235" t="s">
        <v>1136</v>
      </c>
      <c r="BH149" s="250">
        <f t="shared" si="24"/>
        <v>900</v>
      </c>
      <c r="BI149" s="250"/>
      <c r="BJ149" s="250"/>
    </row>
    <row r="150" spans="1:62" ht="21" customHeight="1" x14ac:dyDescent="0.35">
      <c r="A150">
        <v>147</v>
      </c>
      <c r="B150" s="136">
        <v>44983</v>
      </c>
      <c r="C150" t="s">
        <v>1034</v>
      </c>
      <c r="D150" s="1" t="s">
        <v>163</v>
      </c>
      <c r="E150" t="s">
        <v>1093</v>
      </c>
      <c r="F150" s="6" t="s">
        <v>1121</v>
      </c>
      <c r="G150" s="6" t="s">
        <v>1139</v>
      </c>
      <c r="H150" s="235"/>
      <c r="I150" s="80" t="s">
        <v>1159</v>
      </c>
      <c r="K150" s="6">
        <v>6</v>
      </c>
      <c r="L150" s="17">
        <f t="shared" si="25"/>
        <v>75000</v>
      </c>
      <c r="M150" s="116"/>
      <c r="O150" s="17">
        <f t="shared" si="32"/>
        <v>450000</v>
      </c>
      <c r="AP150" s="6"/>
      <c r="AQ150" s="235"/>
      <c r="AR150" s="80"/>
      <c r="AT150" s="6"/>
      <c r="AU150" s="17"/>
      <c r="AY150" s="6" t="s">
        <v>1139</v>
      </c>
      <c r="AZ150" s="235" t="s">
        <v>1135</v>
      </c>
      <c r="BA150" s="80" t="s">
        <v>1159</v>
      </c>
      <c r="BB150" s="6">
        <v>6</v>
      </c>
      <c r="BC150" s="17">
        <f t="shared" si="27"/>
        <v>75000</v>
      </c>
      <c r="BD150" s="116">
        <f t="shared" si="28"/>
        <v>0.02</v>
      </c>
      <c r="BE150" s="17">
        <f t="shared" si="33"/>
        <v>448500</v>
      </c>
      <c r="BF150" s="17"/>
      <c r="BG150" s="235" t="s">
        <v>1135</v>
      </c>
      <c r="BH150" s="250">
        <f t="shared" si="24"/>
        <v>700</v>
      </c>
      <c r="BI150" s="250"/>
      <c r="BJ150" s="250"/>
    </row>
    <row r="151" spans="1:62" ht="21" customHeight="1" x14ac:dyDescent="0.35">
      <c r="A151">
        <v>148</v>
      </c>
      <c r="B151" s="136">
        <v>44983</v>
      </c>
      <c r="C151" t="s">
        <v>1035</v>
      </c>
      <c r="D151" s="1" t="s">
        <v>163</v>
      </c>
      <c r="E151" t="s">
        <v>1096</v>
      </c>
      <c r="F151" s="6" t="s">
        <v>1121</v>
      </c>
      <c r="G151" s="6" t="s">
        <v>1151</v>
      </c>
      <c r="H151" s="235"/>
      <c r="I151" s="80" t="s">
        <v>1170</v>
      </c>
      <c r="K151" s="6">
        <v>8</v>
      </c>
      <c r="L151" s="17">
        <f t="shared" si="25"/>
        <v>55000</v>
      </c>
      <c r="M151" s="116"/>
      <c r="O151" s="17">
        <f t="shared" si="32"/>
        <v>440000</v>
      </c>
      <c r="AP151" s="6"/>
      <c r="AQ151" s="235"/>
      <c r="AR151" s="80"/>
      <c r="AT151" s="6"/>
      <c r="AU151" s="17"/>
      <c r="AY151" s="6" t="s">
        <v>1151</v>
      </c>
      <c r="AZ151" s="235" t="s">
        <v>1135</v>
      </c>
      <c r="BA151" s="80" t="s">
        <v>1170</v>
      </c>
      <c r="BB151" s="6">
        <v>8</v>
      </c>
      <c r="BC151" s="17">
        <f t="shared" si="27"/>
        <v>55000</v>
      </c>
      <c r="BD151" s="116">
        <f t="shared" si="28"/>
        <v>0.02</v>
      </c>
      <c r="BE151" s="17">
        <f t="shared" si="33"/>
        <v>438900</v>
      </c>
      <c r="BF151" s="17"/>
      <c r="BG151" s="235" t="s">
        <v>1135</v>
      </c>
      <c r="BH151" s="250">
        <f t="shared" si="24"/>
        <v>700</v>
      </c>
      <c r="BI151" s="250"/>
      <c r="BJ151" s="250"/>
    </row>
    <row r="152" spans="1:62" ht="21" customHeight="1" x14ac:dyDescent="0.35">
      <c r="A152">
        <v>149</v>
      </c>
      <c r="B152" s="136">
        <v>44983</v>
      </c>
      <c r="C152" t="s">
        <v>1036</v>
      </c>
      <c r="D152" s="1" t="s">
        <v>162</v>
      </c>
      <c r="E152" t="s">
        <v>1096</v>
      </c>
      <c r="F152" s="6" t="s">
        <v>1128</v>
      </c>
      <c r="G152" s="6" t="s">
        <v>1152</v>
      </c>
      <c r="H152" s="235"/>
      <c r="I152" s="80" t="s">
        <v>1160</v>
      </c>
      <c r="K152" s="6">
        <v>8</v>
      </c>
      <c r="L152" s="17">
        <f t="shared" si="25"/>
        <v>120000</v>
      </c>
      <c r="M152" s="116"/>
      <c r="O152" s="17">
        <f t="shared" si="32"/>
        <v>960000</v>
      </c>
      <c r="AP152" s="6"/>
      <c r="AQ152" s="235"/>
      <c r="AR152" s="235"/>
      <c r="AT152" s="6"/>
      <c r="AU152" s="17"/>
      <c r="AY152" s="6" t="s">
        <v>1152</v>
      </c>
      <c r="AZ152" s="235" t="s">
        <v>1135</v>
      </c>
      <c r="BA152" s="80" t="s">
        <v>1160</v>
      </c>
      <c r="BB152" s="6">
        <v>8</v>
      </c>
      <c r="BC152" s="17">
        <f t="shared" si="27"/>
        <v>120000</v>
      </c>
      <c r="BD152" s="116">
        <f t="shared" si="28"/>
        <v>0.02</v>
      </c>
      <c r="BE152" s="17">
        <f t="shared" si="33"/>
        <v>957600</v>
      </c>
      <c r="BF152" s="17"/>
      <c r="BG152" s="235" t="s">
        <v>1135</v>
      </c>
      <c r="BH152" s="250">
        <f t="shared" si="24"/>
        <v>700</v>
      </c>
      <c r="BI152" s="250"/>
      <c r="BJ152" s="250"/>
    </row>
    <row r="153" spans="1:62" ht="21" customHeight="1" x14ac:dyDescent="0.35">
      <c r="A153">
        <v>150</v>
      </c>
      <c r="B153" s="136">
        <v>44984</v>
      </c>
      <c r="C153" t="s">
        <v>1037</v>
      </c>
      <c r="D153" s="1" t="s">
        <v>163</v>
      </c>
      <c r="E153" t="s">
        <v>1093</v>
      </c>
      <c r="F153" s="6" t="s">
        <v>1127</v>
      </c>
      <c r="G153" s="6" t="s">
        <v>1144</v>
      </c>
      <c r="H153" s="235"/>
      <c r="I153" s="235" t="s">
        <v>1184</v>
      </c>
      <c r="K153" s="6">
        <v>9</v>
      </c>
      <c r="L153" s="17">
        <f t="shared" si="25"/>
        <v>25500</v>
      </c>
      <c r="M153" s="116"/>
      <c r="O153" s="17">
        <f t="shared" si="32"/>
        <v>229500</v>
      </c>
      <c r="AP153" s="6"/>
      <c r="AQ153" s="235"/>
      <c r="AR153" s="235"/>
      <c r="AT153" s="6"/>
      <c r="AU153" s="17"/>
      <c r="AY153" s="6" t="s">
        <v>1144</v>
      </c>
      <c r="AZ153" s="235" t="s">
        <v>1137</v>
      </c>
      <c r="BA153" s="235" t="s">
        <v>1184</v>
      </c>
      <c r="BB153" s="6">
        <v>9</v>
      </c>
      <c r="BC153" s="17">
        <f t="shared" si="27"/>
        <v>25500</v>
      </c>
      <c r="BD153" s="116">
        <f t="shared" si="28"/>
        <v>0.03</v>
      </c>
      <c r="BE153" s="17">
        <f t="shared" si="33"/>
        <v>228735</v>
      </c>
      <c r="BF153" s="17"/>
      <c r="BG153" s="235" t="s">
        <v>1137</v>
      </c>
      <c r="BH153" s="250">
        <f t="shared" si="24"/>
        <v>755</v>
      </c>
      <c r="BI153" s="250"/>
      <c r="BJ153" s="250"/>
    </row>
    <row r="154" spans="1:62" ht="21" customHeight="1" x14ac:dyDescent="0.35">
      <c r="A154">
        <v>151</v>
      </c>
      <c r="B154" s="136">
        <v>44984</v>
      </c>
      <c r="C154" t="s">
        <v>1038</v>
      </c>
      <c r="D154" s="1" t="s">
        <v>162</v>
      </c>
      <c r="E154" t="s">
        <v>1093</v>
      </c>
      <c r="F154" s="6" t="s">
        <v>1118</v>
      </c>
      <c r="G154" s="6" t="s">
        <v>1152</v>
      </c>
      <c r="H154" s="235"/>
      <c r="I154" s="80" t="s">
        <v>1160</v>
      </c>
      <c r="K154" s="6">
        <v>11</v>
      </c>
      <c r="L154" s="17">
        <f t="shared" si="25"/>
        <v>120000</v>
      </c>
      <c r="M154" s="116"/>
      <c r="O154" s="17">
        <f t="shared" si="32"/>
        <v>1320000</v>
      </c>
      <c r="AP154" s="6"/>
      <c r="AQ154" s="235"/>
      <c r="AR154" s="235"/>
      <c r="AT154" s="6"/>
      <c r="AU154" s="17"/>
      <c r="AY154" s="6" t="s">
        <v>1152</v>
      </c>
      <c r="AZ154" s="235" t="s">
        <v>1135</v>
      </c>
      <c r="BA154" s="80" t="s">
        <v>1160</v>
      </c>
      <c r="BB154" s="6">
        <v>11</v>
      </c>
      <c r="BC154" s="17">
        <f t="shared" si="27"/>
        <v>120000</v>
      </c>
      <c r="BD154" s="116">
        <f t="shared" si="28"/>
        <v>0.03</v>
      </c>
      <c r="BE154" s="17">
        <f t="shared" si="33"/>
        <v>1316400</v>
      </c>
      <c r="BF154" s="17"/>
      <c r="BG154" s="235" t="s">
        <v>1135</v>
      </c>
      <c r="BH154" s="250">
        <f t="shared" ref="BH154:BH183" si="34">IF(AZ154="Food Product",700,IF(AZ154="Non Food Product",900,IF(AZ154="General Merchandise Product",855,755)))</f>
        <v>700</v>
      </c>
      <c r="BI154" s="250"/>
      <c r="BJ154" s="250"/>
    </row>
    <row r="155" spans="1:62" ht="21" customHeight="1" x14ac:dyDescent="0.35">
      <c r="A155">
        <v>152</v>
      </c>
      <c r="B155" s="136">
        <v>44984</v>
      </c>
      <c r="C155" t="s">
        <v>1039</v>
      </c>
      <c r="D155" s="1" t="s">
        <v>162</v>
      </c>
      <c r="E155" t="s">
        <v>1093</v>
      </c>
      <c r="F155" s="6" t="s">
        <v>1118</v>
      </c>
      <c r="G155" s="6" t="s">
        <v>1139</v>
      </c>
      <c r="H155" s="235"/>
      <c r="I155" s="80" t="s">
        <v>1170</v>
      </c>
      <c r="K155" s="6">
        <v>10</v>
      </c>
      <c r="L155" s="17">
        <f t="shared" si="25"/>
        <v>55000</v>
      </c>
      <c r="M155" s="116"/>
      <c r="O155" s="17">
        <f t="shared" si="32"/>
        <v>550000</v>
      </c>
      <c r="AP155" s="6"/>
      <c r="AQ155" s="235"/>
      <c r="AR155" s="235"/>
      <c r="AT155" s="6"/>
      <c r="AU155" s="17"/>
      <c r="AY155" s="6" t="s">
        <v>1139</v>
      </c>
      <c r="AZ155" s="235" t="s">
        <v>1135</v>
      </c>
      <c r="BA155" s="80" t="s">
        <v>1170</v>
      </c>
      <c r="BB155" s="6">
        <v>10</v>
      </c>
      <c r="BC155" s="17">
        <f t="shared" si="27"/>
        <v>55000</v>
      </c>
      <c r="BD155" s="116">
        <f t="shared" si="28"/>
        <v>0.03</v>
      </c>
      <c r="BE155" s="17">
        <f t="shared" si="33"/>
        <v>548350</v>
      </c>
      <c r="BF155" s="17"/>
      <c r="BG155" s="235" t="s">
        <v>1135</v>
      </c>
      <c r="BH155" s="250">
        <f t="shared" si="34"/>
        <v>700</v>
      </c>
      <c r="BI155" s="250"/>
      <c r="BJ155" s="250"/>
    </row>
    <row r="156" spans="1:62" ht="21" customHeight="1" x14ac:dyDescent="0.35">
      <c r="A156">
        <v>153</v>
      </c>
      <c r="B156" s="136">
        <v>44984</v>
      </c>
      <c r="C156" t="s">
        <v>1040</v>
      </c>
      <c r="D156" s="1" t="s">
        <v>162</v>
      </c>
      <c r="E156" t="s">
        <v>1096</v>
      </c>
      <c r="F156" s="6" t="s">
        <v>1128</v>
      </c>
      <c r="G156" s="6" t="s">
        <v>1152</v>
      </c>
      <c r="H156" s="235"/>
      <c r="I156" s="80" t="s">
        <v>1160</v>
      </c>
      <c r="K156" s="6">
        <v>9</v>
      </c>
      <c r="L156" s="17">
        <f t="shared" si="25"/>
        <v>120000</v>
      </c>
      <c r="M156" s="116"/>
      <c r="O156" s="17">
        <f t="shared" si="32"/>
        <v>1080000</v>
      </c>
      <c r="AP156" s="6"/>
      <c r="AQ156" s="235"/>
      <c r="AR156" s="235"/>
      <c r="AT156" s="6"/>
      <c r="AU156" s="17"/>
      <c r="AY156" s="6" t="s">
        <v>1152</v>
      </c>
      <c r="AZ156" s="235" t="s">
        <v>1135</v>
      </c>
      <c r="BA156" s="80" t="s">
        <v>1160</v>
      </c>
      <c r="BB156" s="6">
        <v>9</v>
      </c>
      <c r="BC156" s="17">
        <f t="shared" si="27"/>
        <v>120000</v>
      </c>
      <c r="BD156" s="116">
        <f t="shared" si="28"/>
        <v>0.03</v>
      </c>
      <c r="BE156" s="17">
        <f t="shared" si="33"/>
        <v>1076400</v>
      </c>
      <c r="BF156" s="17"/>
      <c r="BG156" s="235" t="s">
        <v>1135</v>
      </c>
      <c r="BH156" s="250">
        <f t="shared" si="34"/>
        <v>700</v>
      </c>
      <c r="BI156" s="250"/>
      <c r="BJ156" s="250"/>
    </row>
    <row r="157" spans="1:62" ht="21" customHeight="1" x14ac:dyDescent="0.35">
      <c r="A157">
        <v>154</v>
      </c>
      <c r="B157" s="136">
        <v>44985</v>
      </c>
      <c r="C157" t="s">
        <v>1041</v>
      </c>
      <c r="D157" s="1" t="s">
        <v>162</v>
      </c>
      <c r="E157" t="s">
        <v>1096</v>
      </c>
      <c r="F157" s="6" t="s">
        <v>1128</v>
      </c>
      <c r="G157" s="6" t="s">
        <v>1153</v>
      </c>
      <c r="H157" s="235"/>
      <c r="I157" s="80" t="s">
        <v>1180</v>
      </c>
      <c r="K157" s="6">
        <v>5</v>
      </c>
      <c r="L157" s="17">
        <f t="shared" si="25"/>
        <v>75000</v>
      </c>
      <c r="M157" s="116"/>
      <c r="O157" s="17">
        <f t="shared" si="32"/>
        <v>375000</v>
      </c>
      <c r="AP157" s="6"/>
      <c r="AQ157" s="235"/>
      <c r="AR157" s="235"/>
      <c r="AT157" s="6"/>
      <c r="AU157" s="17"/>
      <c r="AY157" s="6" t="s">
        <v>1153</v>
      </c>
      <c r="AZ157" s="235" t="s">
        <v>1138</v>
      </c>
      <c r="BA157" s="80" t="s">
        <v>1180</v>
      </c>
      <c r="BB157" s="6">
        <v>5</v>
      </c>
      <c r="BC157" s="17">
        <f t="shared" si="27"/>
        <v>75000</v>
      </c>
      <c r="BD157" s="116">
        <f t="shared" si="28"/>
        <v>0.02</v>
      </c>
      <c r="BE157" s="17">
        <f t="shared" si="33"/>
        <v>373500</v>
      </c>
      <c r="BF157" s="17"/>
      <c r="BG157" s="235" t="s">
        <v>1138</v>
      </c>
      <c r="BH157" s="250">
        <f t="shared" si="34"/>
        <v>855</v>
      </c>
      <c r="BI157" s="250"/>
      <c r="BJ157" s="250"/>
    </row>
    <row r="158" spans="1:62" ht="21" customHeight="1" x14ac:dyDescent="0.35">
      <c r="A158">
        <v>155</v>
      </c>
      <c r="B158" s="136">
        <v>44985</v>
      </c>
      <c r="C158" t="s">
        <v>1042</v>
      </c>
      <c r="D158" s="1" t="s">
        <v>162</v>
      </c>
      <c r="E158" t="s">
        <v>1096</v>
      </c>
      <c r="F158" s="6" t="s">
        <v>1127</v>
      </c>
      <c r="G158" s="6" t="s">
        <v>1153</v>
      </c>
      <c r="H158" s="235"/>
      <c r="I158" s="80" t="s">
        <v>1179</v>
      </c>
      <c r="K158" s="6">
        <v>5</v>
      </c>
      <c r="L158" s="17">
        <f t="shared" si="25"/>
        <v>85000</v>
      </c>
      <c r="M158" s="116"/>
      <c r="O158" s="17">
        <f t="shared" si="32"/>
        <v>425000</v>
      </c>
      <c r="AP158" s="6"/>
      <c r="AQ158" s="235"/>
      <c r="AR158" s="235"/>
      <c r="AT158" s="6"/>
      <c r="AU158" s="17"/>
      <c r="AY158" s="6" t="s">
        <v>1153</v>
      </c>
      <c r="AZ158" s="235" t="s">
        <v>1138</v>
      </c>
      <c r="BA158" s="80" t="s">
        <v>1179</v>
      </c>
      <c r="BB158" s="6">
        <v>5</v>
      </c>
      <c r="BC158" s="17">
        <f t="shared" si="27"/>
        <v>85000</v>
      </c>
      <c r="BD158" s="116">
        <f t="shared" si="28"/>
        <v>0.02</v>
      </c>
      <c r="BE158" s="17">
        <f t="shared" si="33"/>
        <v>423300</v>
      </c>
      <c r="BF158" s="17"/>
      <c r="BG158" s="235" t="s">
        <v>1138</v>
      </c>
      <c r="BH158" s="250">
        <f t="shared" si="34"/>
        <v>855</v>
      </c>
      <c r="BI158" s="250"/>
      <c r="BJ158" s="250"/>
    </row>
    <row r="159" spans="1:62" ht="21" customHeight="1" x14ac:dyDescent="0.35">
      <c r="A159">
        <v>156</v>
      </c>
      <c r="B159" s="136">
        <v>44985</v>
      </c>
      <c r="C159" t="s">
        <v>1043</v>
      </c>
      <c r="D159" s="1" t="s">
        <v>163</v>
      </c>
      <c r="E159" t="s">
        <v>1096</v>
      </c>
      <c r="F159" s="6" t="s">
        <v>1127</v>
      </c>
      <c r="G159" s="6" t="s">
        <v>1152</v>
      </c>
      <c r="H159" s="235"/>
      <c r="I159" s="80" t="s">
        <v>1170</v>
      </c>
      <c r="K159" s="6">
        <v>3</v>
      </c>
      <c r="L159" s="17">
        <f t="shared" si="25"/>
        <v>55000</v>
      </c>
      <c r="M159" s="116"/>
      <c r="O159" s="17">
        <f t="shared" si="32"/>
        <v>165000</v>
      </c>
      <c r="AP159" s="6"/>
      <c r="AQ159" s="235"/>
      <c r="AR159" s="235"/>
      <c r="AT159" s="6"/>
      <c r="AU159" s="17"/>
      <c r="AY159" s="6" t="s">
        <v>1152</v>
      </c>
      <c r="AZ159" s="235" t="s">
        <v>1135</v>
      </c>
      <c r="BA159" s="80" t="s">
        <v>1170</v>
      </c>
      <c r="BB159" s="6">
        <v>3</v>
      </c>
      <c r="BC159" s="17">
        <f t="shared" si="27"/>
        <v>55000</v>
      </c>
      <c r="BD159" s="116">
        <f t="shared" si="28"/>
        <v>0.02</v>
      </c>
      <c r="BE159" s="17">
        <f t="shared" si="33"/>
        <v>163900</v>
      </c>
      <c r="BF159" s="17"/>
      <c r="BG159" s="235" t="s">
        <v>1135</v>
      </c>
      <c r="BH159" s="250">
        <f t="shared" si="34"/>
        <v>700</v>
      </c>
      <c r="BI159" s="250"/>
      <c r="BJ159" s="250"/>
    </row>
    <row r="160" spans="1:62" ht="21" customHeight="1" x14ac:dyDescent="0.35">
      <c r="A160">
        <v>157</v>
      </c>
      <c r="B160" s="136">
        <v>44985</v>
      </c>
      <c r="C160" t="s">
        <v>1044</v>
      </c>
      <c r="D160" s="1" t="s">
        <v>162</v>
      </c>
      <c r="E160" t="s">
        <v>1093</v>
      </c>
      <c r="F160" s="6" t="s">
        <v>1128</v>
      </c>
      <c r="G160" s="6" t="s">
        <v>1144</v>
      </c>
      <c r="H160" s="235"/>
      <c r="I160" s="235" t="s">
        <v>1184</v>
      </c>
      <c r="K160" s="6">
        <v>2</v>
      </c>
      <c r="L160" s="17">
        <f t="shared" si="25"/>
        <v>25500</v>
      </c>
      <c r="M160" s="116"/>
      <c r="O160" s="17">
        <f t="shared" si="32"/>
        <v>51000</v>
      </c>
      <c r="AP160" s="6"/>
      <c r="AQ160" s="235"/>
      <c r="AR160" s="235"/>
      <c r="AT160" s="6"/>
      <c r="AU160" s="17"/>
      <c r="AY160" s="6" t="s">
        <v>1144</v>
      </c>
      <c r="AZ160" s="235" t="s">
        <v>1137</v>
      </c>
      <c r="BA160" s="235" t="s">
        <v>1184</v>
      </c>
      <c r="BB160" s="6">
        <v>2</v>
      </c>
      <c r="BC160" s="17">
        <f t="shared" si="27"/>
        <v>25500</v>
      </c>
      <c r="BD160" s="116">
        <f t="shared" ref="BD160" si="35">IF(BB160&gt;8,3%,2%)</f>
        <v>0.02</v>
      </c>
      <c r="BE160" s="17">
        <f t="shared" si="33"/>
        <v>50490</v>
      </c>
      <c r="BF160" s="17"/>
      <c r="BG160" s="235" t="s">
        <v>1137</v>
      </c>
      <c r="BH160" s="250">
        <f t="shared" si="34"/>
        <v>755</v>
      </c>
      <c r="BI160" s="250"/>
      <c r="BJ160" s="250"/>
    </row>
    <row r="161" spans="1:62" ht="21" customHeight="1" x14ac:dyDescent="0.35">
      <c r="A161">
        <v>158</v>
      </c>
      <c r="B161" s="136">
        <v>44985</v>
      </c>
      <c r="C161" t="s">
        <v>1069</v>
      </c>
      <c r="D161" s="1" t="s">
        <v>162</v>
      </c>
      <c r="E161" t="s">
        <v>1093</v>
      </c>
      <c r="F161" s="6" t="s">
        <v>1128</v>
      </c>
      <c r="G161" s="6" t="s">
        <v>1153</v>
      </c>
      <c r="H161" s="235"/>
      <c r="I161" s="80" t="s">
        <v>1180</v>
      </c>
      <c r="K161" s="6">
        <v>2</v>
      </c>
      <c r="L161" s="17">
        <f t="shared" si="25"/>
        <v>75000</v>
      </c>
      <c r="M161" s="116"/>
      <c r="O161" s="17">
        <f t="shared" si="32"/>
        <v>150000</v>
      </c>
      <c r="AP161" s="6"/>
      <c r="AQ161" s="235"/>
      <c r="AR161" s="80"/>
      <c r="AT161" s="6"/>
      <c r="AU161" s="17"/>
      <c r="AY161" s="6" t="s">
        <v>1153</v>
      </c>
      <c r="AZ161" s="235" t="s">
        <v>1138</v>
      </c>
      <c r="BA161" s="80" t="s">
        <v>1180</v>
      </c>
      <c r="BB161" s="6">
        <v>2</v>
      </c>
      <c r="BC161" s="17">
        <f t="shared" si="27"/>
        <v>75000</v>
      </c>
      <c r="BD161" s="116">
        <f t="shared" ref="BD161:BD183" si="36">IF(BB161&gt;8,3%,2%)</f>
        <v>0.02</v>
      </c>
      <c r="BE161" s="17">
        <f t="shared" si="33"/>
        <v>148500</v>
      </c>
      <c r="BF161" s="17"/>
      <c r="BG161" s="235" t="s">
        <v>1138</v>
      </c>
      <c r="BH161" s="250">
        <f t="shared" si="34"/>
        <v>855</v>
      </c>
      <c r="BI161" s="250"/>
      <c r="BJ161" s="250"/>
    </row>
    <row r="162" spans="1:62" ht="21" customHeight="1" x14ac:dyDescent="0.35">
      <c r="A162">
        <v>159</v>
      </c>
      <c r="B162" s="136">
        <v>44985</v>
      </c>
      <c r="C162" t="s">
        <v>1070</v>
      </c>
      <c r="D162" s="1" t="s">
        <v>163</v>
      </c>
      <c r="E162" t="s">
        <v>1096</v>
      </c>
      <c r="F162" s="6" t="s">
        <v>1128</v>
      </c>
      <c r="G162" s="6" t="s">
        <v>1144</v>
      </c>
      <c r="H162" s="235"/>
      <c r="I162" s="235" t="s">
        <v>1186</v>
      </c>
      <c r="K162" s="6">
        <v>2</v>
      </c>
      <c r="L162" s="17">
        <f t="shared" si="25"/>
        <v>69999</v>
      </c>
      <c r="M162" s="116"/>
      <c r="O162" s="17">
        <f t="shared" si="32"/>
        <v>139998</v>
      </c>
      <c r="AP162" s="6"/>
      <c r="AQ162" s="235"/>
      <c r="AR162" s="80"/>
      <c r="AT162" s="6"/>
      <c r="AU162" s="17"/>
      <c r="AY162" s="6" t="s">
        <v>1144</v>
      </c>
      <c r="AZ162" s="235" t="s">
        <v>1137</v>
      </c>
      <c r="BA162" s="235" t="s">
        <v>1186</v>
      </c>
      <c r="BB162" s="6">
        <v>2</v>
      </c>
      <c r="BC162" s="17">
        <f t="shared" si="27"/>
        <v>69999</v>
      </c>
      <c r="BD162" s="116">
        <f t="shared" si="36"/>
        <v>0.02</v>
      </c>
      <c r="BE162" s="17">
        <f t="shared" si="33"/>
        <v>138598.01999999999</v>
      </c>
      <c r="BF162" s="17"/>
      <c r="BG162" s="235" t="s">
        <v>1137</v>
      </c>
      <c r="BH162" s="250">
        <f t="shared" si="34"/>
        <v>755</v>
      </c>
      <c r="BI162" s="250"/>
      <c r="BJ162" s="250"/>
    </row>
    <row r="163" spans="1:62" ht="21" customHeight="1" x14ac:dyDescent="0.35">
      <c r="A163">
        <v>160</v>
      </c>
      <c r="B163" s="136">
        <v>44986</v>
      </c>
      <c r="C163" t="s">
        <v>1071</v>
      </c>
      <c r="D163" s="1" t="s">
        <v>163</v>
      </c>
      <c r="E163" t="s">
        <v>1093</v>
      </c>
      <c r="F163" s="6" t="s">
        <v>1127</v>
      </c>
      <c r="G163" s="6" t="s">
        <v>1144</v>
      </c>
      <c r="H163" s="235"/>
      <c r="I163" s="235" t="s">
        <v>1184</v>
      </c>
      <c r="K163" s="6">
        <v>4</v>
      </c>
      <c r="L163" s="17">
        <f t="shared" si="25"/>
        <v>25500</v>
      </c>
      <c r="M163" s="116"/>
      <c r="O163" s="17">
        <f t="shared" si="32"/>
        <v>102000</v>
      </c>
      <c r="AP163" s="6"/>
      <c r="AQ163" s="235"/>
      <c r="AR163" s="80"/>
      <c r="AT163" s="6"/>
      <c r="AU163" s="17"/>
      <c r="AY163" s="6" t="s">
        <v>1144</v>
      </c>
      <c r="AZ163" s="235" t="s">
        <v>1137</v>
      </c>
      <c r="BA163" s="235" t="s">
        <v>1184</v>
      </c>
      <c r="BB163" s="6">
        <v>4</v>
      </c>
      <c r="BC163" s="17">
        <f t="shared" si="27"/>
        <v>25500</v>
      </c>
      <c r="BD163" s="116">
        <f t="shared" si="36"/>
        <v>0.02</v>
      </c>
      <c r="BE163" s="17">
        <f t="shared" si="33"/>
        <v>101490</v>
      </c>
      <c r="BF163" s="17"/>
      <c r="BG163" s="235" t="s">
        <v>1137</v>
      </c>
      <c r="BH163" s="250">
        <f t="shared" si="34"/>
        <v>755</v>
      </c>
      <c r="BI163" s="250"/>
      <c r="BJ163" s="250"/>
    </row>
    <row r="164" spans="1:62" ht="21" customHeight="1" x14ac:dyDescent="0.35">
      <c r="A164">
        <v>161</v>
      </c>
      <c r="B164" s="136">
        <v>44986</v>
      </c>
      <c r="C164" t="s">
        <v>1072</v>
      </c>
      <c r="D164" s="1" t="s">
        <v>162</v>
      </c>
      <c r="E164" t="s">
        <v>1096</v>
      </c>
      <c r="F164" s="6" t="s">
        <v>1127</v>
      </c>
      <c r="G164" s="6" t="s">
        <v>1144</v>
      </c>
      <c r="H164" s="235"/>
      <c r="I164" s="235" t="s">
        <v>1184</v>
      </c>
      <c r="K164" s="6">
        <v>5</v>
      </c>
      <c r="L164" s="17">
        <f t="shared" ref="L164:L183" si="37">INDEX($S$40:$S$69,MATCH(I164,$R$40:$R$69,0))</f>
        <v>25500</v>
      </c>
      <c r="M164" s="116"/>
      <c r="O164" s="17">
        <f t="shared" si="32"/>
        <v>127500</v>
      </c>
      <c r="AP164" s="6"/>
      <c r="AQ164" s="235"/>
      <c r="AR164" s="80"/>
      <c r="AT164" s="6"/>
      <c r="AU164" s="17"/>
      <c r="AY164" s="6" t="s">
        <v>1144</v>
      </c>
      <c r="AZ164" s="235" t="s">
        <v>1137</v>
      </c>
      <c r="BA164" s="235" t="s">
        <v>1184</v>
      </c>
      <c r="BB164" s="6">
        <v>5</v>
      </c>
      <c r="BC164" s="17">
        <f t="shared" ref="BC164:BC183" si="38">INDEX($S$40:$S$69,MATCH(BA164,$R$40:$R$69,0))</f>
        <v>25500</v>
      </c>
      <c r="BD164" s="116">
        <f t="shared" si="36"/>
        <v>0.02</v>
      </c>
      <c r="BE164" s="17">
        <f t="shared" si="33"/>
        <v>126990</v>
      </c>
      <c r="BF164" s="17"/>
      <c r="BG164" s="235" t="s">
        <v>1137</v>
      </c>
      <c r="BH164" s="250">
        <f t="shared" si="34"/>
        <v>755</v>
      </c>
      <c r="BI164" s="250"/>
      <c r="BJ164" s="250"/>
    </row>
    <row r="165" spans="1:62" ht="21" customHeight="1" x14ac:dyDescent="0.35">
      <c r="A165">
        <v>162</v>
      </c>
      <c r="B165" s="136">
        <v>44986</v>
      </c>
      <c r="C165" t="s">
        <v>1073</v>
      </c>
      <c r="D165" s="1" t="s">
        <v>163</v>
      </c>
      <c r="E165" t="s">
        <v>1096</v>
      </c>
      <c r="F165" s="6" t="s">
        <v>1121</v>
      </c>
      <c r="G165" s="6" t="s">
        <v>1152</v>
      </c>
      <c r="H165" s="235"/>
      <c r="I165" s="80" t="s">
        <v>1160</v>
      </c>
      <c r="K165" s="6">
        <v>5</v>
      </c>
      <c r="L165" s="17">
        <f t="shared" si="37"/>
        <v>120000</v>
      </c>
      <c r="M165" s="116"/>
      <c r="O165" s="17">
        <f t="shared" si="32"/>
        <v>600000</v>
      </c>
      <c r="AP165" s="6"/>
      <c r="AQ165" s="235"/>
      <c r="AR165" s="80"/>
      <c r="AT165" s="6"/>
      <c r="AU165" s="17"/>
      <c r="AY165" s="6" t="s">
        <v>1152</v>
      </c>
      <c r="AZ165" s="235" t="s">
        <v>1135</v>
      </c>
      <c r="BA165" s="80" t="s">
        <v>1160</v>
      </c>
      <c r="BB165" s="6">
        <v>5</v>
      </c>
      <c r="BC165" s="17">
        <f t="shared" si="38"/>
        <v>120000</v>
      </c>
      <c r="BD165" s="116">
        <f t="shared" si="36"/>
        <v>0.02</v>
      </c>
      <c r="BE165" s="17">
        <f t="shared" si="33"/>
        <v>597600</v>
      </c>
      <c r="BF165" s="17"/>
      <c r="BG165" s="235" t="s">
        <v>1135</v>
      </c>
      <c r="BH165" s="250">
        <f t="shared" si="34"/>
        <v>700</v>
      </c>
      <c r="BI165" s="250"/>
      <c r="BJ165" s="250"/>
    </row>
    <row r="166" spans="1:62" ht="21" customHeight="1" x14ac:dyDescent="0.35">
      <c r="A166">
        <v>163</v>
      </c>
      <c r="B166" s="136">
        <v>44986</v>
      </c>
      <c r="C166" t="s">
        <v>1074</v>
      </c>
      <c r="D166" s="1" t="s">
        <v>162</v>
      </c>
      <c r="E166" t="s">
        <v>1096</v>
      </c>
      <c r="F166" s="6" t="s">
        <v>1118</v>
      </c>
      <c r="G166" s="6" t="s">
        <v>1152</v>
      </c>
      <c r="H166" s="235"/>
      <c r="I166" s="80" t="s">
        <v>1160</v>
      </c>
      <c r="K166" s="6">
        <v>7</v>
      </c>
      <c r="L166" s="17">
        <f t="shared" si="37"/>
        <v>120000</v>
      </c>
      <c r="M166" s="116"/>
      <c r="O166" s="17">
        <f t="shared" si="32"/>
        <v>840000</v>
      </c>
      <c r="AP166" s="6"/>
      <c r="AQ166" s="235"/>
      <c r="AR166" s="80"/>
      <c r="AT166" s="6"/>
      <c r="AU166" s="17"/>
      <c r="AY166" s="6" t="s">
        <v>1152</v>
      </c>
      <c r="AZ166" s="235" t="s">
        <v>1135</v>
      </c>
      <c r="BA166" s="80" t="s">
        <v>1160</v>
      </c>
      <c r="BB166" s="6">
        <v>7</v>
      </c>
      <c r="BC166" s="17">
        <f t="shared" si="38"/>
        <v>120000</v>
      </c>
      <c r="BD166" s="116">
        <f t="shared" si="36"/>
        <v>0.02</v>
      </c>
      <c r="BE166" s="17">
        <f t="shared" si="33"/>
        <v>837600</v>
      </c>
      <c r="BF166" s="17"/>
      <c r="BG166" s="235" t="s">
        <v>1135</v>
      </c>
      <c r="BH166" s="250">
        <f t="shared" si="34"/>
        <v>700</v>
      </c>
      <c r="BI166" s="250"/>
      <c r="BJ166" s="250"/>
    </row>
    <row r="167" spans="1:62" ht="21" customHeight="1" x14ac:dyDescent="0.35">
      <c r="A167">
        <v>164</v>
      </c>
      <c r="B167" s="136">
        <v>44986</v>
      </c>
      <c r="C167" t="s">
        <v>1075</v>
      </c>
      <c r="D167" s="1" t="s">
        <v>163</v>
      </c>
      <c r="E167" t="s">
        <v>1096</v>
      </c>
      <c r="F167" s="6" t="s">
        <v>1127</v>
      </c>
      <c r="G167" s="6" t="s">
        <v>1152</v>
      </c>
      <c r="H167" s="235"/>
      <c r="I167" s="80" t="s">
        <v>1170</v>
      </c>
      <c r="K167" s="6">
        <v>7</v>
      </c>
      <c r="L167" s="17">
        <f t="shared" si="37"/>
        <v>55000</v>
      </c>
      <c r="M167" s="116"/>
      <c r="O167" s="17">
        <f t="shared" si="32"/>
        <v>385000</v>
      </c>
      <c r="AP167" s="6"/>
      <c r="AQ167" s="235"/>
      <c r="AR167" s="80"/>
      <c r="AT167" s="6"/>
      <c r="AU167" s="17"/>
      <c r="AY167" s="6" t="s">
        <v>1152</v>
      </c>
      <c r="AZ167" s="235" t="s">
        <v>1135</v>
      </c>
      <c r="BA167" s="80" t="s">
        <v>1170</v>
      </c>
      <c r="BB167" s="6">
        <v>7</v>
      </c>
      <c r="BC167" s="17">
        <f t="shared" si="38"/>
        <v>55000</v>
      </c>
      <c r="BD167" s="116">
        <f t="shared" si="36"/>
        <v>0.02</v>
      </c>
      <c r="BE167" s="17">
        <f t="shared" si="33"/>
        <v>383900</v>
      </c>
      <c r="BF167" s="17"/>
      <c r="BG167" s="235" t="s">
        <v>1135</v>
      </c>
      <c r="BH167" s="250">
        <f t="shared" si="34"/>
        <v>700</v>
      </c>
      <c r="BI167" s="250"/>
      <c r="BJ167" s="250"/>
    </row>
    <row r="168" spans="1:62" ht="21" customHeight="1" x14ac:dyDescent="0.35">
      <c r="A168">
        <v>165</v>
      </c>
      <c r="B168" s="136">
        <v>44987</v>
      </c>
      <c r="C168" t="s">
        <v>1076</v>
      </c>
      <c r="D168" s="1" t="s">
        <v>163</v>
      </c>
      <c r="E168" t="s">
        <v>1096</v>
      </c>
      <c r="F168" s="6" t="s">
        <v>1121</v>
      </c>
      <c r="G168" s="6" t="s">
        <v>1149</v>
      </c>
      <c r="H168" s="235"/>
      <c r="I168" s="235" t="s">
        <v>1177</v>
      </c>
      <c r="K168" s="6">
        <v>7</v>
      </c>
      <c r="L168" s="17">
        <f t="shared" si="37"/>
        <v>195000</v>
      </c>
      <c r="M168" s="116"/>
      <c r="O168" s="17">
        <f t="shared" si="32"/>
        <v>1365000</v>
      </c>
      <c r="AP168" s="6"/>
      <c r="AQ168" s="235"/>
      <c r="AR168" s="80"/>
      <c r="AT168" s="6"/>
      <c r="AU168" s="17"/>
      <c r="AY168" s="6" t="s">
        <v>1149</v>
      </c>
      <c r="AZ168" s="235" t="s">
        <v>1136</v>
      </c>
      <c r="BA168" s="235" t="s">
        <v>1177</v>
      </c>
      <c r="BB168" s="6">
        <v>7</v>
      </c>
      <c r="BC168" s="17">
        <f t="shared" si="38"/>
        <v>195000</v>
      </c>
      <c r="BD168" s="116">
        <f t="shared" si="36"/>
        <v>0.02</v>
      </c>
      <c r="BE168" s="17">
        <f t="shared" si="33"/>
        <v>1361100</v>
      </c>
      <c r="BF168" s="17"/>
      <c r="BG168" s="235" t="s">
        <v>1136</v>
      </c>
      <c r="BH168" s="250">
        <f t="shared" si="34"/>
        <v>900</v>
      </c>
      <c r="BI168" s="250"/>
      <c r="BJ168" s="250"/>
    </row>
    <row r="169" spans="1:62" ht="21" customHeight="1" x14ac:dyDescent="0.35">
      <c r="A169">
        <v>166</v>
      </c>
      <c r="B169" s="136">
        <v>44987</v>
      </c>
      <c r="C169" t="s">
        <v>1077</v>
      </c>
      <c r="D169" s="1" t="s">
        <v>162</v>
      </c>
      <c r="E169" t="s">
        <v>1096</v>
      </c>
      <c r="F169" s="6" t="s">
        <v>1118</v>
      </c>
      <c r="G169" s="6" t="s">
        <v>1150</v>
      </c>
      <c r="H169" s="235"/>
      <c r="I169" s="235" t="s">
        <v>1177</v>
      </c>
      <c r="K169" s="6">
        <v>8</v>
      </c>
      <c r="L169" s="17">
        <f t="shared" si="37"/>
        <v>195000</v>
      </c>
      <c r="M169" s="116"/>
      <c r="O169" s="17">
        <f t="shared" si="32"/>
        <v>1560000</v>
      </c>
      <c r="AP169" s="6"/>
      <c r="AQ169" s="235"/>
      <c r="AR169" s="80"/>
      <c r="AT169" s="6"/>
      <c r="AU169" s="17"/>
      <c r="AY169" s="6" t="s">
        <v>1150</v>
      </c>
      <c r="AZ169" s="235" t="s">
        <v>1136</v>
      </c>
      <c r="BA169" s="235" t="s">
        <v>1177</v>
      </c>
      <c r="BB169" s="6">
        <v>8</v>
      </c>
      <c r="BC169" s="17">
        <f t="shared" si="38"/>
        <v>195000</v>
      </c>
      <c r="BD169" s="116">
        <f t="shared" si="36"/>
        <v>0.02</v>
      </c>
      <c r="BE169" s="17">
        <f t="shared" si="33"/>
        <v>1556100</v>
      </c>
      <c r="BF169" s="17"/>
      <c r="BG169" s="235" t="s">
        <v>1136</v>
      </c>
      <c r="BH169" s="250">
        <f t="shared" si="34"/>
        <v>900</v>
      </c>
      <c r="BI169" s="250"/>
      <c r="BJ169" s="250"/>
    </row>
    <row r="170" spans="1:62" ht="21" customHeight="1" x14ac:dyDescent="0.35">
      <c r="A170">
        <v>167</v>
      </c>
      <c r="B170" s="136">
        <v>44987</v>
      </c>
      <c r="C170" t="s">
        <v>1078</v>
      </c>
      <c r="D170" s="1" t="s">
        <v>163</v>
      </c>
      <c r="E170" t="s">
        <v>1096</v>
      </c>
      <c r="F170" s="6" t="s">
        <v>1128</v>
      </c>
      <c r="G170" s="6" t="s">
        <v>1153</v>
      </c>
      <c r="H170" s="235"/>
      <c r="I170" s="80" t="s">
        <v>1180</v>
      </c>
      <c r="K170" s="6">
        <v>5</v>
      </c>
      <c r="L170" s="17">
        <f t="shared" si="37"/>
        <v>75000</v>
      </c>
      <c r="M170" s="116"/>
      <c r="O170" s="17">
        <f t="shared" si="32"/>
        <v>375000</v>
      </c>
      <c r="AP170" s="6"/>
      <c r="AQ170" s="235"/>
      <c r="AR170" s="235"/>
      <c r="AT170" s="6"/>
      <c r="AU170" s="17"/>
      <c r="AY170" s="6" t="s">
        <v>1153</v>
      </c>
      <c r="AZ170" s="235" t="s">
        <v>1138</v>
      </c>
      <c r="BA170" s="80" t="s">
        <v>1180</v>
      </c>
      <c r="BB170" s="6">
        <v>5</v>
      </c>
      <c r="BC170" s="17">
        <f t="shared" si="38"/>
        <v>75000</v>
      </c>
      <c r="BD170" s="116">
        <f t="shared" si="36"/>
        <v>0.02</v>
      </c>
      <c r="BE170" s="17">
        <f t="shared" si="33"/>
        <v>373500</v>
      </c>
      <c r="BF170" s="17"/>
      <c r="BG170" s="235" t="s">
        <v>1138</v>
      </c>
      <c r="BH170" s="250">
        <f t="shared" si="34"/>
        <v>855</v>
      </c>
      <c r="BI170" s="250"/>
      <c r="BJ170" s="250"/>
    </row>
    <row r="171" spans="1:62" ht="21" customHeight="1" x14ac:dyDescent="0.35">
      <c r="A171">
        <v>168</v>
      </c>
      <c r="B171" s="136">
        <v>44987</v>
      </c>
      <c r="C171" t="s">
        <v>1079</v>
      </c>
      <c r="D171" s="1" t="s">
        <v>162</v>
      </c>
      <c r="E171" t="s">
        <v>1093</v>
      </c>
      <c r="F171" s="6" t="s">
        <v>1128</v>
      </c>
      <c r="G171" s="6" t="s">
        <v>1149</v>
      </c>
      <c r="H171" s="235"/>
      <c r="I171" s="235" t="s">
        <v>1175</v>
      </c>
      <c r="K171" s="6">
        <v>4</v>
      </c>
      <c r="L171" s="17">
        <f t="shared" si="37"/>
        <v>115000</v>
      </c>
      <c r="M171" s="116"/>
      <c r="O171" s="17">
        <f t="shared" si="32"/>
        <v>460000</v>
      </c>
      <c r="AP171" s="6"/>
      <c r="AQ171" s="235"/>
      <c r="AR171" s="235"/>
      <c r="AT171" s="6"/>
      <c r="AU171" s="17"/>
      <c r="AY171" s="6" t="s">
        <v>1149</v>
      </c>
      <c r="AZ171" s="235" t="s">
        <v>1136</v>
      </c>
      <c r="BA171" s="235" t="s">
        <v>1175</v>
      </c>
      <c r="BB171" s="6">
        <v>4</v>
      </c>
      <c r="BC171" s="17">
        <f t="shared" si="38"/>
        <v>115000</v>
      </c>
      <c r="BD171" s="116">
        <f t="shared" si="36"/>
        <v>0.02</v>
      </c>
      <c r="BE171" s="17">
        <f t="shared" si="33"/>
        <v>457700</v>
      </c>
      <c r="BF171" s="17"/>
      <c r="BG171" s="235" t="s">
        <v>1136</v>
      </c>
      <c r="BH171" s="250">
        <f t="shared" si="34"/>
        <v>900</v>
      </c>
      <c r="BI171" s="250"/>
      <c r="BJ171" s="250"/>
    </row>
    <row r="172" spans="1:62" ht="21" customHeight="1" x14ac:dyDescent="0.35">
      <c r="A172">
        <v>169</v>
      </c>
      <c r="B172" s="136">
        <v>44987</v>
      </c>
      <c r="C172" t="s">
        <v>1080</v>
      </c>
      <c r="D172" s="1" t="s">
        <v>162</v>
      </c>
      <c r="E172" t="s">
        <v>1093</v>
      </c>
      <c r="F172" s="6" t="s">
        <v>1128</v>
      </c>
      <c r="G172" s="6" t="s">
        <v>1151</v>
      </c>
      <c r="H172" s="235"/>
      <c r="I172" s="80" t="s">
        <v>1170</v>
      </c>
      <c r="K172" s="6">
        <v>6</v>
      </c>
      <c r="L172" s="17">
        <f t="shared" si="37"/>
        <v>55000</v>
      </c>
      <c r="M172" s="116"/>
      <c r="O172" s="17">
        <f t="shared" si="32"/>
        <v>330000</v>
      </c>
      <c r="AP172" s="6"/>
      <c r="AQ172" s="235"/>
      <c r="AR172" s="235"/>
      <c r="AT172" s="6"/>
      <c r="AU172" s="17"/>
      <c r="AY172" s="6" t="s">
        <v>1151</v>
      </c>
      <c r="AZ172" s="235" t="s">
        <v>1135</v>
      </c>
      <c r="BA172" s="80" t="s">
        <v>1170</v>
      </c>
      <c r="BB172" s="6">
        <v>6</v>
      </c>
      <c r="BC172" s="17">
        <f t="shared" si="38"/>
        <v>55000</v>
      </c>
      <c r="BD172" s="116">
        <f t="shared" si="36"/>
        <v>0.02</v>
      </c>
      <c r="BE172" s="17">
        <f t="shared" si="33"/>
        <v>328900</v>
      </c>
      <c r="BF172" s="17"/>
      <c r="BG172" s="235" t="s">
        <v>1135</v>
      </c>
      <c r="BH172" s="250">
        <f t="shared" si="34"/>
        <v>700</v>
      </c>
      <c r="BI172" s="250"/>
      <c r="BJ172" s="250"/>
    </row>
    <row r="173" spans="1:62" ht="21" customHeight="1" x14ac:dyDescent="0.35">
      <c r="A173">
        <v>170</v>
      </c>
      <c r="B173" s="136">
        <v>44987</v>
      </c>
      <c r="C173" t="s">
        <v>1081</v>
      </c>
      <c r="D173" s="1" t="s">
        <v>162</v>
      </c>
      <c r="E173" t="s">
        <v>1093</v>
      </c>
      <c r="F173" s="6" t="s">
        <v>1118</v>
      </c>
      <c r="G173" s="6" t="s">
        <v>1139</v>
      </c>
      <c r="H173" s="235"/>
      <c r="I173" s="80" t="s">
        <v>1160</v>
      </c>
      <c r="K173" s="6">
        <v>8</v>
      </c>
      <c r="L173" s="17">
        <f t="shared" si="37"/>
        <v>120000</v>
      </c>
      <c r="M173" s="116"/>
      <c r="O173" s="17">
        <f t="shared" si="32"/>
        <v>960000</v>
      </c>
      <c r="AP173" s="6"/>
      <c r="AQ173" s="235"/>
      <c r="AR173" s="235"/>
      <c r="AT173" s="6"/>
      <c r="AU173" s="17"/>
      <c r="AY173" s="6" t="s">
        <v>1139</v>
      </c>
      <c r="AZ173" s="235" t="s">
        <v>1135</v>
      </c>
      <c r="BA173" s="80" t="s">
        <v>1160</v>
      </c>
      <c r="BB173" s="6">
        <v>8</v>
      </c>
      <c r="BC173" s="17">
        <f t="shared" si="38"/>
        <v>120000</v>
      </c>
      <c r="BD173" s="116">
        <f t="shared" si="36"/>
        <v>0.02</v>
      </c>
      <c r="BE173" s="17">
        <f t="shared" si="33"/>
        <v>957600</v>
      </c>
      <c r="BF173" s="17"/>
      <c r="BG173" s="235" t="s">
        <v>1135</v>
      </c>
      <c r="BH173" s="250">
        <f t="shared" si="34"/>
        <v>700</v>
      </c>
      <c r="BI173" s="250"/>
      <c r="BJ173" s="250"/>
    </row>
    <row r="174" spans="1:62" ht="21" customHeight="1" x14ac:dyDescent="0.35">
      <c r="A174">
        <v>171</v>
      </c>
      <c r="B174" s="136">
        <v>44988</v>
      </c>
      <c r="C174" t="s">
        <v>1082</v>
      </c>
      <c r="D174" s="1" t="s">
        <v>162</v>
      </c>
      <c r="E174" t="s">
        <v>1093</v>
      </c>
      <c r="F174" s="6" t="s">
        <v>1118</v>
      </c>
      <c r="G174" s="6" t="s">
        <v>1139</v>
      </c>
      <c r="H174" s="235"/>
      <c r="I174" s="80" t="s">
        <v>1159</v>
      </c>
      <c r="K174" s="6">
        <v>8</v>
      </c>
      <c r="L174" s="17">
        <f t="shared" si="37"/>
        <v>75000</v>
      </c>
      <c r="M174" s="116"/>
      <c r="O174" s="17">
        <f t="shared" si="32"/>
        <v>600000</v>
      </c>
      <c r="AP174" s="6"/>
      <c r="AQ174" s="235"/>
      <c r="AR174" s="235"/>
      <c r="AT174" s="6"/>
      <c r="AU174" s="17"/>
      <c r="AY174" s="6" t="s">
        <v>1139</v>
      </c>
      <c r="AZ174" s="235" t="s">
        <v>1135</v>
      </c>
      <c r="BA174" s="80" t="s">
        <v>1159</v>
      </c>
      <c r="BB174" s="6">
        <v>8</v>
      </c>
      <c r="BC174" s="17">
        <f t="shared" si="38"/>
        <v>75000</v>
      </c>
      <c r="BD174" s="116">
        <f t="shared" si="36"/>
        <v>0.02</v>
      </c>
      <c r="BE174" s="17">
        <f t="shared" si="33"/>
        <v>598500</v>
      </c>
      <c r="BF174" s="17"/>
      <c r="BG174" s="235" t="s">
        <v>1135</v>
      </c>
      <c r="BH174" s="250">
        <f t="shared" si="34"/>
        <v>700</v>
      </c>
      <c r="BI174" s="250"/>
      <c r="BJ174" s="250"/>
    </row>
    <row r="175" spans="1:62" ht="21" customHeight="1" x14ac:dyDescent="0.35">
      <c r="A175">
        <v>172</v>
      </c>
      <c r="B175" s="136">
        <v>44988</v>
      </c>
      <c r="C175" t="s">
        <v>1083</v>
      </c>
      <c r="D175" s="1" t="s">
        <v>162</v>
      </c>
      <c r="E175" t="s">
        <v>1093</v>
      </c>
      <c r="F175" s="6" t="s">
        <v>1118</v>
      </c>
      <c r="G175" s="6" t="s">
        <v>1157</v>
      </c>
      <c r="H175" s="235"/>
      <c r="I175" s="235" t="s">
        <v>1177</v>
      </c>
      <c r="K175" s="6">
        <v>9</v>
      </c>
      <c r="L175" s="17">
        <f t="shared" si="37"/>
        <v>195000</v>
      </c>
      <c r="M175" s="116"/>
      <c r="O175" s="17">
        <f t="shared" si="32"/>
        <v>1755000</v>
      </c>
      <c r="AP175" s="6"/>
      <c r="AQ175" s="235"/>
      <c r="AR175" s="235"/>
      <c r="AT175" s="6"/>
      <c r="AU175" s="17"/>
      <c r="AY175" s="6" t="s">
        <v>1157</v>
      </c>
      <c r="AZ175" s="235" t="s">
        <v>1136</v>
      </c>
      <c r="BA175" s="235" t="s">
        <v>1177</v>
      </c>
      <c r="BB175" s="6">
        <v>9</v>
      </c>
      <c r="BC175" s="17">
        <f t="shared" si="38"/>
        <v>195000</v>
      </c>
      <c r="BD175" s="116">
        <f t="shared" si="36"/>
        <v>0.03</v>
      </c>
      <c r="BE175" s="17">
        <f t="shared" si="33"/>
        <v>1749150</v>
      </c>
      <c r="BF175" s="17"/>
      <c r="BG175" s="235" t="s">
        <v>1136</v>
      </c>
      <c r="BH175" s="250">
        <f t="shared" si="34"/>
        <v>900</v>
      </c>
      <c r="BI175" s="250"/>
      <c r="BJ175" s="250"/>
    </row>
    <row r="176" spans="1:62" ht="21" customHeight="1" x14ac:dyDescent="0.35">
      <c r="A176">
        <v>173</v>
      </c>
      <c r="B176" s="136">
        <v>44988</v>
      </c>
      <c r="C176" t="s">
        <v>1084</v>
      </c>
      <c r="D176" s="1" t="s">
        <v>163</v>
      </c>
      <c r="E176" t="s">
        <v>1092</v>
      </c>
      <c r="F176" s="6" t="s">
        <v>1127</v>
      </c>
      <c r="G176" s="6" t="s">
        <v>1157</v>
      </c>
      <c r="H176" s="235"/>
      <c r="I176" s="235" t="s">
        <v>1177</v>
      </c>
      <c r="K176" s="6">
        <v>11</v>
      </c>
      <c r="L176" s="17">
        <f t="shared" si="37"/>
        <v>195000</v>
      </c>
      <c r="M176" s="116"/>
      <c r="O176" s="17">
        <f t="shared" si="32"/>
        <v>2145000</v>
      </c>
      <c r="AP176" s="6"/>
      <c r="AQ176" s="235"/>
      <c r="AR176" s="235"/>
      <c r="AT176" s="6"/>
      <c r="AU176" s="17"/>
      <c r="AY176" s="6" t="s">
        <v>1157</v>
      </c>
      <c r="AZ176" s="235" t="s">
        <v>1136</v>
      </c>
      <c r="BA176" s="235" t="s">
        <v>1177</v>
      </c>
      <c r="BB176" s="6">
        <v>11</v>
      </c>
      <c r="BC176" s="17">
        <f t="shared" si="38"/>
        <v>195000</v>
      </c>
      <c r="BD176" s="116">
        <f t="shared" si="36"/>
        <v>0.03</v>
      </c>
      <c r="BE176" s="17">
        <f t="shared" si="33"/>
        <v>2139150</v>
      </c>
      <c r="BF176" s="17"/>
      <c r="BG176" s="235" t="s">
        <v>1136</v>
      </c>
      <c r="BH176" s="250">
        <f t="shared" si="34"/>
        <v>900</v>
      </c>
      <c r="BI176" s="250"/>
      <c r="BJ176" s="250"/>
    </row>
    <row r="177" spans="1:62" ht="21" customHeight="1" x14ac:dyDescent="0.35">
      <c r="A177">
        <v>174</v>
      </c>
      <c r="B177" s="136">
        <v>44989</v>
      </c>
      <c r="C177" t="s">
        <v>1085</v>
      </c>
      <c r="D177" s="1" t="s">
        <v>163</v>
      </c>
      <c r="E177" t="s">
        <v>1092</v>
      </c>
      <c r="F177" s="6" t="s">
        <v>1103</v>
      </c>
      <c r="G177" s="6" t="s">
        <v>1141</v>
      </c>
      <c r="H177" s="235"/>
      <c r="I177" s="235" t="s">
        <v>1184</v>
      </c>
      <c r="K177" s="6">
        <v>10</v>
      </c>
      <c r="L177" s="17">
        <f t="shared" si="37"/>
        <v>25500</v>
      </c>
      <c r="M177" s="116"/>
      <c r="O177" s="17">
        <f t="shared" si="32"/>
        <v>255000</v>
      </c>
      <c r="AP177" s="6"/>
      <c r="AQ177" s="235"/>
      <c r="AR177" s="235"/>
      <c r="AT177" s="6"/>
      <c r="AU177" s="17"/>
      <c r="AY177" s="6" t="s">
        <v>1141</v>
      </c>
      <c r="AZ177" s="235" t="s">
        <v>1137</v>
      </c>
      <c r="BA177" s="235" t="s">
        <v>1184</v>
      </c>
      <c r="BB177" s="6">
        <v>10</v>
      </c>
      <c r="BC177" s="17">
        <f t="shared" si="38"/>
        <v>25500</v>
      </c>
      <c r="BD177" s="116">
        <f t="shared" si="36"/>
        <v>0.03</v>
      </c>
      <c r="BE177" s="17">
        <f t="shared" si="33"/>
        <v>254235</v>
      </c>
      <c r="BF177" s="17"/>
      <c r="BG177" s="235" t="s">
        <v>1137</v>
      </c>
      <c r="BH177" s="250">
        <f t="shared" si="34"/>
        <v>755</v>
      </c>
      <c r="BI177" s="250"/>
      <c r="BJ177" s="250"/>
    </row>
    <row r="178" spans="1:62" ht="21" customHeight="1" x14ac:dyDescent="0.35">
      <c r="A178">
        <v>175</v>
      </c>
      <c r="B178" s="136">
        <v>44989</v>
      </c>
      <c r="C178" t="s">
        <v>1086</v>
      </c>
      <c r="D178" s="1" t="s">
        <v>162</v>
      </c>
      <c r="E178" t="s">
        <v>1092</v>
      </c>
      <c r="F178" s="6" t="s">
        <v>1116</v>
      </c>
      <c r="G178" s="6" t="s">
        <v>1144</v>
      </c>
      <c r="H178" s="235"/>
      <c r="I178" s="235" t="s">
        <v>1184</v>
      </c>
      <c r="K178" s="6">
        <v>9</v>
      </c>
      <c r="L178" s="17">
        <f t="shared" si="37"/>
        <v>25500</v>
      </c>
      <c r="M178" s="116"/>
      <c r="O178" s="17">
        <f t="shared" si="32"/>
        <v>229500</v>
      </c>
      <c r="AP178" s="6"/>
      <c r="AQ178" s="235"/>
      <c r="AR178" s="235"/>
      <c r="AT178" s="6"/>
      <c r="AU178" s="17"/>
      <c r="AY178" s="6" t="s">
        <v>1144</v>
      </c>
      <c r="AZ178" s="235" t="s">
        <v>1137</v>
      </c>
      <c r="BA178" s="235" t="s">
        <v>1184</v>
      </c>
      <c r="BB178" s="6">
        <v>9</v>
      </c>
      <c r="BC178" s="17">
        <f t="shared" si="38"/>
        <v>25500</v>
      </c>
      <c r="BD178" s="116">
        <f t="shared" si="36"/>
        <v>0.03</v>
      </c>
      <c r="BE178" s="17">
        <f t="shared" si="33"/>
        <v>228735</v>
      </c>
      <c r="BF178" s="17"/>
      <c r="BG178" s="235" t="s">
        <v>1137</v>
      </c>
      <c r="BH178" s="250">
        <f t="shared" si="34"/>
        <v>755</v>
      </c>
      <c r="BI178" s="250"/>
      <c r="BJ178" s="250"/>
    </row>
    <row r="179" spans="1:62" ht="21" customHeight="1" x14ac:dyDescent="0.35">
      <c r="A179">
        <v>176</v>
      </c>
      <c r="B179" s="136">
        <v>44989</v>
      </c>
      <c r="C179" t="s">
        <v>1087</v>
      </c>
      <c r="D179" s="1" t="s">
        <v>162</v>
      </c>
      <c r="E179" t="s">
        <v>1096</v>
      </c>
      <c r="F179" s="6" t="s">
        <v>1123</v>
      </c>
      <c r="G179" s="6" t="s">
        <v>1149</v>
      </c>
      <c r="H179" s="235"/>
      <c r="I179" s="235" t="s">
        <v>1174</v>
      </c>
      <c r="K179" s="6">
        <v>5</v>
      </c>
      <c r="L179" s="17">
        <f t="shared" si="37"/>
        <v>85500</v>
      </c>
      <c r="M179" s="116"/>
      <c r="O179" s="17">
        <f t="shared" si="32"/>
        <v>427500</v>
      </c>
      <c r="AP179" s="6"/>
      <c r="AQ179" s="235"/>
      <c r="AR179" s="80"/>
      <c r="AT179" s="6"/>
      <c r="AU179" s="17"/>
      <c r="AY179" s="6" t="s">
        <v>1149</v>
      </c>
      <c r="AZ179" s="235" t="s">
        <v>1136</v>
      </c>
      <c r="BA179" s="235" t="s">
        <v>1174</v>
      </c>
      <c r="BB179" s="6">
        <v>5</v>
      </c>
      <c r="BC179" s="17">
        <f t="shared" si="38"/>
        <v>85500</v>
      </c>
      <c r="BD179" s="116">
        <f t="shared" si="36"/>
        <v>0.02</v>
      </c>
      <c r="BE179" s="17">
        <f t="shared" si="33"/>
        <v>425790</v>
      </c>
      <c r="BF179" s="17"/>
      <c r="BG179" s="235" t="s">
        <v>1136</v>
      </c>
      <c r="BH179" s="250">
        <f t="shared" si="34"/>
        <v>900</v>
      </c>
      <c r="BI179" s="250"/>
      <c r="BJ179" s="250"/>
    </row>
    <row r="180" spans="1:62" ht="21" customHeight="1" x14ac:dyDescent="0.35">
      <c r="A180">
        <v>177</v>
      </c>
      <c r="B180" s="136">
        <v>44989</v>
      </c>
      <c r="C180" t="s">
        <v>1088</v>
      </c>
      <c r="D180" s="1" t="s">
        <v>162</v>
      </c>
      <c r="E180" t="s">
        <v>1092</v>
      </c>
      <c r="F180" s="6" t="s">
        <v>1124</v>
      </c>
      <c r="G180" s="6" t="s">
        <v>1150</v>
      </c>
      <c r="H180" s="235"/>
      <c r="I180" s="235" t="s">
        <v>1178</v>
      </c>
      <c r="K180" s="6">
        <v>7</v>
      </c>
      <c r="L180" s="17">
        <f t="shared" si="37"/>
        <v>225000</v>
      </c>
      <c r="M180" s="116"/>
      <c r="O180" s="17">
        <f t="shared" si="32"/>
        <v>1575000</v>
      </c>
      <c r="AP180" s="6"/>
      <c r="AQ180" s="235"/>
      <c r="AR180" s="80"/>
      <c r="AT180" s="6"/>
      <c r="AU180" s="17"/>
      <c r="AY180" s="6" t="s">
        <v>1150</v>
      </c>
      <c r="AZ180" s="235" t="s">
        <v>1136</v>
      </c>
      <c r="BA180" s="235" t="s">
        <v>1178</v>
      </c>
      <c r="BB180" s="6">
        <v>7</v>
      </c>
      <c r="BC180" s="17">
        <f t="shared" si="38"/>
        <v>225000</v>
      </c>
      <c r="BD180" s="116">
        <f t="shared" si="36"/>
        <v>0.02</v>
      </c>
      <c r="BE180" s="17">
        <f t="shared" si="33"/>
        <v>1570500</v>
      </c>
      <c r="BF180" s="17"/>
      <c r="BG180" s="235" t="s">
        <v>1136</v>
      </c>
      <c r="BH180" s="250">
        <f t="shared" si="34"/>
        <v>900</v>
      </c>
      <c r="BI180" s="250"/>
      <c r="BJ180" s="250"/>
    </row>
    <row r="181" spans="1:62" ht="21" customHeight="1" x14ac:dyDescent="0.35">
      <c r="A181">
        <v>178</v>
      </c>
      <c r="B181" s="136">
        <v>44990</v>
      </c>
      <c r="C181" t="s">
        <v>1089</v>
      </c>
      <c r="D181" s="1" t="s">
        <v>163</v>
      </c>
      <c r="E181" t="s">
        <v>1096</v>
      </c>
      <c r="F181" s="6" t="s">
        <v>1127</v>
      </c>
      <c r="G181" s="6" t="s">
        <v>1150</v>
      </c>
      <c r="H181" s="235"/>
      <c r="I181" s="235" t="s">
        <v>1178</v>
      </c>
      <c r="K181" s="6">
        <v>7</v>
      </c>
      <c r="L181" s="17">
        <f t="shared" si="37"/>
        <v>225000</v>
      </c>
      <c r="M181" s="116"/>
      <c r="O181" s="17">
        <f t="shared" si="32"/>
        <v>1575000</v>
      </c>
      <c r="AP181" s="6"/>
      <c r="AQ181" s="235"/>
      <c r="AR181" s="80"/>
      <c r="AT181" s="6"/>
      <c r="AU181" s="17"/>
      <c r="AY181" s="6" t="s">
        <v>1150</v>
      </c>
      <c r="AZ181" s="235" t="s">
        <v>1136</v>
      </c>
      <c r="BA181" s="235" t="s">
        <v>1178</v>
      </c>
      <c r="BB181" s="6">
        <v>7</v>
      </c>
      <c r="BC181" s="17">
        <f t="shared" si="38"/>
        <v>225000</v>
      </c>
      <c r="BD181" s="116">
        <f t="shared" si="36"/>
        <v>0.02</v>
      </c>
      <c r="BE181" s="17">
        <f t="shared" si="33"/>
        <v>1570500</v>
      </c>
      <c r="BF181" s="17"/>
      <c r="BG181" s="235" t="s">
        <v>1136</v>
      </c>
      <c r="BH181" s="250">
        <f t="shared" si="34"/>
        <v>900</v>
      </c>
      <c r="BI181" s="250"/>
      <c r="BJ181" s="250"/>
    </row>
    <row r="182" spans="1:62" ht="21" customHeight="1" x14ac:dyDescent="0.35">
      <c r="A182">
        <v>179</v>
      </c>
      <c r="B182" s="136">
        <v>44990</v>
      </c>
      <c r="C182" t="s">
        <v>1090</v>
      </c>
      <c r="D182" s="1" t="s">
        <v>162</v>
      </c>
      <c r="E182" t="s">
        <v>1096</v>
      </c>
      <c r="F182" s="6" t="s">
        <v>1118</v>
      </c>
      <c r="G182" s="6" t="s">
        <v>1140</v>
      </c>
      <c r="H182" s="235"/>
      <c r="I182" s="235" t="s">
        <v>1178</v>
      </c>
      <c r="K182" s="6">
        <v>7</v>
      </c>
      <c r="L182" s="17">
        <f t="shared" si="37"/>
        <v>225000</v>
      </c>
      <c r="M182" s="116"/>
      <c r="O182" s="17">
        <f t="shared" si="32"/>
        <v>1575000</v>
      </c>
      <c r="AP182" s="6"/>
      <c r="AQ182" s="235"/>
      <c r="AR182" s="235"/>
      <c r="AT182" s="6"/>
      <c r="AU182" s="17"/>
      <c r="AY182" s="6" t="s">
        <v>1140</v>
      </c>
      <c r="AZ182" s="235" t="s">
        <v>1136</v>
      </c>
      <c r="BA182" s="235" t="s">
        <v>1178</v>
      </c>
      <c r="BB182" s="6">
        <v>7</v>
      </c>
      <c r="BC182" s="17">
        <f t="shared" si="38"/>
        <v>225000</v>
      </c>
      <c r="BD182" s="116">
        <f t="shared" si="36"/>
        <v>0.02</v>
      </c>
      <c r="BE182" s="17">
        <f t="shared" si="33"/>
        <v>1570500</v>
      </c>
      <c r="BF182" s="17"/>
      <c r="BG182" s="235" t="s">
        <v>1136</v>
      </c>
      <c r="BH182" s="250">
        <f t="shared" si="34"/>
        <v>900</v>
      </c>
      <c r="BI182" s="250"/>
      <c r="BJ182" s="250"/>
    </row>
    <row r="183" spans="1:62" ht="21" customHeight="1" x14ac:dyDescent="0.35">
      <c r="A183">
        <v>180</v>
      </c>
      <c r="B183" s="136">
        <v>44990</v>
      </c>
      <c r="C183" t="s">
        <v>1091</v>
      </c>
      <c r="D183" s="1" t="s">
        <v>162</v>
      </c>
      <c r="E183" t="s">
        <v>1096</v>
      </c>
      <c r="F183" s="6" t="s">
        <v>1118</v>
      </c>
      <c r="G183" s="6" t="s">
        <v>1149</v>
      </c>
      <c r="H183" s="235"/>
      <c r="I183" s="235" t="s">
        <v>1174</v>
      </c>
      <c r="K183" s="6">
        <v>8</v>
      </c>
      <c r="L183" s="17">
        <f t="shared" si="37"/>
        <v>85500</v>
      </c>
      <c r="M183" s="116"/>
      <c r="O183" s="17">
        <f t="shared" si="32"/>
        <v>684000</v>
      </c>
      <c r="AP183" s="6"/>
      <c r="AQ183" s="235"/>
      <c r="AR183" s="80"/>
      <c r="AT183" s="6"/>
      <c r="AU183" s="17"/>
      <c r="AY183" s="6" t="s">
        <v>1149</v>
      </c>
      <c r="AZ183" s="235" t="s">
        <v>1136</v>
      </c>
      <c r="BA183" s="235" t="s">
        <v>1174</v>
      </c>
      <c r="BB183" s="6">
        <v>8</v>
      </c>
      <c r="BC183" s="17">
        <f t="shared" si="38"/>
        <v>85500</v>
      </c>
      <c r="BD183" s="116">
        <f t="shared" si="36"/>
        <v>0.02</v>
      </c>
      <c r="BE183" s="17">
        <f t="shared" si="33"/>
        <v>682290</v>
      </c>
      <c r="BF183" s="17"/>
      <c r="BG183" s="235" t="s">
        <v>1136</v>
      </c>
      <c r="BH183" s="250">
        <f t="shared" si="34"/>
        <v>900</v>
      </c>
      <c r="BI183" s="250"/>
      <c r="BJ183" s="250"/>
    </row>
    <row r="184" spans="1:62" ht="21" customHeight="1" x14ac:dyDescent="0.35">
      <c r="K184" s="6">
        <f>SUM(K4:K183)</f>
        <v>1100</v>
      </c>
      <c r="O184" s="17">
        <f>SUM(O4:O183)</f>
        <v>105201296</v>
      </c>
      <c r="AP184" s="6"/>
      <c r="AQ184" s="235"/>
      <c r="AR184" s="80"/>
      <c r="AT184" s="6"/>
      <c r="AU184" s="17"/>
      <c r="BB184" s="6">
        <f>SUM(BB4:BB183)</f>
        <v>1100</v>
      </c>
      <c r="BE184" s="17">
        <f>SUM(BE4:BE183)</f>
        <v>104827888.20999999</v>
      </c>
      <c r="BF184" s="17"/>
      <c r="BH184" s="250"/>
      <c r="BI184" s="250"/>
      <c r="BJ184" s="250"/>
    </row>
    <row r="185" spans="1:62" ht="21" customHeight="1" x14ac:dyDescent="0.35">
      <c r="O185" s="17">
        <f>AVERAGE(O4:O183)</f>
        <v>584451.64444444445</v>
      </c>
      <c r="AP185" s="6"/>
      <c r="AQ185" s="235"/>
      <c r="AR185" s="80"/>
      <c r="AT185" s="6"/>
      <c r="AU185" s="17"/>
      <c r="BE185" s="17">
        <f>AVERAGE(BE4:BE183)</f>
        <v>582377.15672222222</v>
      </c>
      <c r="BF185" s="17"/>
      <c r="BH185" s="17"/>
      <c r="BI185" s="17"/>
      <c r="BJ185" s="17"/>
    </row>
    <row r="186" spans="1:62" ht="21" customHeight="1" x14ac:dyDescent="0.35">
      <c r="AP186" s="6"/>
      <c r="AQ186" s="235"/>
      <c r="AR186" s="80"/>
      <c r="AT186" s="6"/>
      <c r="AU186" s="17"/>
      <c r="AZ186" s="235" t="s">
        <v>1316</v>
      </c>
      <c r="BA186" s="6">
        <f>COUNTIF(Table1316[Category],AZ167)</f>
        <v>53</v>
      </c>
    </row>
    <row r="187" spans="1:62" ht="21" customHeight="1" x14ac:dyDescent="0.35">
      <c r="AP187" s="6"/>
      <c r="AQ187" s="235"/>
      <c r="AR187" s="80"/>
      <c r="AT187" s="6"/>
      <c r="AU187" s="17"/>
      <c r="AZ187" s="235" t="s">
        <v>1136</v>
      </c>
      <c r="BA187" s="6">
        <f>COUNTIF(Table1316[Category],AZ179)</f>
        <v>47</v>
      </c>
    </row>
    <row r="188" spans="1:62" ht="21" customHeight="1" x14ac:dyDescent="0.35">
      <c r="AP188" s="6"/>
      <c r="AQ188" s="235"/>
      <c r="AR188" s="80"/>
      <c r="AT188" s="6"/>
      <c r="AU188" s="17"/>
      <c r="AZ188" s="235" t="s">
        <v>1138</v>
      </c>
      <c r="BA188" s="6">
        <f>COUNTIF(Table1316[Category],AZ170)</f>
        <v>34</v>
      </c>
    </row>
    <row r="189" spans="1:62" ht="21" customHeight="1" x14ac:dyDescent="0.35">
      <c r="AP189" s="6"/>
      <c r="AQ189" s="235"/>
      <c r="AR189" s="235"/>
      <c r="AT189" s="6"/>
      <c r="AU189" s="17"/>
      <c r="AZ189" s="235" t="s">
        <v>1137</v>
      </c>
      <c r="BA189" s="6">
        <f>COUNTIF(Table1316[Category],AZ177)</f>
        <v>46</v>
      </c>
    </row>
    <row r="190" spans="1:62" ht="21" customHeight="1" x14ac:dyDescent="0.35">
      <c r="AP190" s="6"/>
      <c r="AQ190" s="235"/>
      <c r="AR190" s="80"/>
      <c r="AT190" s="6"/>
      <c r="AU190" s="17"/>
    </row>
    <row r="191" spans="1:62" ht="21" customHeight="1" x14ac:dyDescent="0.35">
      <c r="AP191" s="6"/>
      <c r="AQ191" s="235"/>
      <c r="AR191" s="235"/>
      <c r="AT191" s="6"/>
      <c r="AU191" s="17"/>
    </row>
    <row r="192" spans="1:62" ht="21" customHeight="1" x14ac:dyDescent="0.35">
      <c r="AP192" s="6"/>
      <c r="AQ192" s="235"/>
      <c r="AR192" s="235"/>
      <c r="AT192" s="6"/>
      <c r="AU192" s="17"/>
    </row>
    <row r="193" spans="42:47" ht="21" customHeight="1" x14ac:dyDescent="0.35">
      <c r="AP193" s="6"/>
      <c r="AQ193" s="235"/>
      <c r="AR193" s="235"/>
      <c r="AT193" s="6"/>
      <c r="AU193" s="17"/>
    </row>
    <row r="194" spans="42:47" ht="21" customHeight="1" x14ac:dyDescent="0.35">
      <c r="AP194" s="6"/>
      <c r="AQ194" s="235"/>
      <c r="AR194" s="80"/>
      <c r="AT194" s="6"/>
      <c r="AU194" s="17"/>
    </row>
    <row r="195" spans="42:47" ht="21" customHeight="1" x14ac:dyDescent="0.35">
      <c r="AP195" s="6"/>
      <c r="AQ195" s="235"/>
      <c r="AR195" s="80"/>
      <c r="AT195" s="6"/>
      <c r="AU195" s="17"/>
    </row>
    <row r="196" spans="42:47" ht="21" customHeight="1" x14ac:dyDescent="0.35">
      <c r="AP196" s="6"/>
      <c r="AQ196" s="235"/>
      <c r="AR196" s="80"/>
      <c r="AT196" s="6"/>
      <c r="AU196" s="17"/>
    </row>
    <row r="197" spans="42:47" ht="21" customHeight="1" x14ac:dyDescent="0.35">
      <c r="AP197" s="6"/>
      <c r="AQ197" s="235"/>
      <c r="AR197" s="235"/>
      <c r="AT197" s="6"/>
      <c r="AU197" s="17"/>
    </row>
    <row r="198" spans="42:47" ht="21" customHeight="1" x14ac:dyDescent="0.35">
      <c r="AP198" s="6"/>
      <c r="AQ198" s="235"/>
      <c r="AR198" s="235"/>
      <c r="AT198" s="6"/>
      <c r="AU198" s="17"/>
    </row>
    <row r="199" spans="42:47" ht="21" customHeight="1" x14ac:dyDescent="0.35">
      <c r="AP199" s="6"/>
      <c r="AQ199" s="235"/>
      <c r="AR199" s="80"/>
      <c r="AT199" s="6"/>
      <c r="AU199" s="17"/>
    </row>
    <row r="200" spans="42:47" ht="21" customHeight="1" x14ac:dyDescent="0.35">
      <c r="AP200" s="6"/>
      <c r="AQ200" s="235"/>
      <c r="AR200" s="235"/>
      <c r="AT200" s="6"/>
      <c r="AU200" s="17"/>
    </row>
    <row r="201" spans="42:47" ht="21" customHeight="1" x14ac:dyDescent="0.35">
      <c r="AP201" s="6"/>
      <c r="AQ201" s="235"/>
      <c r="AR201" s="80"/>
      <c r="AT201" s="6"/>
      <c r="AU201" s="17"/>
    </row>
    <row r="202" spans="42:47" ht="21" customHeight="1" x14ac:dyDescent="0.35">
      <c r="AP202" s="6"/>
      <c r="AQ202" s="235"/>
      <c r="AR202" s="80"/>
      <c r="AT202" s="6"/>
      <c r="AU202" s="17"/>
    </row>
    <row r="203" spans="42:47" ht="21" customHeight="1" x14ac:dyDescent="0.35">
      <c r="AP203" s="6"/>
      <c r="AQ203" s="235"/>
      <c r="AR203" s="80"/>
      <c r="AT203" s="6"/>
      <c r="AU203" s="17"/>
    </row>
    <row r="204" spans="42:47" ht="21" customHeight="1" x14ac:dyDescent="0.35">
      <c r="AP204" s="6"/>
      <c r="AQ204" s="235"/>
      <c r="AR204" s="235"/>
      <c r="AT204" s="6"/>
      <c r="AU204" s="17"/>
    </row>
    <row r="205" spans="42:47" ht="21" customHeight="1" x14ac:dyDescent="0.35">
      <c r="AP205" s="6"/>
      <c r="AQ205" s="235"/>
      <c r="AR205" s="235"/>
      <c r="AT205" s="6"/>
      <c r="AU205" s="17"/>
    </row>
    <row r="206" spans="42:47" ht="21" customHeight="1" x14ac:dyDescent="0.35">
      <c r="AP206" s="6"/>
      <c r="AQ206" s="235"/>
      <c r="AR206" s="235"/>
      <c r="AT206" s="6"/>
      <c r="AU206" s="17"/>
    </row>
    <row r="207" spans="42:47" ht="21" customHeight="1" x14ac:dyDescent="0.35">
      <c r="AP207" s="6"/>
      <c r="AQ207" s="235"/>
      <c r="AR207" s="235"/>
      <c r="AT207" s="6"/>
      <c r="AU207" s="17"/>
    </row>
    <row r="208" spans="42:47" ht="21" customHeight="1" x14ac:dyDescent="0.35">
      <c r="AP208" s="6"/>
      <c r="AQ208" s="235"/>
      <c r="AR208" s="235"/>
      <c r="AT208" s="6"/>
      <c r="AU208" s="17"/>
    </row>
    <row r="209" spans="42:47" ht="21" customHeight="1" x14ac:dyDescent="0.35">
      <c r="AP209" s="6"/>
      <c r="AQ209" s="235"/>
      <c r="AR209" s="235"/>
      <c r="AT209" s="6"/>
      <c r="AU209" s="17"/>
    </row>
    <row r="210" spans="42:47" ht="21" customHeight="1" x14ac:dyDescent="0.35">
      <c r="AP210" s="6"/>
      <c r="AQ210" s="235"/>
      <c r="AR210" s="235"/>
      <c r="AT210" s="6"/>
      <c r="AU210" s="17"/>
    </row>
    <row r="211" spans="42:47" ht="21" customHeight="1" x14ac:dyDescent="0.35">
      <c r="AP211" s="6"/>
      <c r="AQ211" s="235"/>
      <c r="AR211" s="235"/>
      <c r="AT211" s="6"/>
      <c r="AU211" s="17"/>
    </row>
    <row r="212" spans="42:47" ht="21" customHeight="1" x14ac:dyDescent="0.35">
      <c r="AP212" s="6"/>
      <c r="AQ212" s="235"/>
      <c r="AR212" s="235"/>
      <c r="AT212" s="6"/>
      <c r="AU212" s="17"/>
    </row>
  </sheetData>
  <mergeCells count="1">
    <mergeCell ref="B2:M2"/>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0417" r:id="rId3" name="Button 1">
              <controlPr defaultSize="0" print="0" autoFill="0" autoPict="0" macro="[0]!Macro13">
                <anchor moveWithCells="1" sizeWithCells="1">
                  <from>
                    <xdr:col>38</xdr:col>
                    <xdr:colOff>393700</xdr:colOff>
                    <xdr:row>31</xdr:row>
                    <xdr:rowOff>25400</xdr:rowOff>
                  </from>
                  <to>
                    <xdr:col>38</xdr:col>
                    <xdr:colOff>1917700</xdr:colOff>
                    <xdr:row>32</xdr:row>
                    <xdr:rowOff>127000</xdr:rowOff>
                  </to>
                </anchor>
              </controlPr>
            </control>
          </mc:Choice>
        </mc:AlternateContent>
      </controls>
    </mc:Choice>
  </mc:AlternateContent>
  <tableParts count="2">
    <tablePart r:id="rId4"/>
    <tablePart r:id="rId5"/>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7CF0C-E9A3-9148-A21E-F452E577510A}">
  <sheetPr codeName="Sheet27">
    <tabColor theme="8" tint="0.39997558519241921"/>
    <outlinePr summaryBelow="0"/>
  </sheetPr>
  <dimension ref="B1:H38"/>
  <sheetViews>
    <sheetView showGridLines="0" workbookViewId="0">
      <selection activeCell="I33" sqref="I33"/>
    </sheetView>
  </sheetViews>
  <sheetFormatPr defaultColWidth="10.6640625" defaultRowHeight="15.5" x14ac:dyDescent="0.35"/>
  <cols>
    <col min="3" max="3" width="7.6640625" bestFit="1" customWidth="1"/>
    <col min="4" max="8" width="23.83203125" bestFit="1" customWidth="1"/>
  </cols>
  <sheetData>
    <row r="1" spans="2:8" ht="16" thickBot="1" x14ac:dyDescent="0.4"/>
    <row r="2" spans="2:8" ht="18.5" x14ac:dyDescent="0.45">
      <c r="B2" s="160" t="s">
        <v>947</v>
      </c>
      <c r="C2" s="160"/>
      <c r="D2" s="165"/>
      <c r="E2" s="165"/>
      <c r="F2" s="165"/>
      <c r="G2" s="165"/>
      <c r="H2" s="165"/>
    </row>
    <row r="3" spans="2:8" ht="18.5" x14ac:dyDescent="0.45">
      <c r="B3" s="159"/>
      <c r="C3" s="159"/>
      <c r="D3" s="166" t="s">
        <v>949</v>
      </c>
      <c r="E3" s="166" t="s">
        <v>1135</v>
      </c>
      <c r="F3" s="166" t="s">
        <v>1136</v>
      </c>
      <c r="G3" s="166" t="s">
        <v>1138</v>
      </c>
      <c r="H3" s="166" t="s">
        <v>1137</v>
      </c>
    </row>
    <row r="4" spans="2:8" x14ac:dyDescent="0.35">
      <c r="B4" s="162"/>
      <c r="C4" s="162"/>
      <c r="E4" s="168"/>
      <c r="F4" s="168"/>
      <c r="G4" s="168"/>
      <c r="H4" s="168"/>
    </row>
    <row r="5" spans="2:8" x14ac:dyDescent="0.35">
      <c r="B5" s="163" t="s">
        <v>948</v>
      </c>
      <c r="C5" s="163"/>
      <c r="D5" s="161"/>
      <c r="E5" s="161"/>
      <c r="F5" s="161"/>
      <c r="G5" s="161"/>
      <c r="H5" s="161"/>
    </row>
    <row r="6" spans="2:8" x14ac:dyDescent="0.35">
      <c r="B6" s="162"/>
      <c r="C6" s="162" t="s">
        <v>1207</v>
      </c>
      <c r="D6" s="17">
        <v>94245</v>
      </c>
      <c r="E6" s="242">
        <v>94245</v>
      </c>
      <c r="F6" s="17">
        <v>94245</v>
      </c>
      <c r="G6" s="17">
        <v>94245</v>
      </c>
      <c r="H6" s="17">
        <v>94245</v>
      </c>
    </row>
    <row r="7" spans="2:8" x14ac:dyDescent="0.35">
      <c r="B7" s="162"/>
      <c r="C7" s="162" t="s">
        <v>1208</v>
      </c>
      <c r="D7">
        <v>100</v>
      </c>
      <c r="E7" s="167">
        <v>100</v>
      </c>
      <c r="F7">
        <v>100</v>
      </c>
      <c r="G7">
        <v>100</v>
      </c>
      <c r="H7">
        <v>100</v>
      </c>
    </row>
    <row r="8" spans="2:8" x14ac:dyDescent="0.35">
      <c r="B8" s="162"/>
      <c r="C8" s="162" t="s">
        <v>1209</v>
      </c>
      <c r="D8" s="17">
        <v>500000</v>
      </c>
      <c r="E8" s="242">
        <v>500000</v>
      </c>
      <c r="F8" s="17">
        <v>500000</v>
      </c>
      <c r="G8" s="17">
        <v>500000</v>
      </c>
      <c r="H8" s="17">
        <v>500000</v>
      </c>
    </row>
    <row r="9" spans="2:8" x14ac:dyDescent="0.35">
      <c r="B9" s="162"/>
      <c r="C9" s="162" t="s">
        <v>1210</v>
      </c>
      <c r="D9" s="17">
        <v>850000</v>
      </c>
      <c r="E9" s="242">
        <v>850000</v>
      </c>
      <c r="F9" s="17">
        <v>850000</v>
      </c>
      <c r="G9" s="17">
        <v>850000</v>
      </c>
      <c r="H9" s="17">
        <v>850000</v>
      </c>
    </row>
    <row r="10" spans="2:8" x14ac:dyDescent="0.35">
      <c r="B10" s="162"/>
      <c r="C10" s="162" t="s">
        <v>1211</v>
      </c>
      <c r="D10" s="17">
        <v>350000</v>
      </c>
      <c r="E10" s="242">
        <v>350000</v>
      </c>
      <c r="F10" s="17">
        <v>350000</v>
      </c>
      <c r="G10" s="17">
        <v>350000</v>
      </c>
      <c r="H10" s="17">
        <v>350000</v>
      </c>
    </row>
    <row r="11" spans="2:8" x14ac:dyDescent="0.35">
      <c r="B11" s="162"/>
      <c r="C11" s="162" t="s">
        <v>1212</v>
      </c>
      <c r="D11" s="17">
        <v>1700000</v>
      </c>
      <c r="E11" s="242">
        <v>1700000</v>
      </c>
      <c r="F11" s="17">
        <v>1700000</v>
      </c>
      <c r="G11" s="17">
        <v>1700000</v>
      </c>
      <c r="H11" s="17">
        <v>1700000</v>
      </c>
    </row>
    <row r="12" spans="2:8" x14ac:dyDescent="0.35">
      <c r="B12" s="162"/>
      <c r="C12" s="162" t="s">
        <v>1213</v>
      </c>
      <c r="D12" s="17">
        <v>7724500</v>
      </c>
      <c r="E12" s="242">
        <v>7724500</v>
      </c>
      <c r="F12" s="17">
        <v>7724500</v>
      </c>
      <c r="G12" s="17">
        <v>7724500</v>
      </c>
      <c r="H12" s="17">
        <v>7724500</v>
      </c>
    </row>
    <row r="13" spans="2:8" x14ac:dyDescent="0.35">
      <c r="B13" s="162"/>
      <c r="C13" s="162" t="s">
        <v>1214</v>
      </c>
      <c r="D13" s="17">
        <v>135628</v>
      </c>
      <c r="E13" s="17">
        <v>135628</v>
      </c>
      <c r="F13" s="242">
        <v>135628</v>
      </c>
      <c r="G13" s="17">
        <v>135628</v>
      </c>
      <c r="H13" s="17">
        <v>135628</v>
      </c>
    </row>
    <row r="14" spans="2:8" x14ac:dyDescent="0.35">
      <c r="B14" s="162"/>
      <c r="C14" s="162" t="s">
        <v>1215</v>
      </c>
      <c r="D14">
        <v>150</v>
      </c>
      <c r="E14">
        <v>150</v>
      </c>
      <c r="F14" s="167">
        <v>150</v>
      </c>
      <c r="G14">
        <v>150</v>
      </c>
      <c r="H14">
        <v>150</v>
      </c>
    </row>
    <row r="15" spans="2:8" x14ac:dyDescent="0.35">
      <c r="B15" s="162"/>
      <c r="C15" s="162" t="s">
        <v>1216</v>
      </c>
      <c r="D15">
        <v>930000</v>
      </c>
      <c r="E15">
        <v>930000</v>
      </c>
      <c r="F15" s="167">
        <v>930000</v>
      </c>
      <c r="G15">
        <v>930000</v>
      </c>
      <c r="H15">
        <v>930000</v>
      </c>
    </row>
    <row r="16" spans="2:8" x14ac:dyDescent="0.35">
      <c r="B16" s="162"/>
      <c r="C16" s="162" t="s">
        <v>1217</v>
      </c>
      <c r="D16">
        <v>1162500</v>
      </c>
      <c r="E16">
        <v>1162500</v>
      </c>
      <c r="F16" s="167">
        <v>1162500</v>
      </c>
      <c r="G16">
        <v>1162500</v>
      </c>
      <c r="H16">
        <v>1162500</v>
      </c>
    </row>
    <row r="17" spans="2:8" x14ac:dyDescent="0.35">
      <c r="B17" s="162"/>
      <c r="C17" s="162" t="s">
        <v>1218</v>
      </c>
      <c r="D17">
        <v>675000</v>
      </c>
      <c r="E17">
        <v>675000</v>
      </c>
      <c r="F17" s="167">
        <v>675000</v>
      </c>
      <c r="G17">
        <v>675000</v>
      </c>
      <c r="H17">
        <v>675000</v>
      </c>
    </row>
    <row r="18" spans="2:8" x14ac:dyDescent="0.35">
      <c r="B18" s="162"/>
      <c r="C18" s="162" t="s">
        <v>1219</v>
      </c>
      <c r="D18">
        <v>2767500</v>
      </c>
      <c r="E18">
        <v>2767500</v>
      </c>
      <c r="F18" s="167">
        <v>2767500</v>
      </c>
      <c r="G18">
        <v>2767500</v>
      </c>
      <c r="H18">
        <v>2767500</v>
      </c>
    </row>
    <row r="19" spans="2:8" x14ac:dyDescent="0.35">
      <c r="B19" s="162"/>
      <c r="C19" s="162" t="s">
        <v>1220</v>
      </c>
      <c r="D19">
        <v>17576700</v>
      </c>
      <c r="E19">
        <v>17576700</v>
      </c>
      <c r="F19" s="167">
        <v>17576700</v>
      </c>
      <c r="G19">
        <v>17576700</v>
      </c>
      <c r="H19">
        <v>17576700</v>
      </c>
    </row>
    <row r="20" spans="2:8" x14ac:dyDescent="0.35">
      <c r="B20" s="162"/>
      <c r="C20" s="162" t="s">
        <v>1221</v>
      </c>
      <c r="D20" s="17">
        <v>92559</v>
      </c>
      <c r="E20" s="17">
        <v>92559</v>
      </c>
      <c r="F20" s="17">
        <v>92559</v>
      </c>
      <c r="G20" s="242">
        <v>92559</v>
      </c>
      <c r="H20" s="17">
        <v>92559</v>
      </c>
    </row>
    <row r="21" spans="2:8" x14ac:dyDescent="0.35">
      <c r="B21" s="162"/>
      <c r="C21" s="162" t="s">
        <v>1222</v>
      </c>
      <c r="D21">
        <v>200</v>
      </c>
      <c r="E21">
        <v>200</v>
      </c>
      <c r="F21">
        <v>200</v>
      </c>
      <c r="G21" s="167">
        <v>200</v>
      </c>
      <c r="H21">
        <v>200</v>
      </c>
    </row>
    <row r="22" spans="2:8" x14ac:dyDescent="0.35">
      <c r="B22" s="162"/>
      <c r="C22" s="162" t="s">
        <v>1223</v>
      </c>
      <c r="D22">
        <v>1400000</v>
      </c>
      <c r="E22">
        <v>1400000</v>
      </c>
      <c r="F22">
        <v>1400000</v>
      </c>
      <c r="G22" s="167">
        <v>1400000</v>
      </c>
      <c r="H22">
        <v>1400000</v>
      </c>
    </row>
    <row r="23" spans="2:8" x14ac:dyDescent="0.35">
      <c r="B23" s="162"/>
      <c r="C23" s="162" t="s">
        <v>1224</v>
      </c>
      <c r="D23">
        <v>1600000</v>
      </c>
      <c r="E23">
        <v>1600000</v>
      </c>
      <c r="F23">
        <v>1600000</v>
      </c>
      <c r="G23" s="167">
        <v>1600000</v>
      </c>
      <c r="H23">
        <v>1600000</v>
      </c>
    </row>
    <row r="24" spans="2:8" x14ac:dyDescent="0.35">
      <c r="B24" s="162"/>
      <c r="C24" s="162" t="s">
        <v>1225</v>
      </c>
      <c r="D24">
        <v>2300000</v>
      </c>
      <c r="E24">
        <v>2300000</v>
      </c>
      <c r="F24">
        <v>2300000</v>
      </c>
      <c r="G24" s="167">
        <v>2300000</v>
      </c>
      <c r="H24">
        <v>2300000</v>
      </c>
    </row>
    <row r="25" spans="2:8" x14ac:dyDescent="0.35">
      <c r="B25" s="162"/>
      <c r="C25" s="162" t="s">
        <v>1226</v>
      </c>
      <c r="D25">
        <v>5300000</v>
      </c>
      <c r="E25">
        <v>5300000</v>
      </c>
      <c r="F25">
        <v>5300000</v>
      </c>
      <c r="G25" s="167">
        <v>5300000</v>
      </c>
      <c r="H25">
        <v>5300000</v>
      </c>
    </row>
    <row r="26" spans="2:8" x14ac:dyDescent="0.35">
      <c r="B26" s="162"/>
      <c r="C26" s="162" t="s">
        <v>1227</v>
      </c>
      <c r="D26">
        <v>13211800</v>
      </c>
      <c r="E26">
        <v>13211800</v>
      </c>
      <c r="F26">
        <v>13211800</v>
      </c>
      <c r="G26" s="167">
        <v>13211800</v>
      </c>
      <c r="H26">
        <v>13211800</v>
      </c>
    </row>
    <row r="27" spans="2:8" x14ac:dyDescent="0.35">
      <c r="B27" s="162"/>
      <c r="C27" s="162" t="s">
        <v>1228</v>
      </c>
      <c r="D27" s="17">
        <v>52731</v>
      </c>
      <c r="E27" s="17">
        <v>52731</v>
      </c>
      <c r="F27" s="17">
        <v>52731</v>
      </c>
      <c r="G27" s="17">
        <v>52731</v>
      </c>
      <c r="H27" s="242">
        <v>52731</v>
      </c>
    </row>
    <row r="28" spans="2:8" x14ac:dyDescent="0.35">
      <c r="B28" s="162"/>
      <c r="C28" s="162" t="s">
        <v>1229</v>
      </c>
      <c r="D28">
        <v>250</v>
      </c>
      <c r="E28">
        <v>250</v>
      </c>
      <c r="F28">
        <v>250</v>
      </c>
      <c r="G28">
        <v>250</v>
      </c>
      <c r="H28" s="167">
        <v>250</v>
      </c>
    </row>
    <row r="29" spans="2:8" x14ac:dyDescent="0.35">
      <c r="B29" s="162"/>
      <c r="C29" s="162" t="s">
        <v>1230</v>
      </c>
      <c r="D29">
        <v>875000</v>
      </c>
      <c r="E29">
        <v>875000</v>
      </c>
      <c r="F29">
        <v>875000</v>
      </c>
      <c r="G29">
        <v>875000</v>
      </c>
      <c r="H29" s="167">
        <v>875000</v>
      </c>
    </row>
    <row r="30" spans="2:8" x14ac:dyDescent="0.35">
      <c r="B30" s="162"/>
      <c r="C30" s="162" t="s">
        <v>1231</v>
      </c>
      <c r="D30">
        <v>1950000</v>
      </c>
      <c r="E30">
        <v>1950000</v>
      </c>
      <c r="F30">
        <v>1950000</v>
      </c>
      <c r="G30">
        <v>1950000</v>
      </c>
      <c r="H30" s="167">
        <v>1950000</v>
      </c>
    </row>
    <row r="31" spans="2:8" x14ac:dyDescent="0.35">
      <c r="B31" s="162"/>
      <c r="C31" s="162" t="s">
        <v>1232</v>
      </c>
      <c r="D31">
        <v>1750000</v>
      </c>
      <c r="E31">
        <v>1750000</v>
      </c>
      <c r="F31">
        <v>1750000</v>
      </c>
      <c r="G31">
        <v>1750000</v>
      </c>
      <c r="H31" s="167">
        <v>1750000</v>
      </c>
    </row>
    <row r="32" spans="2:8" x14ac:dyDescent="0.35">
      <c r="B32" s="162"/>
      <c r="C32" s="162" t="s">
        <v>1233</v>
      </c>
      <c r="D32">
        <v>4575000</v>
      </c>
      <c r="E32">
        <v>4575000</v>
      </c>
      <c r="F32">
        <v>4575000</v>
      </c>
      <c r="G32">
        <v>4575000</v>
      </c>
      <c r="H32" s="167">
        <v>4575000</v>
      </c>
    </row>
    <row r="33" spans="2:8" x14ac:dyDescent="0.35">
      <c r="B33" s="162"/>
      <c r="C33" s="162" t="s">
        <v>1234</v>
      </c>
      <c r="D33">
        <v>8607750</v>
      </c>
      <c r="E33">
        <v>8607750</v>
      </c>
      <c r="F33">
        <v>8607750</v>
      </c>
      <c r="G33">
        <v>8607750</v>
      </c>
      <c r="H33" s="167">
        <v>8607750</v>
      </c>
    </row>
    <row r="34" spans="2:8" x14ac:dyDescent="0.35">
      <c r="B34" s="163" t="s">
        <v>950</v>
      </c>
      <c r="C34" s="163"/>
      <c r="D34" s="161"/>
      <c r="E34" s="161"/>
      <c r="F34" s="161"/>
      <c r="G34" s="161"/>
      <c r="H34" s="161"/>
    </row>
    <row r="35" spans="2:8" ht="16" thickBot="1" x14ac:dyDescent="0.4">
      <c r="B35" s="164"/>
      <c r="C35" s="164" t="s">
        <v>1213</v>
      </c>
      <c r="D35" s="241">
        <v>7724500</v>
      </c>
      <c r="E35" s="241">
        <v>7724500</v>
      </c>
      <c r="F35" s="241">
        <v>7724500</v>
      </c>
      <c r="G35" s="241">
        <v>7724500</v>
      </c>
      <c r="H35" s="241">
        <v>7724500</v>
      </c>
    </row>
    <row r="36" spans="2:8" x14ac:dyDescent="0.35">
      <c r="B36" t="s">
        <v>951</v>
      </c>
    </row>
    <row r="37" spans="2:8" x14ac:dyDescent="0.35">
      <c r="B37" t="s">
        <v>952</v>
      </c>
    </row>
    <row r="38" spans="2:8" x14ac:dyDescent="0.35">
      <c r="B38"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28</vt:i4>
      </vt:variant>
      <vt:variant>
        <vt:lpstr>Charts</vt:lpstr>
      </vt:variant>
      <vt:variant>
        <vt:i4>1</vt:i4>
      </vt:variant>
      <vt:variant>
        <vt:lpstr>Named Ranges</vt:lpstr>
      </vt:variant>
      <vt:variant>
        <vt:i4>18</vt:i4>
      </vt:variant>
    </vt:vector>
  </HeadingPairs>
  <TitlesOfParts>
    <vt:vector size="47" baseType="lpstr">
      <vt:lpstr>Master</vt:lpstr>
      <vt:lpstr>ADD1</vt:lpstr>
      <vt:lpstr>ADD2</vt:lpstr>
      <vt:lpstr>PivotTable</vt:lpstr>
      <vt:lpstr>Answer Report 1</vt:lpstr>
      <vt:lpstr>Feasibility Report 1</vt:lpstr>
      <vt:lpstr>Feasibility Report 2</vt:lpstr>
      <vt:lpstr>Linear Programming</vt:lpstr>
      <vt:lpstr>Scenario Summary</vt:lpstr>
      <vt:lpstr>Scenario Summary 2</vt:lpstr>
      <vt:lpstr>Scenario Summary 3</vt:lpstr>
      <vt:lpstr>Financial Solution_DataAnalysis</vt:lpstr>
      <vt:lpstr>Sales Inventory</vt:lpstr>
      <vt:lpstr>Sheet21</vt:lpstr>
      <vt:lpstr>Payment Period</vt:lpstr>
      <vt:lpstr>PV</vt:lpstr>
      <vt:lpstr>ProfessionalWS_Macro</vt:lpstr>
      <vt:lpstr>Automatic Dashboard_PV</vt:lpstr>
      <vt:lpstr>Sheet22</vt:lpstr>
      <vt:lpstr>Sheet24</vt:lpstr>
      <vt:lpstr>Sheet25</vt:lpstr>
      <vt:lpstr>Macro VBA</vt:lpstr>
      <vt:lpstr>Sheet28</vt:lpstr>
      <vt:lpstr>Sheet30</vt:lpstr>
      <vt:lpstr>Answer Report 2</vt:lpstr>
      <vt:lpstr>Final Case</vt:lpstr>
      <vt:lpstr>Blank Sheet</vt:lpstr>
      <vt:lpstr>Scenario Summary 4</vt:lpstr>
      <vt:lpstr>PivotChart</vt:lpstr>
      <vt:lpstr>Arrival</vt:lpstr>
      <vt:lpstr>Barcode</vt:lpstr>
      <vt:lpstr>Category</vt:lpstr>
      <vt:lpstr>'Final Case'!Criteria</vt:lpstr>
      <vt:lpstr>Sheet28!Criteria</vt:lpstr>
      <vt:lpstr>Sheet30!Criteria</vt:lpstr>
      <vt:lpstr>Departure</vt:lpstr>
      <vt:lpstr>'Final Case'!Extract</vt:lpstr>
      <vt:lpstr>Sheet28!Extract</vt:lpstr>
      <vt:lpstr>Sheet30!Extract</vt:lpstr>
      <vt:lpstr>Fixedcost2</vt:lpstr>
      <vt:lpstr>Point</vt:lpstr>
      <vt:lpstr>Price</vt:lpstr>
      <vt:lpstr>Price2</vt:lpstr>
      <vt:lpstr>Quantity2</vt:lpstr>
      <vt:lpstr>revenue2</vt:lpstr>
      <vt:lpstr>Ticketsold2</vt:lpstr>
      <vt:lpstr>Varcost2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Sister P. Lumbantoruan</cp:lastModifiedBy>
  <dcterms:created xsi:type="dcterms:W3CDTF">2023-05-17T12:54:06Z</dcterms:created>
  <dcterms:modified xsi:type="dcterms:W3CDTF">2025-09-28T05:44:01Z</dcterms:modified>
</cp:coreProperties>
</file>