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set" sheetId="2" r:id="rId5"/>
  </sheets>
  <definedNames>
    <definedName hidden="1" localSheetId="1" name="_xlnm._FilterDatabase">dataset!$A$1:$H$2684</definedName>
  </definedNames>
  <calcPr/>
</workbook>
</file>

<file path=xl/sharedStrings.xml><?xml version="1.0" encoding="utf-8"?>
<sst xmlns="http://schemas.openxmlformats.org/spreadsheetml/2006/main" count="8" uniqueCount="8">
  <si>
    <t>date</t>
  </si>
  <si>
    <t>no_users</t>
  </si>
  <si>
    <t>bounce_rate</t>
  </si>
  <si>
    <t>avg_session_duration</t>
  </si>
  <si>
    <t>no_session_per_user</t>
  </si>
  <si>
    <t>pages_per_session</t>
  </si>
  <si>
    <t>pageviews</t>
  </si>
  <si>
    <t>sessions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</si>
</sst>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&quot;-&quot;mm&quot;-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6" xfId="0" applyFont="1" applyNumberForma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3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165" xfId="0" applyFont="1" applyNumberFormat="1"/>
    <xf borderId="0" fillId="0" fontId="1" numFmtId="1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5"/>
    <col customWidth="1" min="5" max="5" width="22.88"/>
    <col customWidth="1" min="6" max="6" width="13.0"/>
  </cols>
  <sheetData>
    <row r="1">
      <c r="A1" s="1" t="str">
        <f>IFERROR(__xludf.DUMMYFUNCTION("IMPORTRANGE(""https://docs.google.com/spreadsheets/d/1kk54_7PrKKA0Q7rk2QkYYPkMdikSk427y25JTmX8otE/edit#gid=1064293320"", ""visitors-overview!A7:C"")"),"Day Index")</f>
        <v>Day Index</v>
      </c>
      <c r="B1" s="1" t="str">
        <f>IFERROR(__xludf.DUMMYFUNCTION("""COMPUTED_VALUE"""),"Users")</f>
        <v>Users</v>
      </c>
      <c r="C1" s="1" t="str">
        <f>IFERROR(__xludf.DUMMYFUNCTION("""COMPUTED_VALUE"""),"Bounce Rate")</f>
        <v>Bounce Rate</v>
      </c>
      <c r="D1" s="2" t="str">
        <f>IFERROR(__xludf.DUMMYFUNCTION("IMPORTRANGE(""https://docs.google.com/spreadsheets/d/1pfACaTdcEWVNFLZXKC2U2d5YVSf_A7-lLAlOu3eF220/edit#gid=1500668629"", ""visitors-overview!C7:C"")"),"Avg. Session Duration")</f>
        <v>Avg. Session Duration</v>
      </c>
      <c r="E1" s="1" t="str">
        <f>IFERROR(__xludf.DUMMYFUNCTION("IMPORTRANGE(""https://docs.google.com/spreadsheets/d/1ooHqgZppPyMITO8eYo7i_jJR2xZ1if1RFtwUhQe7rH0/edit#gid=2002029832"", ""visitors-overview!C7:C"")"),"Number of Sessions per User")</f>
        <v>Number of Sessions per User</v>
      </c>
      <c r="F1" s="1" t="str">
        <f>IFERROR(__xludf.DUMMYFUNCTION("IMPORTRANGE(""https://docs.google.com/spreadsheets/d/1VeUxxb2IsxHcjQFj-6s1unDVNW0mQvmReXTUNg5j00M/edit#gid=956964880"", ""visitors-overview!C7:C"")"),"Pages / Session")</f>
        <v>Pages / Session</v>
      </c>
      <c r="G1" s="1" t="str">
        <f>IFERROR(__xludf.DUMMYFUNCTION("IMPORTRANGE(""https://docs.google.com/spreadsheets/d/1xZmrHao_A9CqiSbm8dgMjTnSwWc1bNUr3Axvn9jkeDE/edit#gid=805770013"", ""visitors-overview!C7:C"")"),"Pageviews")</f>
        <v>Pageviews</v>
      </c>
      <c r="H1" s="3" t="str">
        <f>IFERROR(__xludf.DUMMYFUNCTION("IMPORTRANGE(""https://docs.google.com/spreadsheets/d/1OorbTjLPOxwk_FKBWEE7E3b4j1dYsfIvx_wPkE_g3G0/edit#gid=54721576"", ""visitors-overview!C7:C"")"),"Sessions")</f>
        <v>Sessions</v>
      </c>
    </row>
    <row r="2">
      <c r="A2" s="4">
        <f>IFERROR(__xludf.DUMMYFUNCTION("""COMPUTED_VALUE"""),42370.0)</f>
        <v>42370</v>
      </c>
      <c r="B2" s="5">
        <f>IFERROR(__xludf.DUMMYFUNCTION("""COMPUTED_VALUE"""),1777.0)</f>
        <v>1777</v>
      </c>
      <c r="C2" s="6">
        <f>IFERROR(__xludf.DUMMYFUNCTION("""COMPUTED_VALUE"""),0.4783)</f>
        <v>0.4783</v>
      </c>
      <c r="D2" s="2">
        <f>IFERROR(__xludf.DUMMYFUNCTION("""COMPUTED_VALUE"""),0.0010416666666666667)</f>
        <v>0.001041666667</v>
      </c>
      <c r="E2" s="1">
        <f>IFERROR(__xludf.DUMMYFUNCTION("""COMPUTED_VALUE"""),1.06)</f>
        <v>1.06</v>
      </c>
      <c r="F2" s="1">
        <f>IFERROR(__xludf.DUMMYFUNCTION("""COMPUTED_VALUE"""),4.53)</f>
        <v>4.53</v>
      </c>
      <c r="G2" s="5">
        <f>IFERROR(__xludf.DUMMYFUNCTION("""COMPUTED_VALUE"""),8553.0)</f>
        <v>8553</v>
      </c>
      <c r="H2" s="5">
        <f>IFERROR(__xludf.DUMMYFUNCTION("""COMPUTED_VALUE"""),1888.0)</f>
        <v>1888</v>
      </c>
    </row>
    <row r="3">
      <c r="A3" s="4">
        <f>IFERROR(__xludf.DUMMYFUNCTION("""COMPUTED_VALUE"""),42371.0)</f>
        <v>42371</v>
      </c>
      <c r="B3" s="5">
        <f>IFERROR(__xludf.DUMMYFUNCTION("""COMPUTED_VALUE"""),1402.0)</f>
        <v>1402</v>
      </c>
      <c r="C3" s="6">
        <f>IFERROR(__xludf.DUMMYFUNCTION("""COMPUTED_VALUE"""),0.5048)</f>
        <v>0.5048</v>
      </c>
      <c r="D3" s="2">
        <f>IFERROR(__xludf.DUMMYFUNCTION("""COMPUTED_VALUE"""),0.001261574074074074)</f>
        <v>0.001261574074</v>
      </c>
      <c r="E3" s="1">
        <f>IFERROR(__xludf.DUMMYFUNCTION("""COMPUTED_VALUE"""),1.04)</f>
        <v>1.04</v>
      </c>
      <c r="F3" s="1">
        <f>IFERROR(__xludf.DUMMYFUNCTION("""COMPUTED_VALUE"""),6.42)</f>
        <v>6.42</v>
      </c>
      <c r="G3" s="5">
        <f>IFERROR(__xludf.DUMMYFUNCTION("""COMPUTED_VALUE"""),9359.0)</f>
        <v>9359</v>
      </c>
      <c r="H3" s="5">
        <f>IFERROR(__xludf.DUMMYFUNCTION("""COMPUTED_VALUE"""),1458.0)</f>
        <v>1458</v>
      </c>
    </row>
    <row r="4">
      <c r="A4" s="4">
        <f>IFERROR(__xludf.DUMMYFUNCTION("""COMPUTED_VALUE"""),42372.0)</f>
        <v>42372</v>
      </c>
      <c r="B4" s="5">
        <f>IFERROR(__xludf.DUMMYFUNCTION("""COMPUTED_VALUE"""),1333.0)</f>
        <v>1333</v>
      </c>
      <c r="C4" s="6">
        <f>IFERROR(__xludf.DUMMYFUNCTION("""COMPUTED_VALUE"""),0.524)</f>
        <v>0.524</v>
      </c>
      <c r="D4" s="2">
        <f>IFERROR(__xludf.DUMMYFUNCTION("""COMPUTED_VALUE"""),0.0015046296296296296)</f>
        <v>0.00150462963</v>
      </c>
      <c r="E4" s="1">
        <f>IFERROR(__xludf.DUMMYFUNCTION("""COMPUTED_VALUE"""),1.09)</f>
        <v>1.09</v>
      </c>
      <c r="F4" s="1">
        <f>IFERROR(__xludf.DUMMYFUNCTION("""COMPUTED_VALUE"""),5.35)</f>
        <v>5.35</v>
      </c>
      <c r="G4" s="5">
        <f>IFERROR(__xludf.DUMMYFUNCTION("""COMPUTED_VALUE"""),7804.0)</f>
        <v>7804</v>
      </c>
      <c r="H4" s="5">
        <f>IFERROR(__xludf.DUMMYFUNCTION("""COMPUTED_VALUE"""),1458.0)</f>
        <v>1458</v>
      </c>
    </row>
    <row r="5">
      <c r="A5" s="4">
        <f>IFERROR(__xludf.DUMMYFUNCTION("""COMPUTED_VALUE"""),42373.0)</f>
        <v>42373</v>
      </c>
      <c r="B5" s="5">
        <f>IFERROR(__xludf.DUMMYFUNCTION("""COMPUTED_VALUE"""),1777.0)</f>
        <v>1777</v>
      </c>
      <c r="C5" s="6">
        <f>IFERROR(__xludf.DUMMYFUNCTION("""COMPUTED_VALUE"""),0.4854)</f>
        <v>0.4854</v>
      </c>
      <c r="D5" s="2">
        <f>IFERROR(__xludf.DUMMYFUNCTION("""COMPUTED_VALUE"""),0.0027430555555555554)</f>
        <v>0.002743055556</v>
      </c>
      <c r="E5" s="1">
        <f>IFERROR(__xludf.DUMMYFUNCTION("""COMPUTED_VALUE"""),1.08)</f>
        <v>1.08</v>
      </c>
      <c r="F5" s="1">
        <f>IFERROR(__xludf.DUMMYFUNCTION("""COMPUTED_VALUE"""),9.91)</f>
        <v>9.91</v>
      </c>
      <c r="G5" s="5">
        <f>IFERROR(__xludf.DUMMYFUNCTION("""COMPUTED_VALUE"""),18981.0)</f>
        <v>18981</v>
      </c>
      <c r="H5" s="5">
        <f>IFERROR(__xludf.DUMMYFUNCTION("""COMPUTED_VALUE"""),1916.0)</f>
        <v>1916</v>
      </c>
    </row>
    <row r="6">
      <c r="A6" s="4">
        <f>IFERROR(__xludf.DUMMYFUNCTION("""COMPUTED_VALUE"""),42374.0)</f>
        <v>42374</v>
      </c>
      <c r="B6" s="5">
        <f>IFERROR(__xludf.DUMMYFUNCTION("""COMPUTED_VALUE"""),1736.0)</f>
        <v>1736</v>
      </c>
      <c r="C6" s="6">
        <f>IFERROR(__xludf.DUMMYFUNCTION("""COMPUTED_VALUE"""),0.477)</f>
        <v>0.477</v>
      </c>
      <c r="D6" s="2">
        <f>IFERROR(__xludf.DUMMYFUNCTION("""COMPUTED_VALUE"""),0.002199074074074074)</f>
        <v>0.002199074074</v>
      </c>
      <c r="E6" s="1">
        <f>IFERROR(__xludf.DUMMYFUNCTION("""COMPUTED_VALUE"""),1.04)</f>
        <v>1.04</v>
      </c>
      <c r="F6" s="1">
        <f>IFERROR(__xludf.DUMMYFUNCTION("""COMPUTED_VALUE"""),8.42)</f>
        <v>8.42</v>
      </c>
      <c r="G6" s="5">
        <f>IFERROR(__xludf.DUMMYFUNCTION("""COMPUTED_VALUE"""),15191.0)</f>
        <v>15191</v>
      </c>
      <c r="H6" s="5">
        <f>IFERROR(__xludf.DUMMYFUNCTION("""COMPUTED_VALUE"""),1805.0)</f>
        <v>1805</v>
      </c>
    </row>
    <row r="7">
      <c r="A7" s="4">
        <f>IFERROR(__xludf.DUMMYFUNCTION("""COMPUTED_VALUE"""),42375.0)</f>
        <v>42375</v>
      </c>
      <c r="B7" s="5">
        <f>IFERROR(__xludf.DUMMYFUNCTION("""COMPUTED_VALUE"""),1777.0)</f>
        <v>1777</v>
      </c>
      <c r="C7" s="6">
        <f>IFERROR(__xludf.DUMMYFUNCTION("""COMPUTED_VALUE"""),0.4075)</f>
        <v>0.4075</v>
      </c>
      <c r="D7" s="2">
        <f>IFERROR(__xludf.DUMMYFUNCTION("""COMPUTED_VALUE"""),0.0010416666666666667)</f>
        <v>0.001041666667</v>
      </c>
      <c r="E7" s="1">
        <f>IFERROR(__xludf.DUMMYFUNCTION("""COMPUTED_VALUE"""),1.06)</f>
        <v>1.06</v>
      </c>
      <c r="F7" s="1">
        <f>IFERROR(__xludf.DUMMYFUNCTION("""COMPUTED_VALUE"""),5.78)</f>
        <v>5.78</v>
      </c>
      <c r="G7" s="5">
        <f>IFERROR(__xludf.DUMMYFUNCTION("""COMPUTED_VALUE"""),10844.0)</f>
        <v>10844</v>
      </c>
      <c r="H7" s="5">
        <f>IFERROR(__xludf.DUMMYFUNCTION("""COMPUTED_VALUE"""),1875.0)</f>
        <v>1875</v>
      </c>
    </row>
    <row r="8">
      <c r="A8" s="4">
        <f>IFERROR(__xludf.DUMMYFUNCTION("""COMPUTED_VALUE"""),42376.0)</f>
        <v>42376</v>
      </c>
      <c r="B8" s="5">
        <f>IFERROR(__xludf.DUMMYFUNCTION("""COMPUTED_VALUE"""),1805.0)</f>
        <v>1805</v>
      </c>
      <c r="C8" s="6">
        <f>IFERROR(__xludf.DUMMYFUNCTION("""COMPUTED_VALUE"""),0.4635)</f>
        <v>0.4635</v>
      </c>
      <c r="D8" s="2">
        <f>IFERROR(__xludf.DUMMYFUNCTION("""COMPUTED_VALUE"""),0.0018287037037037037)</f>
        <v>0.001828703704</v>
      </c>
      <c r="E8" s="1">
        <f>IFERROR(__xludf.DUMMYFUNCTION("""COMPUTED_VALUE"""),1.05)</f>
        <v>1.05</v>
      </c>
      <c r="F8" s="1">
        <f>IFERROR(__xludf.DUMMYFUNCTION("""COMPUTED_VALUE"""),7.91)</f>
        <v>7.91</v>
      </c>
      <c r="G8" s="5">
        <f>IFERROR(__xludf.DUMMYFUNCTION("""COMPUTED_VALUE"""),14941.0)</f>
        <v>14941</v>
      </c>
      <c r="H8" s="5">
        <f>IFERROR(__xludf.DUMMYFUNCTION("""COMPUTED_VALUE"""),1888.0)</f>
        <v>1888</v>
      </c>
    </row>
    <row r="9">
      <c r="A9" s="4">
        <f>IFERROR(__xludf.DUMMYFUNCTION("""COMPUTED_VALUE"""),42377.0)</f>
        <v>42377</v>
      </c>
      <c r="B9" s="5">
        <f>IFERROR(__xludf.DUMMYFUNCTION("""COMPUTED_VALUE"""),1625.0)</f>
        <v>1625</v>
      </c>
      <c r="C9" s="6">
        <f>IFERROR(__xludf.DUMMYFUNCTION("""COMPUTED_VALUE"""),0.3981)</f>
        <v>0.3981</v>
      </c>
      <c r="D9" s="2">
        <f>IFERROR(__xludf.DUMMYFUNCTION("""COMPUTED_VALUE"""),0.0018981481481481482)</f>
        <v>0.001898148148</v>
      </c>
      <c r="E9" s="1">
        <f>IFERROR(__xludf.DUMMYFUNCTION("""COMPUTED_VALUE"""),1.05)</f>
        <v>1.05</v>
      </c>
      <c r="F9" s="1">
        <f>IFERROR(__xludf.DUMMYFUNCTION("""COMPUTED_VALUE"""),7.49)</f>
        <v>7.49</v>
      </c>
      <c r="G9" s="5">
        <f>IFERROR(__xludf.DUMMYFUNCTION("""COMPUTED_VALUE"""),12788.0)</f>
        <v>12788</v>
      </c>
      <c r="H9" s="5">
        <f>IFERROR(__xludf.DUMMYFUNCTION("""COMPUTED_VALUE"""),1708.0)</f>
        <v>1708</v>
      </c>
    </row>
    <row r="10">
      <c r="A10" s="4">
        <f>IFERROR(__xludf.DUMMYFUNCTION("""COMPUTED_VALUE"""),42378.0)</f>
        <v>42378</v>
      </c>
      <c r="B10" s="5">
        <f>IFERROR(__xludf.DUMMYFUNCTION("""COMPUTED_VALUE"""),1458.0)</f>
        <v>1458</v>
      </c>
      <c r="C10" s="6">
        <f>IFERROR(__xludf.DUMMYFUNCTION("""COMPUTED_VALUE"""),0.4907)</f>
        <v>0.4907</v>
      </c>
      <c r="D10" s="2">
        <f>IFERROR(__xludf.DUMMYFUNCTION("""COMPUTED_VALUE"""),0.0010416666666666667)</f>
        <v>0.001041666667</v>
      </c>
      <c r="E10" s="1">
        <f>IFERROR(__xludf.DUMMYFUNCTION("""COMPUTED_VALUE"""),1.03)</f>
        <v>1.03</v>
      </c>
      <c r="F10" s="1">
        <f>IFERROR(__xludf.DUMMYFUNCTION("""COMPUTED_VALUE"""),4.18)</f>
        <v>4.18</v>
      </c>
      <c r="G10" s="5">
        <f>IFERROR(__xludf.DUMMYFUNCTION("""COMPUTED_VALUE"""),6276.0)</f>
        <v>6276</v>
      </c>
      <c r="H10" s="5">
        <f>IFERROR(__xludf.DUMMYFUNCTION("""COMPUTED_VALUE"""),1500.0)</f>
        <v>1500</v>
      </c>
    </row>
    <row r="11">
      <c r="A11" s="4">
        <f>IFERROR(__xludf.DUMMYFUNCTION("""COMPUTED_VALUE"""),42379.0)</f>
        <v>42379</v>
      </c>
      <c r="B11" s="5">
        <f>IFERROR(__xludf.DUMMYFUNCTION("""COMPUTED_VALUE"""),1527.0)</f>
        <v>1527</v>
      </c>
      <c r="C11" s="6">
        <f>IFERROR(__xludf.DUMMYFUNCTION("""COMPUTED_VALUE"""),0.5171)</f>
        <v>0.5171</v>
      </c>
      <c r="D11" s="2">
        <f>IFERROR(__xludf.DUMMYFUNCTION("""COMPUTED_VALUE"""),0.001736111111111111)</f>
        <v>0.001736111111</v>
      </c>
      <c r="E11" s="1">
        <f>IFERROR(__xludf.DUMMYFUNCTION("""COMPUTED_VALUE"""),1.07)</f>
        <v>1.07</v>
      </c>
      <c r="F11" s="1">
        <f>IFERROR(__xludf.DUMMYFUNCTION("""COMPUTED_VALUE"""),7.75)</f>
        <v>7.75</v>
      </c>
      <c r="G11" s="5">
        <f>IFERROR(__xludf.DUMMYFUNCTION("""COMPUTED_VALUE"""),12691.0)</f>
        <v>12691</v>
      </c>
      <c r="H11" s="5">
        <f>IFERROR(__xludf.DUMMYFUNCTION("""COMPUTED_VALUE"""),1638.0)</f>
        <v>1638</v>
      </c>
    </row>
    <row r="12">
      <c r="A12" s="4">
        <f>IFERROR(__xludf.DUMMYFUNCTION("""COMPUTED_VALUE"""),42380.0)</f>
        <v>42380</v>
      </c>
      <c r="B12" s="5">
        <f>IFERROR(__xludf.DUMMYFUNCTION("""COMPUTED_VALUE"""),1902.0)</f>
        <v>1902</v>
      </c>
      <c r="C12" s="6">
        <f>IFERROR(__xludf.DUMMYFUNCTION("""COMPUTED_VALUE"""),0.5242)</f>
        <v>0.5242</v>
      </c>
      <c r="D12" s="2">
        <f>IFERROR(__xludf.DUMMYFUNCTION("""COMPUTED_VALUE"""),0.0010763888888888889)</f>
        <v>0.001076388889</v>
      </c>
      <c r="E12" s="1">
        <f>IFERROR(__xludf.DUMMYFUNCTION("""COMPUTED_VALUE"""),1.04)</f>
        <v>1.04</v>
      </c>
      <c r="F12" s="1">
        <f>IFERROR(__xludf.DUMMYFUNCTION("""COMPUTED_VALUE"""),4.21)</f>
        <v>4.21</v>
      </c>
      <c r="G12" s="5">
        <f>IFERROR(__xludf.DUMMYFUNCTION("""COMPUTED_VALUE"""),8359.0)</f>
        <v>8359</v>
      </c>
      <c r="H12" s="5">
        <f>IFERROR(__xludf.DUMMYFUNCTION("""COMPUTED_VALUE"""),1986.0)</f>
        <v>1986</v>
      </c>
    </row>
    <row r="13">
      <c r="A13" s="4">
        <f>IFERROR(__xludf.DUMMYFUNCTION("""COMPUTED_VALUE"""),42381.0)</f>
        <v>42381</v>
      </c>
      <c r="B13" s="5">
        <f>IFERROR(__xludf.DUMMYFUNCTION("""COMPUTED_VALUE"""),1708.0)</f>
        <v>1708</v>
      </c>
      <c r="C13" s="6">
        <f>IFERROR(__xludf.DUMMYFUNCTION("""COMPUTED_VALUE"""),0.4621)</f>
        <v>0.4621</v>
      </c>
      <c r="D13" s="2">
        <f>IFERROR(__xludf.DUMMYFUNCTION("""COMPUTED_VALUE"""),0.0023263888888888887)</f>
        <v>0.002326388889</v>
      </c>
      <c r="E13" s="1">
        <f>IFERROR(__xludf.DUMMYFUNCTION("""COMPUTED_VALUE"""),1.07)</f>
        <v>1.07</v>
      </c>
      <c r="F13" s="1">
        <f>IFERROR(__xludf.DUMMYFUNCTION("""COMPUTED_VALUE"""),5.4)</f>
        <v>5.4</v>
      </c>
      <c r="G13" s="5">
        <f>IFERROR(__xludf.DUMMYFUNCTION("""COMPUTED_VALUE"""),9900.0)</f>
        <v>9900</v>
      </c>
      <c r="H13" s="5">
        <f>IFERROR(__xludf.DUMMYFUNCTION("""COMPUTED_VALUE"""),1833.0)</f>
        <v>1833</v>
      </c>
    </row>
    <row r="14">
      <c r="A14" s="4">
        <f>IFERROR(__xludf.DUMMYFUNCTION("""COMPUTED_VALUE"""),42382.0)</f>
        <v>42382</v>
      </c>
      <c r="B14" s="5">
        <f>IFERROR(__xludf.DUMMYFUNCTION("""COMPUTED_VALUE"""),2458.0)</f>
        <v>2458</v>
      </c>
      <c r="C14" s="6">
        <f>IFERROR(__xludf.DUMMYFUNCTION("""COMPUTED_VALUE"""),0.3876)</f>
        <v>0.3876</v>
      </c>
      <c r="D14" s="2">
        <f>IFERROR(__xludf.DUMMYFUNCTION("""COMPUTED_VALUE"""),0.0012962962962962963)</f>
        <v>0.001296296296</v>
      </c>
      <c r="E14" s="1">
        <f>IFERROR(__xludf.DUMMYFUNCTION("""COMPUTED_VALUE"""),1.08)</f>
        <v>1.08</v>
      </c>
      <c r="F14" s="1">
        <f>IFERROR(__xludf.DUMMYFUNCTION("""COMPUTED_VALUE"""),5.43)</f>
        <v>5.43</v>
      </c>
      <c r="G14" s="5">
        <f>IFERROR(__xludf.DUMMYFUNCTION("""COMPUTED_VALUE"""),14413.0)</f>
        <v>14413</v>
      </c>
      <c r="H14" s="5">
        <f>IFERROR(__xludf.DUMMYFUNCTION("""COMPUTED_VALUE"""),2652.0)</f>
        <v>2652</v>
      </c>
    </row>
    <row r="15">
      <c r="A15" s="4">
        <f>IFERROR(__xludf.DUMMYFUNCTION("""COMPUTED_VALUE"""),42383.0)</f>
        <v>42383</v>
      </c>
      <c r="B15" s="5">
        <f>IFERROR(__xludf.DUMMYFUNCTION("""COMPUTED_VALUE"""),1999.0)</f>
        <v>1999</v>
      </c>
      <c r="C15" s="6">
        <f>IFERROR(__xludf.DUMMYFUNCTION("""COMPUTED_VALUE"""),0.4278)</f>
        <v>0.4278</v>
      </c>
      <c r="D15" s="2">
        <f>IFERROR(__xludf.DUMMYFUNCTION("""COMPUTED_VALUE"""),0.001261574074074074)</f>
        <v>0.001261574074</v>
      </c>
      <c r="E15" s="1">
        <f>IFERROR(__xludf.DUMMYFUNCTION("""COMPUTED_VALUE"""),1.06)</f>
        <v>1.06</v>
      </c>
      <c r="F15" s="1">
        <f>IFERROR(__xludf.DUMMYFUNCTION("""COMPUTED_VALUE"""),4.62)</f>
        <v>4.62</v>
      </c>
      <c r="G15" s="5">
        <f>IFERROR(__xludf.DUMMYFUNCTION("""COMPUTED_VALUE"""),9748.0)</f>
        <v>9748</v>
      </c>
      <c r="H15" s="5">
        <f>IFERROR(__xludf.DUMMYFUNCTION("""COMPUTED_VALUE"""),2111.0)</f>
        <v>2111</v>
      </c>
    </row>
    <row r="16">
      <c r="A16" s="4">
        <f>IFERROR(__xludf.DUMMYFUNCTION("""COMPUTED_VALUE"""),42384.0)</f>
        <v>42384</v>
      </c>
      <c r="B16" s="5">
        <f>IFERROR(__xludf.DUMMYFUNCTION("""COMPUTED_VALUE"""),1819.0)</f>
        <v>1819</v>
      </c>
      <c r="C16" s="6">
        <f>IFERROR(__xludf.DUMMYFUNCTION("""COMPUTED_VALUE"""),0.4488)</f>
        <v>0.4488</v>
      </c>
      <c r="D16" s="2">
        <f>IFERROR(__xludf.DUMMYFUNCTION("""COMPUTED_VALUE"""),0.0024421296296296296)</f>
        <v>0.00244212963</v>
      </c>
      <c r="E16" s="1">
        <f>IFERROR(__xludf.DUMMYFUNCTION("""COMPUTED_VALUE"""),1.12)</f>
        <v>1.12</v>
      </c>
      <c r="F16" s="1">
        <f>IFERROR(__xludf.DUMMYFUNCTION("""COMPUTED_VALUE"""),8.52)</f>
        <v>8.52</v>
      </c>
      <c r="G16" s="5">
        <f>IFERROR(__xludf.DUMMYFUNCTION("""COMPUTED_VALUE"""),17398.0)</f>
        <v>17398</v>
      </c>
      <c r="H16" s="5">
        <f>IFERROR(__xludf.DUMMYFUNCTION("""COMPUTED_VALUE"""),2041.0)</f>
        <v>2041</v>
      </c>
    </row>
    <row r="17">
      <c r="A17" s="4">
        <f>IFERROR(__xludf.DUMMYFUNCTION("""COMPUTED_VALUE"""),42385.0)</f>
        <v>42385</v>
      </c>
      <c r="B17" s="5">
        <f>IFERROR(__xludf.DUMMYFUNCTION("""COMPUTED_VALUE"""),1416.0)</f>
        <v>1416</v>
      </c>
      <c r="C17" s="6">
        <f>IFERROR(__xludf.DUMMYFUNCTION("""COMPUTED_VALUE"""),0.4915)</f>
        <v>0.4915</v>
      </c>
      <c r="D17" s="2">
        <f>IFERROR(__xludf.DUMMYFUNCTION("""COMPUTED_VALUE"""),0.0017708333333333332)</f>
        <v>0.001770833333</v>
      </c>
      <c r="E17" s="1">
        <f>IFERROR(__xludf.DUMMYFUNCTION("""COMPUTED_VALUE"""),1.12)</f>
        <v>1.12</v>
      </c>
      <c r="F17" s="1">
        <f>IFERROR(__xludf.DUMMYFUNCTION("""COMPUTED_VALUE"""),5.44)</f>
        <v>5.44</v>
      </c>
      <c r="G17" s="5">
        <f>IFERROR(__xludf.DUMMYFUNCTION("""COMPUTED_VALUE"""),8609.0)</f>
        <v>8609</v>
      </c>
      <c r="H17" s="5">
        <f>IFERROR(__xludf.DUMMYFUNCTION("""COMPUTED_VALUE"""),1583.0)</f>
        <v>1583</v>
      </c>
    </row>
    <row r="18">
      <c r="A18" s="4">
        <f>IFERROR(__xludf.DUMMYFUNCTION("""COMPUTED_VALUE"""),42386.0)</f>
        <v>42386</v>
      </c>
      <c r="B18" s="5">
        <f>IFERROR(__xludf.DUMMYFUNCTION("""COMPUTED_VALUE"""),1375.0)</f>
        <v>1375</v>
      </c>
      <c r="C18" s="6">
        <f>IFERROR(__xludf.DUMMYFUNCTION("""COMPUTED_VALUE"""),0.4413)</f>
        <v>0.4413</v>
      </c>
      <c r="D18" s="2">
        <f>IFERROR(__xludf.DUMMYFUNCTION("""COMPUTED_VALUE"""),0.002002314814814815)</f>
        <v>0.002002314815</v>
      </c>
      <c r="E18" s="1">
        <f>IFERROR(__xludf.DUMMYFUNCTION("""COMPUTED_VALUE"""),1.12)</f>
        <v>1.12</v>
      </c>
      <c r="F18" s="1">
        <f>IFERROR(__xludf.DUMMYFUNCTION("""COMPUTED_VALUE"""),6.7)</f>
        <v>6.7</v>
      </c>
      <c r="G18" s="5">
        <f>IFERROR(__xludf.DUMMYFUNCTION("""COMPUTED_VALUE"""),10331.0)</f>
        <v>10331</v>
      </c>
      <c r="H18" s="5">
        <f>IFERROR(__xludf.DUMMYFUNCTION("""COMPUTED_VALUE"""),1541.0)</f>
        <v>1541</v>
      </c>
    </row>
    <row r="19">
      <c r="A19" s="4">
        <f>IFERROR(__xludf.DUMMYFUNCTION("""COMPUTED_VALUE"""),42387.0)</f>
        <v>42387</v>
      </c>
      <c r="B19" s="5">
        <f>IFERROR(__xludf.DUMMYFUNCTION("""COMPUTED_VALUE"""),1541.0)</f>
        <v>1541</v>
      </c>
      <c r="C19" s="6">
        <f>IFERROR(__xludf.DUMMYFUNCTION("""COMPUTED_VALUE"""),0.4835)</f>
        <v>0.4835</v>
      </c>
      <c r="D19" s="2">
        <f>IFERROR(__xludf.DUMMYFUNCTION("""COMPUTED_VALUE"""),0.0022685185185185187)</f>
        <v>0.002268518519</v>
      </c>
      <c r="E19" s="1">
        <f>IFERROR(__xludf.DUMMYFUNCTION("""COMPUTED_VALUE"""),1.1)</f>
        <v>1.1</v>
      </c>
      <c r="F19" s="1">
        <f>IFERROR(__xludf.DUMMYFUNCTION("""COMPUTED_VALUE"""),6.0)</f>
        <v>6</v>
      </c>
      <c r="G19" s="5">
        <f>IFERROR(__xludf.DUMMYFUNCTION("""COMPUTED_VALUE"""),10164.0)</f>
        <v>10164</v>
      </c>
      <c r="H19" s="5">
        <f>IFERROR(__xludf.DUMMYFUNCTION("""COMPUTED_VALUE"""),1694.0)</f>
        <v>1694</v>
      </c>
    </row>
    <row r="20">
      <c r="A20" s="4">
        <f>IFERROR(__xludf.DUMMYFUNCTION("""COMPUTED_VALUE"""),42388.0)</f>
        <v>42388</v>
      </c>
      <c r="B20" s="5">
        <f>IFERROR(__xludf.DUMMYFUNCTION("""COMPUTED_VALUE"""),1583.0)</f>
        <v>1583</v>
      </c>
      <c r="C20" s="6">
        <f>IFERROR(__xludf.DUMMYFUNCTION("""COMPUTED_VALUE"""),0.5003)</f>
        <v>0.5003</v>
      </c>
      <c r="D20" s="2">
        <f>IFERROR(__xludf.DUMMYFUNCTION("""COMPUTED_VALUE"""),0.002627314814814815)</f>
        <v>0.002627314815</v>
      </c>
      <c r="E20" s="1">
        <f>IFERROR(__xludf.DUMMYFUNCTION("""COMPUTED_VALUE"""),1.12)</f>
        <v>1.12</v>
      </c>
      <c r="F20" s="1">
        <f>IFERROR(__xludf.DUMMYFUNCTION("""COMPUTED_VALUE"""),7.22)</f>
        <v>7.22</v>
      </c>
      <c r="G20" s="5">
        <f>IFERROR(__xludf.DUMMYFUNCTION("""COMPUTED_VALUE"""),12830.0)</f>
        <v>12830</v>
      </c>
      <c r="H20" s="5">
        <f>IFERROR(__xludf.DUMMYFUNCTION("""COMPUTED_VALUE"""),1777.0)</f>
        <v>1777</v>
      </c>
    </row>
    <row r="21">
      <c r="A21" s="4">
        <f>IFERROR(__xludf.DUMMYFUNCTION("""COMPUTED_VALUE"""),42389.0)</f>
        <v>42389</v>
      </c>
      <c r="B21" s="5">
        <f>IFERROR(__xludf.DUMMYFUNCTION("""COMPUTED_VALUE"""),1888.0)</f>
        <v>1888</v>
      </c>
      <c r="C21" s="6">
        <f>IFERROR(__xludf.DUMMYFUNCTION("""COMPUTED_VALUE"""),0.5106)</f>
        <v>0.5106</v>
      </c>
      <c r="D21" s="2">
        <f>IFERROR(__xludf.DUMMYFUNCTION("""COMPUTED_VALUE"""),0.0019212962962962964)</f>
        <v>0.001921296296</v>
      </c>
      <c r="E21" s="1">
        <f>IFERROR(__xludf.DUMMYFUNCTION("""COMPUTED_VALUE"""),1.05)</f>
        <v>1.05</v>
      </c>
      <c r="F21" s="1">
        <f>IFERROR(__xludf.DUMMYFUNCTION("""COMPUTED_VALUE"""),7.81)</f>
        <v>7.81</v>
      </c>
      <c r="G21" s="5">
        <f>IFERROR(__xludf.DUMMYFUNCTION("""COMPUTED_VALUE"""),15510.0)</f>
        <v>15510</v>
      </c>
      <c r="H21" s="5">
        <f>IFERROR(__xludf.DUMMYFUNCTION("""COMPUTED_VALUE"""),1986.0)</f>
        <v>1986</v>
      </c>
    </row>
    <row r="22">
      <c r="A22" s="4">
        <f>IFERROR(__xludf.DUMMYFUNCTION("""COMPUTED_VALUE"""),42390.0)</f>
        <v>42390</v>
      </c>
      <c r="B22" s="5">
        <f>IFERROR(__xludf.DUMMYFUNCTION("""COMPUTED_VALUE"""),1805.0)</f>
        <v>1805</v>
      </c>
      <c r="C22" s="6">
        <f>IFERROR(__xludf.DUMMYFUNCTION("""COMPUTED_VALUE"""),0.4928)</f>
        <v>0.4928</v>
      </c>
      <c r="D22" s="2">
        <f>IFERROR(__xludf.DUMMYFUNCTION("""COMPUTED_VALUE"""),0.0011574074074074073)</f>
        <v>0.001157407407</v>
      </c>
      <c r="E22" s="1">
        <f>IFERROR(__xludf.DUMMYFUNCTION("""COMPUTED_VALUE"""),1.08)</f>
        <v>1.08</v>
      </c>
      <c r="F22" s="1">
        <f>IFERROR(__xludf.DUMMYFUNCTION("""COMPUTED_VALUE"""),6.49)</f>
        <v>6.49</v>
      </c>
      <c r="G22" s="5">
        <f>IFERROR(__xludf.DUMMYFUNCTION("""COMPUTED_VALUE"""),12608.0)</f>
        <v>12608</v>
      </c>
      <c r="H22" s="5">
        <f>IFERROR(__xludf.DUMMYFUNCTION("""COMPUTED_VALUE"""),1944.0)</f>
        <v>1944</v>
      </c>
    </row>
    <row r="23">
      <c r="A23" s="4">
        <f>IFERROR(__xludf.DUMMYFUNCTION("""COMPUTED_VALUE"""),42391.0)</f>
        <v>42391</v>
      </c>
      <c r="B23" s="5">
        <f>IFERROR(__xludf.DUMMYFUNCTION("""COMPUTED_VALUE"""),1819.0)</f>
        <v>1819</v>
      </c>
      <c r="C23" s="6">
        <f>IFERROR(__xludf.DUMMYFUNCTION("""COMPUTED_VALUE"""),0.4965)</f>
        <v>0.4965</v>
      </c>
      <c r="D23" s="2">
        <f>IFERROR(__xludf.DUMMYFUNCTION("""COMPUTED_VALUE"""),0.001851851851851852)</f>
        <v>0.001851851852</v>
      </c>
      <c r="E23" s="1">
        <f>IFERROR(__xludf.DUMMYFUNCTION("""COMPUTED_VALUE"""),1.09)</f>
        <v>1.09</v>
      </c>
      <c r="F23" s="1">
        <f>IFERROR(__xludf.DUMMYFUNCTION("""COMPUTED_VALUE"""),7.91)</f>
        <v>7.91</v>
      </c>
      <c r="G23" s="5">
        <f>IFERROR(__xludf.DUMMYFUNCTION("""COMPUTED_VALUE"""),15704.0)</f>
        <v>15704</v>
      </c>
      <c r="H23" s="5">
        <f>IFERROR(__xludf.DUMMYFUNCTION("""COMPUTED_VALUE"""),1986.0)</f>
        <v>1986</v>
      </c>
    </row>
    <row r="24">
      <c r="A24" s="4">
        <f>IFERROR(__xludf.DUMMYFUNCTION("""COMPUTED_VALUE"""),42392.0)</f>
        <v>42392</v>
      </c>
      <c r="B24" s="5">
        <f>IFERROR(__xludf.DUMMYFUNCTION("""COMPUTED_VALUE"""),1458.0)</f>
        <v>1458</v>
      </c>
      <c r="C24" s="6">
        <f>IFERROR(__xludf.DUMMYFUNCTION("""COMPUTED_VALUE"""),0.5964)</f>
        <v>0.5964</v>
      </c>
      <c r="D24" s="2">
        <f>IFERROR(__xludf.DUMMYFUNCTION("""COMPUTED_VALUE"""),9.722222222222222E-4)</f>
        <v>0.0009722222222</v>
      </c>
      <c r="E24" s="1">
        <f>IFERROR(__xludf.DUMMYFUNCTION("""COMPUTED_VALUE"""),1.04)</f>
        <v>1.04</v>
      </c>
      <c r="F24" s="1">
        <f>IFERROR(__xludf.DUMMYFUNCTION("""COMPUTED_VALUE"""),5.41)</f>
        <v>5.41</v>
      </c>
      <c r="G24" s="5">
        <f>IFERROR(__xludf.DUMMYFUNCTION("""COMPUTED_VALUE"""),8192.0)</f>
        <v>8192</v>
      </c>
      <c r="H24" s="5">
        <f>IFERROR(__xludf.DUMMYFUNCTION("""COMPUTED_VALUE"""),1514.0)</f>
        <v>1514</v>
      </c>
    </row>
    <row r="25">
      <c r="A25" s="4">
        <f>IFERROR(__xludf.DUMMYFUNCTION("""COMPUTED_VALUE"""),42393.0)</f>
        <v>42393</v>
      </c>
      <c r="B25" s="5">
        <f>IFERROR(__xludf.DUMMYFUNCTION("""COMPUTED_VALUE"""),1666.0)</f>
        <v>1666</v>
      </c>
      <c r="C25" s="6">
        <f>IFERROR(__xludf.DUMMYFUNCTION("""COMPUTED_VALUE"""),0.4063)</f>
        <v>0.4063</v>
      </c>
      <c r="D25" s="2">
        <f>IFERROR(__xludf.DUMMYFUNCTION("""COMPUTED_VALUE"""),0.001388888888888889)</f>
        <v>0.001388888889</v>
      </c>
      <c r="E25" s="1">
        <f>IFERROR(__xludf.DUMMYFUNCTION("""COMPUTED_VALUE"""),1.07)</f>
        <v>1.07</v>
      </c>
      <c r="F25" s="1">
        <f>IFERROR(__xludf.DUMMYFUNCTION("""COMPUTED_VALUE"""),6.75)</f>
        <v>6.75</v>
      </c>
      <c r="G25" s="5">
        <f>IFERROR(__xludf.DUMMYFUNCTION("""COMPUTED_VALUE"""),11997.0)</f>
        <v>11997</v>
      </c>
      <c r="H25" s="5">
        <f>IFERROR(__xludf.DUMMYFUNCTION("""COMPUTED_VALUE"""),1777.0)</f>
        <v>1777</v>
      </c>
    </row>
    <row r="26">
      <c r="A26" s="4">
        <f>IFERROR(__xludf.DUMMYFUNCTION("""COMPUTED_VALUE"""),42394.0)</f>
        <v>42394</v>
      </c>
      <c r="B26" s="5">
        <f>IFERROR(__xludf.DUMMYFUNCTION("""COMPUTED_VALUE"""),1986.0)</f>
        <v>1986</v>
      </c>
      <c r="C26" s="6">
        <f>IFERROR(__xludf.DUMMYFUNCTION("""COMPUTED_VALUE"""),0.4142)</f>
        <v>0.4142</v>
      </c>
      <c r="D26" s="2">
        <f>IFERROR(__xludf.DUMMYFUNCTION("""COMPUTED_VALUE"""),0.0024074074074074076)</f>
        <v>0.002407407407</v>
      </c>
      <c r="E26" s="1">
        <f>IFERROR(__xludf.DUMMYFUNCTION("""COMPUTED_VALUE"""),1.1)</f>
        <v>1.1</v>
      </c>
      <c r="F26" s="1">
        <f>IFERROR(__xludf.DUMMYFUNCTION("""COMPUTED_VALUE"""),6.86)</f>
        <v>6.86</v>
      </c>
      <c r="G26" s="5">
        <f>IFERROR(__xludf.DUMMYFUNCTION("""COMPUTED_VALUE"""),14955.0)</f>
        <v>14955</v>
      </c>
      <c r="H26" s="5">
        <f>IFERROR(__xludf.DUMMYFUNCTION("""COMPUTED_VALUE"""),2180.0)</f>
        <v>2180</v>
      </c>
    </row>
    <row r="27">
      <c r="A27" s="4">
        <f>IFERROR(__xludf.DUMMYFUNCTION("""COMPUTED_VALUE"""),42395.0)</f>
        <v>42395</v>
      </c>
      <c r="B27" s="5">
        <f>IFERROR(__xludf.DUMMYFUNCTION("""COMPUTED_VALUE"""),1916.0)</f>
        <v>1916</v>
      </c>
      <c r="C27" s="6">
        <f>IFERROR(__xludf.DUMMYFUNCTION("""COMPUTED_VALUE"""),0.5065)</f>
        <v>0.5065</v>
      </c>
      <c r="D27" s="2">
        <f>IFERROR(__xludf.DUMMYFUNCTION("""COMPUTED_VALUE"""),0.001979166666666667)</f>
        <v>0.001979166667</v>
      </c>
      <c r="E27" s="1">
        <f>IFERROR(__xludf.DUMMYFUNCTION("""COMPUTED_VALUE"""),1.09)</f>
        <v>1.09</v>
      </c>
      <c r="F27" s="1">
        <f>IFERROR(__xludf.DUMMYFUNCTION("""COMPUTED_VALUE"""),6.75)</f>
        <v>6.75</v>
      </c>
      <c r="G27" s="5">
        <f>IFERROR(__xludf.DUMMYFUNCTION("""COMPUTED_VALUE"""),14052.0)</f>
        <v>14052</v>
      </c>
      <c r="H27" s="5">
        <f>IFERROR(__xludf.DUMMYFUNCTION("""COMPUTED_VALUE"""),2083.0)</f>
        <v>2083</v>
      </c>
    </row>
    <row r="28">
      <c r="A28" s="4">
        <f>IFERROR(__xludf.DUMMYFUNCTION("""COMPUTED_VALUE"""),42396.0)</f>
        <v>42396</v>
      </c>
      <c r="B28" s="5">
        <f>IFERROR(__xludf.DUMMYFUNCTION("""COMPUTED_VALUE"""),2541.0)</f>
        <v>2541</v>
      </c>
      <c r="C28" s="6">
        <f>IFERROR(__xludf.DUMMYFUNCTION("""COMPUTED_VALUE"""),0.4604)</f>
        <v>0.4604</v>
      </c>
      <c r="D28" s="2">
        <f>IFERROR(__xludf.DUMMYFUNCTION("""COMPUTED_VALUE"""),0.0012962962962962963)</f>
        <v>0.001296296296</v>
      </c>
      <c r="E28" s="1">
        <f>IFERROR(__xludf.DUMMYFUNCTION("""COMPUTED_VALUE"""),1.03)</f>
        <v>1.03</v>
      </c>
      <c r="F28" s="1">
        <f>IFERROR(__xludf.DUMMYFUNCTION("""COMPUTED_VALUE"""),5.86)</f>
        <v>5.86</v>
      </c>
      <c r="G28" s="5">
        <f>IFERROR(__xludf.DUMMYFUNCTION("""COMPUTED_VALUE"""),15371.0)</f>
        <v>15371</v>
      </c>
      <c r="H28" s="5">
        <f>IFERROR(__xludf.DUMMYFUNCTION("""COMPUTED_VALUE"""),2624.0)</f>
        <v>2624</v>
      </c>
    </row>
    <row r="29">
      <c r="A29" s="4">
        <f>IFERROR(__xludf.DUMMYFUNCTION("""COMPUTED_VALUE"""),42397.0)</f>
        <v>42397</v>
      </c>
      <c r="B29" s="5">
        <f>IFERROR(__xludf.DUMMYFUNCTION("""COMPUTED_VALUE"""),2833.0)</f>
        <v>2833</v>
      </c>
      <c r="C29" s="6">
        <f>IFERROR(__xludf.DUMMYFUNCTION("""COMPUTED_VALUE"""),0.4387)</f>
        <v>0.4387</v>
      </c>
      <c r="D29" s="2">
        <f>IFERROR(__xludf.DUMMYFUNCTION("""COMPUTED_VALUE"""),0.0016782407407407408)</f>
        <v>0.001678240741</v>
      </c>
      <c r="E29" s="1">
        <f>IFERROR(__xludf.DUMMYFUNCTION("""COMPUTED_VALUE"""),1.12)</f>
        <v>1.12</v>
      </c>
      <c r="F29" s="1">
        <f>IFERROR(__xludf.DUMMYFUNCTION("""COMPUTED_VALUE"""),6.75)</f>
        <v>6.75</v>
      </c>
      <c r="G29" s="5">
        <f>IFERROR(__xludf.DUMMYFUNCTION("""COMPUTED_VALUE"""),21370.0)</f>
        <v>21370</v>
      </c>
      <c r="H29" s="5">
        <f>IFERROR(__xludf.DUMMYFUNCTION("""COMPUTED_VALUE"""),3166.0)</f>
        <v>3166</v>
      </c>
    </row>
    <row r="30">
      <c r="A30" s="4">
        <f>IFERROR(__xludf.DUMMYFUNCTION("""COMPUTED_VALUE"""),42398.0)</f>
        <v>42398</v>
      </c>
      <c r="B30" s="5">
        <f>IFERROR(__xludf.DUMMYFUNCTION("""COMPUTED_VALUE"""),2055.0)</f>
        <v>2055</v>
      </c>
      <c r="C30" s="6">
        <f>IFERROR(__xludf.DUMMYFUNCTION("""COMPUTED_VALUE"""),0.5094)</f>
        <v>0.5094</v>
      </c>
      <c r="D30" s="2">
        <f>IFERROR(__xludf.DUMMYFUNCTION("""COMPUTED_VALUE"""),0.0016898148148148148)</f>
        <v>0.001689814815</v>
      </c>
      <c r="E30" s="1">
        <f>IFERROR(__xludf.DUMMYFUNCTION("""COMPUTED_VALUE"""),1.09)</f>
        <v>1.09</v>
      </c>
      <c r="F30" s="1">
        <f>IFERROR(__xludf.DUMMYFUNCTION("""COMPUTED_VALUE"""),6.68)</f>
        <v>6.68</v>
      </c>
      <c r="G30" s="5">
        <f>IFERROR(__xludf.DUMMYFUNCTION("""COMPUTED_VALUE"""),14941.0)</f>
        <v>14941</v>
      </c>
      <c r="H30" s="5">
        <f>IFERROR(__xludf.DUMMYFUNCTION("""COMPUTED_VALUE"""),2236.0)</f>
        <v>2236</v>
      </c>
    </row>
    <row r="31">
      <c r="A31" s="4">
        <f>IFERROR(__xludf.DUMMYFUNCTION("""COMPUTED_VALUE"""),42399.0)</f>
        <v>42399</v>
      </c>
      <c r="B31" s="5">
        <f>IFERROR(__xludf.DUMMYFUNCTION("""COMPUTED_VALUE"""),1597.0)</f>
        <v>1597</v>
      </c>
      <c r="C31" s="6">
        <f>IFERROR(__xludf.DUMMYFUNCTION("""COMPUTED_VALUE"""),0.5373)</f>
        <v>0.5373</v>
      </c>
      <c r="D31" s="2">
        <f>IFERROR(__xludf.DUMMYFUNCTION("""COMPUTED_VALUE"""),0.0019444444444444444)</f>
        <v>0.001944444444</v>
      </c>
      <c r="E31" s="1">
        <f>IFERROR(__xludf.DUMMYFUNCTION("""COMPUTED_VALUE"""),1.17)</f>
        <v>1.17</v>
      </c>
      <c r="F31" s="1">
        <f>IFERROR(__xludf.DUMMYFUNCTION("""COMPUTED_VALUE"""),6.1)</f>
        <v>6.1</v>
      </c>
      <c r="G31" s="5">
        <f>IFERROR(__xludf.DUMMYFUNCTION("""COMPUTED_VALUE"""),11344.0)</f>
        <v>11344</v>
      </c>
      <c r="H31" s="5">
        <f>IFERROR(__xludf.DUMMYFUNCTION("""COMPUTED_VALUE"""),1861.0)</f>
        <v>1861</v>
      </c>
    </row>
    <row r="32">
      <c r="A32" s="4">
        <f>IFERROR(__xludf.DUMMYFUNCTION("""COMPUTED_VALUE"""),42400.0)</f>
        <v>42400</v>
      </c>
      <c r="B32" s="5">
        <f>IFERROR(__xludf.DUMMYFUNCTION("""COMPUTED_VALUE"""),1694.0)</f>
        <v>1694</v>
      </c>
      <c r="C32" s="6">
        <f>IFERROR(__xludf.DUMMYFUNCTION("""COMPUTED_VALUE"""),0.5113)</f>
        <v>0.5113</v>
      </c>
      <c r="D32" s="2">
        <f>IFERROR(__xludf.DUMMYFUNCTION("""COMPUTED_VALUE"""),0.0014930555555555556)</f>
        <v>0.001493055556</v>
      </c>
      <c r="E32" s="1">
        <f>IFERROR(__xludf.DUMMYFUNCTION("""COMPUTED_VALUE"""),1.07)</f>
        <v>1.07</v>
      </c>
      <c r="F32" s="1">
        <f>IFERROR(__xludf.DUMMYFUNCTION("""COMPUTED_VALUE"""),5.34)</f>
        <v>5.34</v>
      </c>
      <c r="G32" s="5">
        <f>IFERROR(__xludf.DUMMYFUNCTION("""COMPUTED_VALUE"""),9720.0)</f>
        <v>9720</v>
      </c>
      <c r="H32" s="5">
        <f>IFERROR(__xludf.DUMMYFUNCTION("""COMPUTED_VALUE"""),1819.0)</f>
        <v>1819</v>
      </c>
    </row>
    <row r="33">
      <c r="A33" s="4">
        <f>IFERROR(__xludf.DUMMYFUNCTION("""COMPUTED_VALUE"""),42401.0)</f>
        <v>42401</v>
      </c>
      <c r="B33" s="5">
        <f>IFERROR(__xludf.DUMMYFUNCTION("""COMPUTED_VALUE"""),2097.0)</f>
        <v>2097</v>
      </c>
      <c r="C33" s="6">
        <f>IFERROR(__xludf.DUMMYFUNCTION("""COMPUTED_VALUE"""),0.5151)</f>
        <v>0.5151</v>
      </c>
      <c r="D33" s="2">
        <f>IFERROR(__xludf.DUMMYFUNCTION("""COMPUTED_VALUE"""),0.0012037037037037038)</f>
        <v>0.001203703704</v>
      </c>
      <c r="E33" s="1">
        <f>IFERROR(__xludf.DUMMYFUNCTION("""COMPUTED_VALUE"""),1.09)</f>
        <v>1.09</v>
      </c>
      <c r="F33" s="1">
        <f>IFERROR(__xludf.DUMMYFUNCTION("""COMPUTED_VALUE"""),6.66)</f>
        <v>6.66</v>
      </c>
      <c r="G33" s="5">
        <f>IFERROR(__xludf.DUMMYFUNCTION("""COMPUTED_VALUE"""),15260.0)</f>
        <v>15260</v>
      </c>
      <c r="H33" s="5">
        <f>IFERROR(__xludf.DUMMYFUNCTION("""COMPUTED_VALUE"""),2291.0)</f>
        <v>2291</v>
      </c>
    </row>
    <row r="34">
      <c r="A34" s="4">
        <f>IFERROR(__xludf.DUMMYFUNCTION("""COMPUTED_VALUE"""),42402.0)</f>
        <v>42402</v>
      </c>
      <c r="B34" s="5">
        <f>IFERROR(__xludf.DUMMYFUNCTION("""COMPUTED_VALUE"""),2222.0)</f>
        <v>2222</v>
      </c>
      <c r="C34" s="6">
        <f>IFERROR(__xludf.DUMMYFUNCTION("""COMPUTED_VALUE"""),0.5202)</f>
        <v>0.5202</v>
      </c>
      <c r="D34" s="2">
        <f>IFERROR(__xludf.DUMMYFUNCTION("""COMPUTED_VALUE"""),0.001388888888888889)</f>
        <v>0.001388888889</v>
      </c>
      <c r="E34" s="1">
        <f>IFERROR(__xludf.DUMMYFUNCTION("""COMPUTED_VALUE"""),1.09)</f>
        <v>1.09</v>
      </c>
      <c r="F34" s="1">
        <f>IFERROR(__xludf.DUMMYFUNCTION("""COMPUTED_VALUE"""),5.87)</f>
        <v>5.87</v>
      </c>
      <c r="G34" s="5">
        <f>IFERROR(__xludf.DUMMYFUNCTION("""COMPUTED_VALUE"""),14260.0)</f>
        <v>14260</v>
      </c>
      <c r="H34" s="5">
        <f>IFERROR(__xludf.DUMMYFUNCTION("""COMPUTED_VALUE"""),2430.0)</f>
        <v>2430</v>
      </c>
    </row>
    <row r="35">
      <c r="A35" s="4">
        <f>IFERROR(__xludf.DUMMYFUNCTION("""COMPUTED_VALUE"""),42403.0)</f>
        <v>42403</v>
      </c>
      <c r="B35" s="5">
        <f>IFERROR(__xludf.DUMMYFUNCTION("""COMPUTED_VALUE"""),2111.0)</f>
        <v>2111</v>
      </c>
      <c r="C35" s="6">
        <f>IFERROR(__xludf.DUMMYFUNCTION("""COMPUTED_VALUE"""),0.4489)</f>
        <v>0.4489</v>
      </c>
      <c r="D35" s="2">
        <f>IFERROR(__xludf.DUMMYFUNCTION("""COMPUTED_VALUE"""),0.0024074074074074076)</f>
        <v>0.002407407407</v>
      </c>
      <c r="E35" s="1">
        <f>IFERROR(__xludf.DUMMYFUNCTION("""COMPUTED_VALUE"""),1.1)</f>
        <v>1.1</v>
      </c>
      <c r="F35" s="1">
        <f>IFERROR(__xludf.DUMMYFUNCTION("""COMPUTED_VALUE"""),6.5)</f>
        <v>6.5</v>
      </c>
      <c r="G35" s="5">
        <f>IFERROR(__xludf.DUMMYFUNCTION("""COMPUTED_VALUE"""),15066.0)</f>
        <v>15066</v>
      </c>
      <c r="H35" s="5">
        <f>IFERROR(__xludf.DUMMYFUNCTION("""COMPUTED_VALUE"""),2319.0)</f>
        <v>2319</v>
      </c>
    </row>
    <row r="36">
      <c r="A36" s="4">
        <f>IFERROR(__xludf.DUMMYFUNCTION("""COMPUTED_VALUE"""),42404.0)</f>
        <v>42404</v>
      </c>
      <c r="B36" s="5">
        <f>IFERROR(__xludf.DUMMYFUNCTION("""COMPUTED_VALUE"""),2860.0)</f>
        <v>2860</v>
      </c>
      <c r="C36" s="6">
        <f>IFERROR(__xludf.DUMMYFUNCTION("""COMPUTED_VALUE"""),0.4736)</f>
        <v>0.4736</v>
      </c>
      <c r="D36" s="2">
        <f>IFERROR(__xludf.DUMMYFUNCTION("""COMPUTED_VALUE"""),0.0015277777777777779)</f>
        <v>0.001527777778</v>
      </c>
      <c r="E36" s="1">
        <f>IFERROR(__xludf.DUMMYFUNCTION("""COMPUTED_VALUE"""),1.1)</f>
        <v>1.1</v>
      </c>
      <c r="F36" s="1">
        <f>IFERROR(__xludf.DUMMYFUNCTION("""COMPUTED_VALUE"""),6.05)</f>
        <v>6.05</v>
      </c>
      <c r="G36" s="5">
        <f>IFERROR(__xludf.DUMMYFUNCTION("""COMPUTED_VALUE"""),18995.0)</f>
        <v>18995</v>
      </c>
      <c r="H36" s="5">
        <f>IFERROR(__xludf.DUMMYFUNCTION("""COMPUTED_VALUE"""),3138.0)</f>
        <v>3138</v>
      </c>
    </row>
    <row r="37">
      <c r="A37" s="4">
        <f>IFERROR(__xludf.DUMMYFUNCTION("""COMPUTED_VALUE"""),42405.0)</f>
        <v>42405</v>
      </c>
      <c r="B37" s="5">
        <f>IFERROR(__xludf.DUMMYFUNCTION("""COMPUTED_VALUE"""),2222.0)</f>
        <v>2222</v>
      </c>
      <c r="C37" s="6">
        <f>IFERROR(__xludf.DUMMYFUNCTION("""COMPUTED_VALUE"""),0.4261)</f>
        <v>0.4261</v>
      </c>
      <c r="D37" s="2">
        <f>IFERROR(__xludf.DUMMYFUNCTION("""COMPUTED_VALUE"""),0.001851851851851852)</f>
        <v>0.001851851852</v>
      </c>
      <c r="E37" s="1">
        <f>IFERROR(__xludf.DUMMYFUNCTION("""COMPUTED_VALUE"""),1.06)</f>
        <v>1.06</v>
      </c>
      <c r="F37" s="1">
        <f>IFERROR(__xludf.DUMMYFUNCTION("""COMPUTED_VALUE"""),7.06)</f>
        <v>7.06</v>
      </c>
      <c r="G37" s="5">
        <f>IFERROR(__xludf.DUMMYFUNCTION("""COMPUTED_VALUE"""),16579.0)</f>
        <v>16579</v>
      </c>
      <c r="H37" s="5">
        <f>IFERROR(__xludf.DUMMYFUNCTION("""COMPUTED_VALUE"""),2347.0)</f>
        <v>2347</v>
      </c>
    </row>
    <row r="38">
      <c r="A38" s="4">
        <f>IFERROR(__xludf.DUMMYFUNCTION("""COMPUTED_VALUE"""),42406.0)</f>
        <v>42406</v>
      </c>
      <c r="B38" s="5">
        <f>IFERROR(__xludf.DUMMYFUNCTION("""COMPUTED_VALUE"""),1416.0)</f>
        <v>1416</v>
      </c>
      <c r="C38" s="6">
        <f>IFERROR(__xludf.DUMMYFUNCTION("""COMPUTED_VALUE"""),0.4769)</f>
        <v>0.4769</v>
      </c>
      <c r="D38" s="2">
        <f>IFERROR(__xludf.DUMMYFUNCTION("""COMPUTED_VALUE"""),0.0016203703703703703)</f>
        <v>0.00162037037</v>
      </c>
      <c r="E38" s="1">
        <f>IFERROR(__xludf.DUMMYFUNCTION("""COMPUTED_VALUE"""),1.07)</f>
        <v>1.07</v>
      </c>
      <c r="F38" s="1">
        <f>IFERROR(__xludf.DUMMYFUNCTION("""COMPUTED_VALUE"""),5.78)</f>
        <v>5.78</v>
      </c>
      <c r="G38" s="5">
        <f>IFERROR(__xludf.DUMMYFUNCTION("""COMPUTED_VALUE"""),8748.0)</f>
        <v>8748</v>
      </c>
      <c r="H38" s="5">
        <f>IFERROR(__xludf.DUMMYFUNCTION("""COMPUTED_VALUE"""),1514.0)</f>
        <v>1514</v>
      </c>
    </row>
    <row r="39">
      <c r="A39" s="4">
        <f>IFERROR(__xludf.DUMMYFUNCTION("""COMPUTED_VALUE"""),42407.0)</f>
        <v>42407</v>
      </c>
      <c r="B39" s="5">
        <f>IFERROR(__xludf.DUMMYFUNCTION("""COMPUTED_VALUE"""),1555.0)</f>
        <v>1555</v>
      </c>
      <c r="C39" s="6">
        <f>IFERROR(__xludf.DUMMYFUNCTION("""COMPUTED_VALUE"""),0.5075)</f>
        <v>0.5075</v>
      </c>
      <c r="D39" s="2">
        <f>IFERROR(__xludf.DUMMYFUNCTION("""COMPUTED_VALUE"""),0.001724537037037037)</f>
        <v>0.001724537037</v>
      </c>
      <c r="E39" s="1">
        <f>IFERROR(__xludf.DUMMYFUNCTION("""COMPUTED_VALUE"""),1.16)</f>
        <v>1.16</v>
      </c>
      <c r="F39" s="1">
        <f>IFERROR(__xludf.DUMMYFUNCTION("""COMPUTED_VALUE"""),5.39)</f>
        <v>5.39</v>
      </c>
      <c r="G39" s="5">
        <f>IFERROR(__xludf.DUMMYFUNCTION("""COMPUTED_VALUE"""),9734.0)</f>
        <v>9734</v>
      </c>
      <c r="H39" s="5">
        <f>IFERROR(__xludf.DUMMYFUNCTION("""COMPUTED_VALUE"""),1805.0)</f>
        <v>1805</v>
      </c>
    </row>
    <row r="40">
      <c r="A40" s="4">
        <f>IFERROR(__xludf.DUMMYFUNCTION("""COMPUTED_VALUE"""),42408.0)</f>
        <v>42408</v>
      </c>
      <c r="B40" s="5">
        <f>IFERROR(__xludf.DUMMYFUNCTION("""COMPUTED_VALUE"""),2069.0)</f>
        <v>2069</v>
      </c>
      <c r="C40" s="6">
        <f>IFERROR(__xludf.DUMMYFUNCTION("""COMPUTED_VALUE"""),0.4695)</f>
        <v>0.4695</v>
      </c>
      <c r="D40" s="2">
        <f>IFERROR(__xludf.DUMMYFUNCTION("""COMPUTED_VALUE"""),0.002650462962962963)</f>
        <v>0.002650462963</v>
      </c>
      <c r="E40" s="1">
        <f>IFERROR(__xludf.DUMMYFUNCTION("""COMPUTED_VALUE"""),1.1)</f>
        <v>1.1</v>
      </c>
      <c r="F40" s="1">
        <f>IFERROR(__xludf.DUMMYFUNCTION("""COMPUTED_VALUE"""),7.62)</f>
        <v>7.62</v>
      </c>
      <c r="G40" s="5">
        <f>IFERROR(__xludf.DUMMYFUNCTION("""COMPUTED_VALUE"""),17343.0)</f>
        <v>17343</v>
      </c>
      <c r="H40" s="5">
        <f>IFERROR(__xludf.DUMMYFUNCTION("""COMPUTED_VALUE"""),2277.0)</f>
        <v>2277</v>
      </c>
    </row>
    <row r="41">
      <c r="A41" s="4">
        <f>IFERROR(__xludf.DUMMYFUNCTION("""COMPUTED_VALUE"""),42409.0)</f>
        <v>42409</v>
      </c>
      <c r="B41" s="5">
        <f>IFERROR(__xludf.DUMMYFUNCTION("""COMPUTED_VALUE"""),1916.0)</f>
        <v>1916</v>
      </c>
      <c r="C41" s="6">
        <f>IFERROR(__xludf.DUMMYFUNCTION("""COMPUTED_VALUE"""),0.4577)</f>
        <v>0.4577</v>
      </c>
      <c r="D41" s="2">
        <f>IFERROR(__xludf.DUMMYFUNCTION("""COMPUTED_VALUE"""),0.002685185185185185)</f>
        <v>0.002685185185</v>
      </c>
      <c r="E41" s="1">
        <f>IFERROR(__xludf.DUMMYFUNCTION("""COMPUTED_VALUE"""),1.2)</f>
        <v>1.2</v>
      </c>
      <c r="F41" s="1">
        <f>IFERROR(__xludf.DUMMYFUNCTION("""COMPUTED_VALUE"""),9.32)</f>
        <v>9.32</v>
      </c>
      <c r="G41" s="5">
        <f>IFERROR(__xludf.DUMMYFUNCTION("""COMPUTED_VALUE"""),21481.0)</f>
        <v>21481</v>
      </c>
      <c r="H41" s="5">
        <f>IFERROR(__xludf.DUMMYFUNCTION("""COMPUTED_VALUE"""),2305.0)</f>
        <v>2305</v>
      </c>
    </row>
    <row r="42">
      <c r="A42" s="4">
        <f>IFERROR(__xludf.DUMMYFUNCTION("""COMPUTED_VALUE"""),42410.0)</f>
        <v>42410</v>
      </c>
      <c r="B42" s="5">
        <f>IFERROR(__xludf.DUMMYFUNCTION("""COMPUTED_VALUE"""),2083.0)</f>
        <v>2083</v>
      </c>
      <c r="C42" s="6">
        <f>IFERROR(__xludf.DUMMYFUNCTION("""COMPUTED_VALUE"""),0.4444)</f>
        <v>0.4444</v>
      </c>
      <c r="D42" s="2">
        <f>IFERROR(__xludf.DUMMYFUNCTION("""COMPUTED_VALUE"""),0.002395833333333333)</f>
        <v>0.002395833333</v>
      </c>
      <c r="E42" s="1">
        <f>IFERROR(__xludf.DUMMYFUNCTION("""COMPUTED_VALUE"""),1.14)</f>
        <v>1.14</v>
      </c>
      <c r="F42" s="1">
        <f>IFERROR(__xludf.DUMMYFUNCTION("""COMPUTED_VALUE"""),7.37)</f>
        <v>7.37</v>
      </c>
      <c r="G42" s="5">
        <f>IFERROR(__xludf.DUMMYFUNCTION("""COMPUTED_VALUE"""),17496.0)</f>
        <v>17496</v>
      </c>
      <c r="H42" s="5">
        <f>IFERROR(__xludf.DUMMYFUNCTION("""COMPUTED_VALUE"""),2374.0)</f>
        <v>2374</v>
      </c>
    </row>
    <row r="43">
      <c r="A43" s="4">
        <f>IFERROR(__xludf.DUMMYFUNCTION("""COMPUTED_VALUE"""),42411.0)</f>
        <v>42411</v>
      </c>
      <c r="B43" s="5">
        <f>IFERROR(__xludf.DUMMYFUNCTION("""COMPUTED_VALUE"""),2180.0)</f>
        <v>2180</v>
      </c>
      <c r="C43" s="6">
        <f>IFERROR(__xludf.DUMMYFUNCTION("""COMPUTED_VALUE"""),0.4489)</f>
        <v>0.4489</v>
      </c>
      <c r="D43" s="2">
        <f>IFERROR(__xludf.DUMMYFUNCTION("""COMPUTED_VALUE"""),0.0022453703703703702)</f>
        <v>0.00224537037</v>
      </c>
      <c r="E43" s="1">
        <f>IFERROR(__xludf.DUMMYFUNCTION("""COMPUTED_VALUE"""),1.12)</f>
        <v>1.12</v>
      </c>
      <c r="F43" s="1">
        <f>IFERROR(__xludf.DUMMYFUNCTION("""COMPUTED_VALUE"""),8.47)</f>
        <v>8.47</v>
      </c>
      <c r="G43" s="5">
        <f>IFERROR(__xludf.DUMMYFUNCTION("""COMPUTED_VALUE"""),20689.0)</f>
        <v>20689</v>
      </c>
      <c r="H43" s="5">
        <f>IFERROR(__xludf.DUMMYFUNCTION("""COMPUTED_VALUE"""),2444.0)</f>
        <v>2444</v>
      </c>
    </row>
    <row r="44">
      <c r="A44" s="4">
        <f>IFERROR(__xludf.DUMMYFUNCTION("""COMPUTED_VALUE"""),42412.0)</f>
        <v>42412</v>
      </c>
      <c r="B44" s="5">
        <f>IFERROR(__xludf.DUMMYFUNCTION("""COMPUTED_VALUE"""),1847.0)</f>
        <v>1847</v>
      </c>
      <c r="C44" s="6">
        <f>IFERROR(__xludf.DUMMYFUNCTION("""COMPUTED_VALUE"""),0.4275)</f>
        <v>0.4275</v>
      </c>
      <c r="D44" s="2">
        <f>IFERROR(__xludf.DUMMYFUNCTION("""COMPUTED_VALUE"""),0.0016666666666666668)</f>
        <v>0.001666666667</v>
      </c>
      <c r="E44" s="1">
        <f>IFERROR(__xludf.DUMMYFUNCTION("""COMPUTED_VALUE"""),1.2)</f>
        <v>1.2</v>
      </c>
      <c r="F44" s="1">
        <f>IFERROR(__xludf.DUMMYFUNCTION("""COMPUTED_VALUE"""),6.06)</f>
        <v>6.06</v>
      </c>
      <c r="G44" s="5">
        <f>IFERROR(__xludf.DUMMYFUNCTION("""COMPUTED_VALUE"""),13386.0)</f>
        <v>13386</v>
      </c>
      <c r="H44" s="5">
        <f>IFERROR(__xludf.DUMMYFUNCTION("""COMPUTED_VALUE"""),2208.0)</f>
        <v>2208</v>
      </c>
    </row>
    <row r="45">
      <c r="A45" s="4">
        <f>IFERROR(__xludf.DUMMYFUNCTION("""COMPUTED_VALUE"""),42413.0)</f>
        <v>42413</v>
      </c>
      <c r="B45" s="5">
        <f>IFERROR(__xludf.DUMMYFUNCTION("""COMPUTED_VALUE"""),1611.0)</f>
        <v>1611</v>
      </c>
      <c r="C45" s="6">
        <f>IFERROR(__xludf.DUMMYFUNCTION("""COMPUTED_VALUE"""),0.6078)</f>
        <v>0.6078</v>
      </c>
      <c r="D45" s="2">
        <f>IFERROR(__xludf.DUMMYFUNCTION("""COMPUTED_VALUE"""),0.0010069444444444444)</f>
        <v>0.001006944444</v>
      </c>
      <c r="E45" s="1">
        <f>IFERROR(__xludf.DUMMYFUNCTION("""COMPUTED_VALUE"""),1.12)</f>
        <v>1.12</v>
      </c>
      <c r="F45" s="1">
        <f>IFERROR(__xludf.DUMMYFUNCTION("""COMPUTED_VALUE"""),4.15)</f>
        <v>4.15</v>
      </c>
      <c r="G45" s="5">
        <f>IFERROR(__xludf.DUMMYFUNCTION("""COMPUTED_VALUE"""),7484.0)</f>
        <v>7484</v>
      </c>
      <c r="H45" s="5">
        <f>IFERROR(__xludf.DUMMYFUNCTION("""COMPUTED_VALUE"""),1805.0)</f>
        <v>1805</v>
      </c>
    </row>
    <row r="46">
      <c r="A46" s="4">
        <f>IFERROR(__xludf.DUMMYFUNCTION("""COMPUTED_VALUE"""),42414.0)</f>
        <v>42414</v>
      </c>
      <c r="B46" s="5">
        <f>IFERROR(__xludf.DUMMYFUNCTION("""COMPUTED_VALUE"""),1694.0)</f>
        <v>1694</v>
      </c>
      <c r="C46" s="6">
        <f>IFERROR(__xludf.DUMMYFUNCTION("""COMPUTED_VALUE"""),0.5785)</f>
        <v>0.5785</v>
      </c>
      <c r="D46" s="2">
        <f>IFERROR(__xludf.DUMMYFUNCTION("""COMPUTED_VALUE"""),0.001990740740740741)</f>
        <v>0.001990740741</v>
      </c>
      <c r="E46" s="1">
        <f>IFERROR(__xludf.DUMMYFUNCTION("""COMPUTED_VALUE"""),1.05)</f>
        <v>1.05</v>
      </c>
      <c r="F46" s="1">
        <f>IFERROR(__xludf.DUMMYFUNCTION("""COMPUTED_VALUE"""),5.71)</f>
        <v>5.71</v>
      </c>
      <c r="G46" s="5">
        <f>IFERROR(__xludf.DUMMYFUNCTION("""COMPUTED_VALUE"""),10150.0)</f>
        <v>10150</v>
      </c>
      <c r="H46" s="5">
        <f>IFERROR(__xludf.DUMMYFUNCTION("""COMPUTED_VALUE"""),1777.0)</f>
        <v>1777</v>
      </c>
    </row>
    <row r="47">
      <c r="A47" s="4">
        <f>IFERROR(__xludf.DUMMYFUNCTION("""COMPUTED_VALUE"""),42415.0)</f>
        <v>42415</v>
      </c>
      <c r="B47" s="5">
        <f>IFERROR(__xludf.DUMMYFUNCTION("""COMPUTED_VALUE"""),1888.0)</f>
        <v>1888</v>
      </c>
      <c r="C47" s="6">
        <f>IFERROR(__xludf.DUMMYFUNCTION("""COMPUTED_VALUE"""),0.5703)</f>
        <v>0.5703</v>
      </c>
      <c r="D47" s="2">
        <f>IFERROR(__xludf.DUMMYFUNCTION("""COMPUTED_VALUE"""),0.0014699074074074074)</f>
        <v>0.001469907407</v>
      </c>
      <c r="E47" s="1">
        <f>IFERROR(__xludf.DUMMYFUNCTION("""COMPUTED_VALUE"""),1.1)</f>
        <v>1.1</v>
      </c>
      <c r="F47" s="1">
        <f>IFERROR(__xludf.DUMMYFUNCTION("""COMPUTED_VALUE"""),4.62)</f>
        <v>4.62</v>
      </c>
      <c r="G47" s="5">
        <f>IFERROR(__xludf.DUMMYFUNCTION("""COMPUTED_VALUE"""),9553.0)</f>
        <v>9553</v>
      </c>
      <c r="H47" s="5">
        <f>IFERROR(__xludf.DUMMYFUNCTION("""COMPUTED_VALUE"""),2069.0)</f>
        <v>2069</v>
      </c>
    </row>
    <row r="48">
      <c r="A48" s="4">
        <f>IFERROR(__xludf.DUMMYFUNCTION("""COMPUTED_VALUE"""),42416.0)</f>
        <v>42416</v>
      </c>
      <c r="B48" s="5">
        <f>IFERROR(__xludf.DUMMYFUNCTION("""COMPUTED_VALUE"""),2097.0)</f>
        <v>2097</v>
      </c>
      <c r="C48" s="6">
        <f>IFERROR(__xludf.DUMMYFUNCTION("""COMPUTED_VALUE"""),0.4706)</f>
        <v>0.4706</v>
      </c>
      <c r="D48" s="2">
        <f>IFERROR(__xludf.DUMMYFUNCTION("""COMPUTED_VALUE"""),0.0016319444444444445)</f>
        <v>0.001631944444</v>
      </c>
      <c r="E48" s="1">
        <f>IFERROR(__xludf.DUMMYFUNCTION("""COMPUTED_VALUE"""),1.13)</f>
        <v>1.13</v>
      </c>
      <c r="F48" s="1">
        <f>IFERROR(__xludf.DUMMYFUNCTION("""COMPUTED_VALUE"""),6.12)</f>
        <v>6.12</v>
      </c>
      <c r="G48" s="5">
        <f>IFERROR(__xludf.DUMMYFUNCTION("""COMPUTED_VALUE"""),14441.0)</f>
        <v>14441</v>
      </c>
      <c r="H48" s="5">
        <f>IFERROR(__xludf.DUMMYFUNCTION("""COMPUTED_VALUE"""),2361.0)</f>
        <v>2361</v>
      </c>
    </row>
    <row r="49">
      <c r="A49" s="4">
        <f>IFERROR(__xludf.DUMMYFUNCTION("""COMPUTED_VALUE"""),42417.0)</f>
        <v>42417</v>
      </c>
      <c r="B49" s="5">
        <f>IFERROR(__xludf.DUMMYFUNCTION("""COMPUTED_VALUE"""),2124.0)</f>
        <v>2124</v>
      </c>
      <c r="C49" s="6">
        <f>IFERROR(__xludf.DUMMYFUNCTION("""COMPUTED_VALUE"""),0.4739)</f>
        <v>0.4739</v>
      </c>
      <c r="D49" s="2">
        <f>IFERROR(__xludf.DUMMYFUNCTION("""COMPUTED_VALUE"""),0.001979166666666667)</f>
        <v>0.001979166667</v>
      </c>
      <c r="E49" s="1">
        <f>IFERROR(__xludf.DUMMYFUNCTION("""COMPUTED_VALUE"""),1.12)</f>
        <v>1.12</v>
      </c>
      <c r="F49" s="1">
        <f>IFERROR(__xludf.DUMMYFUNCTION("""COMPUTED_VALUE"""),5.91)</f>
        <v>5.91</v>
      </c>
      <c r="G49" s="5">
        <f>IFERROR(__xludf.DUMMYFUNCTION("""COMPUTED_VALUE"""),14038.0)</f>
        <v>14038</v>
      </c>
      <c r="H49" s="5">
        <f>IFERROR(__xludf.DUMMYFUNCTION("""COMPUTED_VALUE"""),2374.0)</f>
        <v>2374</v>
      </c>
    </row>
    <row r="50">
      <c r="A50" s="4">
        <f>IFERROR(__xludf.DUMMYFUNCTION("""COMPUTED_VALUE"""),42418.0)</f>
        <v>42418</v>
      </c>
      <c r="B50" s="5">
        <f>IFERROR(__xludf.DUMMYFUNCTION("""COMPUTED_VALUE"""),2194.0)</f>
        <v>2194</v>
      </c>
      <c r="C50" s="6">
        <f>IFERROR(__xludf.DUMMYFUNCTION("""COMPUTED_VALUE"""),0.433)</f>
        <v>0.433</v>
      </c>
      <c r="D50" s="2">
        <f>IFERROR(__xludf.DUMMYFUNCTION("""COMPUTED_VALUE"""),0.001574074074074074)</f>
        <v>0.001574074074</v>
      </c>
      <c r="E50" s="1">
        <f>IFERROR(__xludf.DUMMYFUNCTION("""COMPUTED_VALUE"""),1.08)</f>
        <v>1.08</v>
      </c>
      <c r="F50" s="1">
        <f>IFERROR(__xludf.DUMMYFUNCTION("""COMPUTED_VALUE"""),6.08)</f>
        <v>6.08</v>
      </c>
      <c r="G50" s="5">
        <f>IFERROR(__xludf.DUMMYFUNCTION("""COMPUTED_VALUE"""),14427.0)</f>
        <v>14427</v>
      </c>
      <c r="H50" s="5">
        <f>IFERROR(__xludf.DUMMYFUNCTION("""COMPUTED_VALUE"""),2374.0)</f>
        <v>2374</v>
      </c>
    </row>
    <row r="51">
      <c r="A51" s="4">
        <f>IFERROR(__xludf.DUMMYFUNCTION("""COMPUTED_VALUE"""),42419.0)</f>
        <v>42419</v>
      </c>
      <c r="B51" s="5">
        <f>IFERROR(__xludf.DUMMYFUNCTION("""COMPUTED_VALUE"""),2027.0)</f>
        <v>2027</v>
      </c>
      <c r="C51" s="6">
        <f>IFERROR(__xludf.DUMMYFUNCTION("""COMPUTED_VALUE"""),0.4774)</f>
        <v>0.4774</v>
      </c>
      <c r="D51" s="2">
        <f>IFERROR(__xludf.DUMMYFUNCTION("""COMPUTED_VALUE"""),0.0011805555555555556)</f>
        <v>0.001180555556</v>
      </c>
      <c r="E51" s="1">
        <f>IFERROR(__xludf.DUMMYFUNCTION("""COMPUTED_VALUE"""),1.05)</f>
        <v>1.05</v>
      </c>
      <c r="F51" s="1">
        <f>IFERROR(__xludf.DUMMYFUNCTION("""COMPUTED_VALUE"""),5.9)</f>
        <v>5.9</v>
      </c>
      <c r="G51" s="5">
        <f>IFERROR(__xludf.DUMMYFUNCTION("""COMPUTED_VALUE"""),12538.0)</f>
        <v>12538</v>
      </c>
      <c r="H51" s="5">
        <f>IFERROR(__xludf.DUMMYFUNCTION("""COMPUTED_VALUE"""),2124.0)</f>
        <v>2124</v>
      </c>
    </row>
    <row r="52">
      <c r="A52" s="4">
        <f>IFERROR(__xludf.DUMMYFUNCTION("""COMPUTED_VALUE"""),42420.0)</f>
        <v>42420</v>
      </c>
      <c r="B52" s="5">
        <f>IFERROR(__xludf.DUMMYFUNCTION("""COMPUTED_VALUE"""),1694.0)</f>
        <v>1694</v>
      </c>
      <c r="C52" s="6">
        <f>IFERROR(__xludf.DUMMYFUNCTION("""COMPUTED_VALUE"""),0.5111)</f>
        <v>0.5111</v>
      </c>
      <c r="D52" s="2">
        <f>IFERROR(__xludf.DUMMYFUNCTION("""COMPUTED_VALUE"""),0.001261574074074074)</f>
        <v>0.001261574074</v>
      </c>
      <c r="E52" s="1">
        <f>IFERROR(__xludf.DUMMYFUNCTION("""COMPUTED_VALUE"""),1.09)</f>
        <v>1.09</v>
      </c>
      <c r="F52" s="1">
        <f>IFERROR(__xludf.DUMMYFUNCTION("""COMPUTED_VALUE"""),5.35)</f>
        <v>5.35</v>
      </c>
      <c r="G52" s="5">
        <f>IFERROR(__xludf.DUMMYFUNCTION("""COMPUTED_VALUE"""),9873.0)</f>
        <v>9873</v>
      </c>
      <c r="H52" s="5">
        <f>IFERROR(__xludf.DUMMYFUNCTION("""COMPUTED_VALUE"""),1847.0)</f>
        <v>1847</v>
      </c>
    </row>
    <row r="53">
      <c r="A53" s="4">
        <f>IFERROR(__xludf.DUMMYFUNCTION("""COMPUTED_VALUE"""),42421.0)</f>
        <v>42421</v>
      </c>
      <c r="B53" s="5">
        <f>IFERROR(__xludf.DUMMYFUNCTION("""COMPUTED_VALUE"""),1791.0)</f>
        <v>1791</v>
      </c>
      <c r="C53" s="6">
        <f>IFERROR(__xludf.DUMMYFUNCTION("""COMPUTED_VALUE"""),0.5)</f>
        <v>0.5</v>
      </c>
      <c r="D53" s="2">
        <f>IFERROR(__xludf.DUMMYFUNCTION("""COMPUTED_VALUE"""),0.0012962962962962963)</f>
        <v>0.001296296296</v>
      </c>
      <c r="E53" s="1">
        <f>IFERROR(__xludf.DUMMYFUNCTION("""COMPUTED_VALUE"""),1.09)</f>
        <v>1.09</v>
      </c>
      <c r="F53" s="1">
        <f>IFERROR(__xludf.DUMMYFUNCTION("""COMPUTED_VALUE"""),5.44)</f>
        <v>5.44</v>
      </c>
      <c r="G53" s="5">
        <f>IFERROR(__xludf.DUMMYFUNCTION("""COMPUTED_VALUE"""),10567.0)</f>
        <v>10567</v>
      </c>
      <c r="H53" s="5">
        <f>IFERROR(__xludf.DUMMYFUNCTION("""COMPUTED_VALUE"""),1944.0)</f>
        <v>1944</v>
      </c>
    </row>
    <row r="54">
      <c r="A54" s="4">
        <f>IFERROR(__xludf.DUMMYFUNCTION("""COMPUTED_VALUE"""),42422.0)</f>
        <v>42422</v>
      </c>
      <c r="B54" s="5">
        <f>IFERROR(__xludf.DUMMYFUNCTION("""COMPUTED_VALUE"""),1888.0)</f>
        <v>1888</v>
      </c>
      <c r="C54" s="6">
        <f>IFERROR(__xludf.DUMMYFUNCTION("""COMPUTED_VALUE"""),0.4433)</f>
        <v>0.4433</v>
      </c>
      <c r="D54" s="2">
        <f>IFERROR(__xludf.DUMMYFUNCTION("""COMPUTED_VALUE"""),0.002662037037037037)</f>
        <v>0.002662037037</v>
      </c>
      <c r="E54" s="1">
        <f>IFERROR(__xludf.DUMMYFUNCTION("""COMPUTED_VALUE"""),1.23)</f>
        <v>1.23</v>
      </c>
      <c r="F54" s="1">
        <f>IFERROR(__xludf.DUMMYFUNCTION("""COMPUTED_VALUE"""),8.04)</f>
        <v>8.04</v>
      </c>
      <c r="G54" s="5">
        <f>IFERROR(__xludf.DUMMYFUNCTION("""COMPUTED_VALUE"""),18648.0)</f>
        <v>18648</v>
      </c>
      <c r="H54" s="5">
        <f>IFERROR(__xludf.DUMMYFUNCTION("""COMPUTED_VALUE"""),2319.0)</f>
        <v>2319</v>
      </c>
    </row>
    <row r="55">
      <c r="A55" s="4">
        <f>IFERROR(__xludf.DUMMYFUNCTION("""COMPUTED_VALUE"""),42423.0)</f>
        <v>42423</v>
      </c>
      <c r="B55" s="5">
        <f>IFERROR(__xludf.DUMMYFUNCTION("""COMPUTED_VALUE"""),2194.0)</f>
        <v>2194</v>
      </c>
      <c r="C55" s="6">
        <f>IFERROR(__xludf.DUMMYFUNCTION("""COMPUTED_VALUE"""),0.4861)</f>
        <v>0.4861</v>
      </c>
      <c r="D55" s="2">
        <f>IFERROR(__xludf.DUMMYFUNCTION("""COMPUTED_VALUE"""),0.002384259259259259)</f>
        <v>0.002384259259</v>
      </c>
      <c r="E55" s="1">
        <f>IFERROR(__xludf.DUMMYFUNCTION("""COMPUTED_VALUE"""),1.13)</f>
        <v>1.13</v>
      </c>
      <c r="F55" s="1">
        <f>IFERROR(__xludf.DUMMYFUNCTION("""COMPUTED_VALUE"""),6.36)</f>
        <v>6.36</v>
      </c>
      <c r="G55" s="5">
        <f>IFERROR(__xludf.DUMMYFUNCTION("""COMPUTED_VALUE"""),15815.0)</f>
        <v>15815</v>
      </c>
      <c r="H55" s="5">
        <f>IFERROR(__xludf.DUMMYFUNCTION("""COMPUTED_VALUE"""),2485.0)</f>
        <v>2485</v>
      </c>
    </row>
    <row r="56">
      <c r="A56" s="4">
        <f>IFERROR(__xludf.DUMMYFUNCTION("""COMPUTED_VALUE"""),42424.0)</f>
        <v>42424</v>
      </c>
      <c r="B56" s="5">
        <f>IFERROR(__xludf.DUMMYFUNCTION("""COMPUTED_VALUE"""),2347.0)</f>
        <v>2347</v>
      </c>
      <c r="C56" s="6">
        <f>IFERROR(__xludf.DUMMYFUNCTION("""COMPUTED_VALUE"""),0.4427)</f>
        <v>0.4427</v>
      </c>
      <c r="D56" s="2">
        <f>IFERROR(__xludf.DUMMYFUNCTION("""COMPUTED_VALUE"""),0.002395833333333333)</f>
        <v>0.002395833333</v>
      </c>
      <c r="E56" s="1">
        <f>IFERROR(__xludf.DUMMYFUNCTION("""COMPUTED_VALUE"""),1.08)</f>
        <v>1.08</v>
      </c>
      <c r="F56" s="1">
        <f>IFERROR(__xludf.DUMMYFUNCTION("""COMPUTED_VALUE"""),8.34)</f>
        <v>8.34</v>
      </c>
      <c r="G56" s="5">
        <f>IFERROR(__xludf.DUMMYFUNCTION("""COMPUTED_VALUE"""),21189.0)</f>
        <v>21189</v>
      </c>
      <c r="H56" s="5">
        <f>IFERROR(__xludf.DUMMYFUNCTION("""COMPUTED_VALUE"""),2541.0)</f>
        <v>2541</v>
      </c>
    </row>
    <row r="57">
      <c r="A57" s="4">
        <f>IFERROR(__xludf.DUMMYFUNCTION("""COMPUTED_VALUE"""),42425.0)</f>
        <v>42425</v>
      </c>
      <c r="B57" s="5">
        <f>IFERROR(__xludf.DUMMYFUNCTION("""COMPUTED_VALUE"""),2152.0)</f>
        <v>2152</v>
      </c>
      <c r="C57" s="6">
        <f>IFERROR(__xludf.DUMMYFUNCTION("""COMPUTED_VALUE"""),0.4489)</f>
        <v>0.4489</v>
      </c>
      <c r="D57" s="2">
        <f>IFERROR(__xludf.DUMMYFUNCTION("""COMPUTED_VALUE"""),0.0019212962962962964)</f>
        <v>0.001921296296</v>
      </c>
      <c r="E57" s="1">
        <f>IFERROR(__xludf.DUMMYFUNCTION("""COMPUTED_VALUE"""),1.14)</f>
        <v>1.14</v>
      </c>
      <c r="F57" s="1">
        <f>IFERROR(__xludf.DUMMYFUNCTION("""COMPUTED_VALUE"""),7.72)</f>
        <v>7.72</v>
      </c>
      <c r="G57" s="5">
        <f>IFERROR(__xludf.DUMMYFUNCTION("""COMPUTED_VALUE"""),18856.0)</f>
        <v>18856</v>
      </c>
      <c r="H57" s="5">
        <f>IFERROR(__xludf.DUMMYFUNCTION("""COMPUTED_VALUE"""),2444.0)</f>
        <v>2444</v>
      </c>
    </row>
    <row r="58">
      <c r="A58" s="4">
        <f>IFERROR(__xludf.DUMMYFUNCTION("""COMPUTED_VALUE"""),42426.0)</f>
        <v>42426</v>
      </c>
      <c r="B58" s="5">
        <f>IFERROR(__xludf.DUMMYFUNCTION("""COMPUTED_VALUE"""),2027.0)</f>
        <v>2027</v>
      </c>
      <c r="C58" s="6">
        <f>IFERROR(__xludf.DUMMYFUNCTION("""COMPUTED_VALUE"""),0.4968)</f>
        <v>0.4968</v>
      </c>
      <c r="D58" s="2">
        <f>IFERROR(__xludf.DUMMYFUNCTION("""COMPUTED_VALUE"""),0.0016203703703703703)</f>
        <v>0.00162037037</v>
      </c>
      <c r="E58" s="1">
        <f>IFERROR(__xludf.DUMMYFUNCTION("""COMPUTED_VALUE"""),1.09)</f>
        <v>1.09</v>
      </c>
      <c r="F58" s="1">
        <f>IFERROR(__xludf.DUMMYFUNCTION("""COMPUTED_VALUE"""),4.83)</f>
        <v>4.83</v>
      </c>
      <c r="G58" s="5">
        <f>IFERROR(__xludf.DUMMYFUNCTION("""COMPUTED_VALUE"""),10664.0)</f>
        <v>10664</v>
      </c>
      <c r="H58" s="5">
        <f>IFERROR(__xludf.DUMMYFUNCTION("""COMPUTED_VALUE"""),2208.0)</f>
        <v>2208</v>
      </c>
    </row>
    <row r="59">
      <c r="A59" s="4">
        <f>IFERROR(__xludf.DUMMYFUNCTION("""COMPUTED_VALUE"""),42427.0)</f>
        <v>42427</v>
      </c>
      <c r="B59" s="5">
        <f>IFERROR(__xludf.DUMMYFUNCTION("""COMPUTED_VALUE"""),1597.0)</f>
        <v>1597</v>
      </c>
      <c r="C59" s="6">
        <f>IFERROR(__xludf.DUMMYFUNCTION("""COMPUTED_VALUE"""),0.6167)</f>
        <v>0.6167</v>
      </c>
      <c r="D59" s="2">
        <f>IFERROR(__xludf.DUMMYFUNCTION("""COMPUTED_VALUE"""),0.0012268518518518518)</f>
        <v>0.001226851852</v>
      </c>
      <c r="E59" s="1">
        <f>IFERROR(__xludf.DUMMYFUNCTION("""COMPUTED_VALUE"""),1.16)</f>
        <v>1.16</v>
      </c>
      <c r="F59" s="1">
        <f>IFERROR(__xludf.DUMMYFUNCTION("""COMPUTED_VALUE"""),4.14)</f>
        <v>4.14</v>
      </c>
      <c r="G59" s="5">
        <f>IFERROR(__xludf.DUMMYFUNCTION("""COMPUTED_VALUE"""),7651.0)</f>
        <v>7651</v>
      </c>
      <c r="H59" s="5">
        <f>IFERROR(__xludf.DUMMYFUNCTION("""COMPUTED_VALUE"""),1847.0)</f>
        <v>1847</v>
      </c>
    </row>
    <row r="60">
      <c r="A60" s="4">
        <f>IFERROR(__xludf.DUMMYFUNCTION("""COMPUTED_VALUE"""),42428.0)</f>
        <v>42428</v>
      </c>
      <c r="B60" s="5">
        <f>IFERROR(__xludf.DUMMYFUNCTION("""COMPUTED_VALUE"""),1583.0)</f>
        <v>1583</v>
      </c>
      <c r="C60" s="6">
        <f>IFERROR(__xludf.DUMMYFUNCTION("""COMPUTED_VALUE"""),0.4688)</f>
        <v>0.4688</v>
      </c>
      <c r="D60" s="2">
        <f>IFERROR(__xludf.DUMMYFUNCTION("""COMPUTED_VALUE"""),0.0024537037037037036)</f>
        <v>0.002453703704</v>
      </c>
      <c r="E60" s="1">
        <f>IFERROR(__xludf.DUMMYFUNCTION("""COMPUTED_VALUE"""),1.12)</f>
        <v>1.12</v>
      </c>
      <c r="F60" s="1">
        <f>IFERROR(__xludf.DUMMYFUNCTION("""COMPUTED_VALUE"""),5.5)</f>
        <v>5.5</v>
      </c>
      <c r="G60" s="5">
        <f>IFERROR(__xludf.DUMMYFUNCTION("""COMPUTED_VALUE"""),9775.0)</f>
        <v>9775</v>
      </c>
      <c r="H60" s="5">
        <f>IFERROR(__xludf.DUMMYFUNCTION("""COMPUTED_VALUE"""),1777.0)</f>
        <v>1777</v>
      </c>
    </row>
    <row r="61">
      <c r="A61" s="4">
        <f>IFERROR(__xludf.DUMMYFUNCTION("""COMPUTED_VALUE"""),42429.0)</f>
        <v>42429</v>
      </c>
      <c r="B61" s="5">
        <f>IFERROR(__xludf.DUMMYFUNCTION("""COMPUTED_VALUE"""),3194.0)</f>
        <v>3194</v>
      </c>
      <c r="C61" s="6">
        <f>IFERROR(__xludf.DUMMYFUNCTION("""COMPUTED_VALUE"""),0.4298)</f>
        <v>0.4298</v>
      </c>
      <c r="D61" s="2">
        <f>IFERROR(__xludf.DUMMYFUNCTION("""COMPUTED_VALUE"""),0.001875)</f>
        <v>0.001875</v>
      </c>
      <c r="E61" s="1">
        <f>IFERROR(__xludf.DUMMYFUNCTION("""COMPUTED_VALUE"""),1.05)</f>
        <v>1.05</v>
      </c>
      <c r="F61" s="1">
        <f>IFERROR(__xludf.DUMMYFUNCTION("""COMPUTED_VALUE"""),7.45)</f>
        <v>7.45</v>
      </c>
      <c r="G61" s="5">
        <f>IFERROR(__xludf.DUMMYFUNCTION("""COMPUTED_VALUE"""),25021.0)</f>
        <v>25021</v>
      </c>
      <c r="H61" s="5">
        <f>IFERROR(__xludf.DUMMYFUNCTION("""COMPUTED_VALUE"""),3360.0)</f>
        <v>3360</v>
      </c>
    </row>
    <row r="62">
      <c r="A62" s="4">
        <f>IFERROR(__xludf.DUMMYFUNCTION("""COMPUTED_VALUE"""),42430.0)</f>
        <v>42430</v>
      </c>
      <c r="B62" s="5">
        <f>IFERROR(__xludf.DUMMYFUNCTION("""COMPUTED_VALUE"""),2569.0)</f>
        <v>2569</v>
      </c>
      <c r="C62" s="6">
        <f>IFERROR(__xludf.DUMMYFUNCTION("""COMPUTED_VALUE"""),0.4371)</f>
        <v>0.4371</v>
      </c>
      <c r="D62" s="2">
        <f>IFERROR(__xludf.DUMMYFUNCTION("""COMPUTED_VALUE"""),0.001712962962962963)</f>
        <v>0.001712962963</v>
      </c>
      <c r="E62" s="1">
        <f>IFERROR(__xludf.DUMMYFUNCTION("""COMPUTED_VALUE"""),1.11)</f>
        <v>1.11</v>
      </c>
      <c r="F62" s="1">
        <f>IFERROR(__xludf.DUMMYFUNCTION("""COMPUTED_VALUE"""),6.46)</f>
        <v>6.46</v>
      </c>
      <c r="G62" s="5">
        <f>IFERROR(__xludf.DUMMYFUNCTION("""COMPUTED_VALUE"""),18468.0)</f>
        <v>18468</v>
      </c>
      <c r="H62" s="5">
        <f>IFERROR(__xludf.DUMMYFUNCTION("""COMPUTED_VALUE"""),2860.0)</f>
        <v>2860</v>
      </c>
    </row>
    <row r="63">
      <c r="A63" s="4">
        <f>IFERROR(__xludf.DUMMYFUNCTION("""COMPUTED_VALUE"""),42431.0)</f>
        <v>42431</v>
      </c>
      <c r="B63" s="5">
        <f>IFERROR(__xludf.DUMMYFUNCTION("""COMPUTED_VALUE"""),2236.0)</f>
        <v>2236</v>
      </c>
      <c r="C63" s="6">
        <f>IFERROR(__xludf.DUMMYFUNCTION("""COMPUTED_VALUE"""),0.4309)</f>
        <v>0.4309</v>
      </c>
      <c r="D63" s="2">
        <f>IFERROR(__xludf.DUMMYFUNCTION("""COMPUTED_VALUE"""),0.002037037037037037)</f>
        <v>0.002037037037</v>
      </c>
      <c r="E63" s="1">
        <f>IFERROR(__xludf.DUMMYFUNCTION("""COMPUTED_VALUE"""),1.08)</f>
        <v>1.08</v>
      </c>
      <c r="F63" s="1">
        <f>IFERROR(__xludf.DUMMYFUNCTION("""COMPUTED_VALUE"""),7.96)</f>
        <v>7.96</v>
      </c>
      <c r="G63" s="5">
        <f>IFERROR(__xludf.DUMMYFUNCTION("""COMPUTED_VALUE"""),19231.0)</f>
        <v>19231</v>
      </c>
      <c r="H63" s="5">
        <f>IFERROR(__xludf.DUMMYFUNCTION("""COMPUTED_VALUE"""),2416.0)</f>
        <v>2416</v>
      </c>
    </row>
    <row r="64">
      <c r="A64" s="4">
        <f>IFERROR(__xludf.DUMMYFUNCTION("""COMPUTED_VALUE"""),42432.0)</f>
        <v>42432</v>
      </c>
      <c r="B64" s="5">
        <f>IFERROR(__xludf.DUMMYFUNCTION("""COMPUTED_VALUE"""),2319.0)</f>
        <v>2319</v>
      </c>
      <c r="C64" s="6">
        <f>IFERROR(__xludf.DUMMYFUNCTION("""COMPUTED_VALUE"""),0.4759)</f>
        <v>0.4759</v>
      </c>
      <c r="D64" s="2">
        <f>IFERROR(__xludf.DUMMYFUNCTION("""COMPUTED_VALUE"""),0.0022569444444444442)</f>
        <v>0.002256944444</v>
      </c>
      <c r="E64" s="1">
        <f>IFERROR(__xludf.DUMMYFUNCTION("""COMPUTED_VALUE"""),1.12)</f>
        <v>1.12</v>
      </c>
      <c r="F64" s="1">
        <f>IFERROR(__xludf.DUMMYFUNCTION("""COMPUTED_VALUE"""),6.03)</f>
        <v>6.03</v>
      </c>
      <c r="G64" s="5">
        <f>IFERROR(__xludf.DUMMYFUNCTION("""COMPUTED_VALUE"""),15649.0)</f>
        <v>15649</v>
      </c>
      <c r="H64" s="5">
        <f>IFERROR(__xludf.DUMMYFUNCTION("""COMPUTED_VALUE"""),2597.0)</f>
        <v>2597</v>
      </c>
    </row>
    <row r="65">
      <c r="A65" s="4">
        <f>IFERROR(__xludf.DUMMYFUNCTION("""COMPUTED_VALUE"""),42433.0)</f>
        <v>42433</v>
      </c>
      <c r="B65" s="5">
        <f>IFERROR(__xludf.DUMMYFUNCTION("""COMPUTED_VALUE"""),2152.0)</f>
        <v>2152</v>
      </c>
      <c r="C65" s="6">
        <f>IFERROR(__xludf.DUMMYFUNCTION("""COMPUTED_VALUE"""),0.4824)</f>
        <v>0.4824</v>
      </c>
      <c r="D65" s="2">
        <f>IFERROR(__xludf.DUMMYFUNCTION("""COMPUTED_VALUE"""),0.001736111111111111)</f>
        <v>0.001736111111</v>
      </c>
      <c r="E65" s="1">
        <f>IFERROR(__xludf.DUMMYFUNCTION("""COMPUTED_VALUE"""),1.11)</f>
        <v>1.11</v>
      </c>
      <c r="F65" s="1">
        <f>IFERROR(__xludf.DUMMYFUNCTION("""COMPUTED_VALUE"""),6.77)</f>
        <v>6.77</v>
      </c>
      <c r="G65" s="5">
        <f>IFERROR(__xludf.DUMMYFUNCTION("""COMPUTED_VALUE"""),16163.0)</f>
        <v>16163</v>
      </c>
      <c r="H65" s="5">
        <f>IFERROR(__xludf.DUMMYFUNCTION("""COMPUTED_VALUE"""),2388.0)</f>
        <v>2388</v>
      </c>
    </row>
    <row r="66">
      <c r="A66" s="4">
        <f>IFERROR(__xludf.DUMMYFUNCTION("""COMPUTED_VALUE"""),42434.0)</f>
        <v>42434</v>
      </c>
      <c r="B66" s="5">
        <f>IFERROR(__xludf.DUMMYFUNCTION("""COMPUTED_VALUE"""),1625.0)</f>
        <v>1625</v>
      </c>
      <c r="C66" s="6">
        <f>IFERROR(__xludf.DUMMYFUNCTION("""COMPUTED_VALUE"""),0.5307)</f>
        <v>0.5307</v>
      </c>
      <c r="D66" s="2">
        <f>IFERROR(__xludf.DUMMYFUNCTION("""COMPUTED_VALUE"""),0.0014930555555555556)</f>
        <v>0.001493055556</v>
      </c>
      <c r="E66" s="1">
        <f>IFERROR(__xludf.DUMMYFUNCTION("""COMPUTED_VALUE"""),1.11)</f>
        <v>1.11</v>
      </c>
      <c r="F66" s="1">
        <f>IFERROR(__xludf.DUMMYFUNCTION("""COMPUTED_VALUE"""),5.07)</f>
        <v>5.07</v>
      </c>
      <c r="G66" s="5">
        <f>IFERROR(__xludf.DUMMYFUNCTION("""COMPUTED_VALUE"""),9150.0)</f>
        <v>9150</v>
      </c>
      <c r="H66" s="5">
        <f>IFERROR(__xludf.DUMMYFUNCTION("""COMPUTED_VALUE"""),1805.0)</f>
        <v>1805</v>
      </c>
    </row>
    <row r="67">
      <c r="A67" s="4">
        <f>IFERROR(__xludf.DUMMYFUNCTION("""COMPUTED_VALUE"""),42435.0)</f>
        <v>42435</v>
      </c>
      <c r="B67" s="5">
        <f>IFERROR(__xludf.DUMMYFUNCTION("""COMPUTED_VALUE"""),1819.0)</f>
        <v>1819</v>
      </c>
      <c r="C67" s="6">
        <f>IFERROR(__xludf.DUMMYFUNCTION("""COMPUTED_VALUE"""),0.5279)</f>
        <v>0.5279</v>
      </c>
      <c r="D67" s="2">
        <f>IFERROR(__xludf.DUMMYFUNCTION("""COMPUTED_VALUE"""),0.0015972222222222223)</f>
        <v>0.001597222222</v>
      </c>
      <c r="E67" s="1">
        <f>IFERROR(__xludf.DUMMYFUNCTION("""COMPUTED_VALUE"""),1.08)</f>
        <v>1.08</v>
      </c>
      <c r="F67" s="1">
        <f>IFERROR(__xludf.DUMMYFUNCTION("""COMPUTED_VALUE"""),5.7)</f>
        <v>5.7</v>
      </c>
      <c r="G67" s="5">
        <f>IFERROR(__xludf.DUMMYFUNCTION("""COMPUTED_VALUE"""),11247.0)</f>
        <v>11247</v>
      </c>
      <c r="H67" s="5">
        <f>IFERROR(__xludf.DUMMYFUNCTION("""COMPUTED_VALUE"""),1972.0)</f>
        <v>1972</v>
      </c>
    </row>
    <row r="68">
      <c r="A68" s="4">
        <f>IFERROR(__xludf.DUMMYFUNCTION("""COMPUTED_VALUE"""),42436.0)</f>
        <v>42436</v>
      </c>
      <c r="B68" s="5">
        <f>IFERROR(__xludf.DUMMYFUNCTION("""COMPUTED_VALUE"""),2166.0)</f>
        <v>2166</v>
      </c>
      <c r="C68" s="6">
        <f>IFERROR(__xludf.DUMMYFUNCTION("""COMPUTED_VALUE"""),0.4142)</f>
        <v>0.4142</v>
      </c>
      <c r="D68" s="2">
        <f>IFERROR(__xludf.DUMMYFUNCTION("""COMPUTED_VALUE"""),0.0019444444444444444)</f>
        <v>0.001944444444</v>
      </c>
      <c r="E68" s="1">
        <f>IFERROR(__xludf.DUMMYFUNCTION("""COMPUTED_VALUE"""),1.16)</f>
        <v>1.16</v>
      </c>
      <c r="F68" s="1">
        <f>IFERROR(__xludf.DUMMYFUNCTION("""COMPUTED_VALUE"""),8.33)</f>
        <v>8.33</v>
      </c>
      <c r="G68" s="5">
        <f>IFERROR(__xludf.DUMMYFUNCTION("""COMPUTED_VALUE"""),20939.0)</f>
        <v>20939</v>
      </c>
      <c r="H68" s="5">
        <f>IFERROR(__xludf.DUMMYFUNCTION("""COMPUTED_VALUE"""),2513.0)</f>
        <v>2513</v>
      </c>
    </row>
    <row r="69">
      <c r="A69" s="4">
        <f>IFERROR(__xludf.DUMMYFUNCTION("""COMPUTED_VALUE"""),42437.0)</f>
        <v>42437</v>
      </c>
      <c r="B69" s="5">
        <f>IFERROR(__xludf.DUMMYFUNCTION("""COMPUTED_VALUE"""),2152.0)</f>
        <v>2152</v>
      </c>
      <c r="C69" s="6">
        <f>IFERROR(__xludf.DUMMYFUNCTION("""COMPUTED_VALUE"""),0.4854)</f>
        <v>0.4854</v>
      </c>
      <c r="D69" s="2">
        <f>IFERROR(__xludf.DUMMYFUNCTION("""COMPUTED_VALUE"""),0.0019097222222222222)</f>
        <v>0.001909722222</v>
      </c>
      <c r="E69" s="1">
        <f>IFERROR(__xludf.DUMMYFUNCTION("""COMPUTED_VALUE"""),1.12)</f>
        <v>1.12</v>
      </c>
      <c r="F69" s="1">
        <f>IFERROR(__xludf.DUMMYFUNCTION("""COMPUTED_VALUE"""),6.77)</f>
        <v>6.77</v>
      </c>
      <c r="G69" s="5">
        <f>IFERROR(__xludf.DUMMYFUNCTION("""COMPUTED_VALUE"""),16260.0)</f>
        <v>16260</v>
      </c>
      <c r="H69" s="5">
        <f>IFERROR(__xludf.DUMMYFUNCTION("""COMPUTED_VALUE"""),2402.0)</f>
        <v>2402</v>
      </c>
    </row>
    <row r="70">
      <c r="A70" s="4">
        <f>IFERROR(__xludf.DUMMYFUNCTION("""COMPUTED_VALUE"""),42438.0)</f>
        <v>42438</v>
      </c>
      <c r="B70" s="5">
        <f>IFERROR(__xludf.DUMMYFUNCTION("""COMPUTED_VALUE"""),2041.0)</f>
        <v>2041</v>
      </c>
      <c r="C70" s="6">
        <f>IFERROR(__xludf.DUMMYFUNCTION("""COMPUTED_VALUE"""),0.4685)</f>
        <v>0.4685</v>
      </c>
      <c r="D70" s="2">
        <f>IFERROR(__xludf.DUMMYFUNCTION("""COMPUTED_VALUE"""),0.0017592592592592592)</f>
        <v>0.001759259259</v>
      </c>
      <c r="E70" s="1">
        <f>IFERROR(__xludf.DUMMYFUNCTION("""COMPUTED_VALUE"""),1.09)</f>
        <v>1.09</v>
      </c>
      <c r="F70" s="1">
        <f>IFERROR(__xludf.DUMMYFUNCTION("""COMPUTED_VALUE"""),5.91)</f>
        <v>5.91</v>
      </c>
      <c r="G70" s="5">
        <f>IFERROR(__xludf.DUMMYFUNCTION("""COMPUTED_VALUE"""),13136.0)</f>
        <v>13136</v>
      </c>
      <c r="H70" s="5">
        <f>IFERROR(__xludf.DUMMYFUNCTION("""COMPUTED_VALUE"""),2222.0)</f>
        <v>2222</v>
      </c>
    </row>
    <row r="71">
      <c r="A71" s="4">
        <f>IFERROR(__xludf.DUMMYFUNCTION("""COMPUTED_VALUE"""),42439.0)</f>
        <v>42439</v>
      </c>
      <c r="B71" s="5">
        <f>IFERROR(__xludf.DUMMYFUNCTION("""COMPUTED_VALUE"""),2263.0)</f>
        <v>2263</v>
      </c>
      <c r="C71" s="6">
        <f>IFERROR(__xludf.DUMMYFUNCTION("""COMPUTED_VALUE"""),0.4438)</f>
        <v>0.4438</v>
      </c>
      <c r="D71" s="2">
        <f>IFERROR(__xludf.DUMMYFUNCTION("""COMPUTED_VALUE"""),0.0013541666666666667)</f>
        <v>0.001354166667</v>
      </c>
      <c r="E71" s="1">
        <f>IFERROR(__xludf.DUMMYFUNCTION("""COMPUTED_VALUE"""),1.09)</f>
        <v>1.09</v>
      </c>
      <c r="F71" s="1">
        <f>IFERROR(__xludf.DUMMYFUNCTION("""COMPUTED_VALUE"""),6.12)</f>
        <v>6.12</v>
      </c>
      <c r="G71" s="5">
        <f>IFERROR(__xludf.DUMMYFUNCTION("""COMPUTED_VALUE"""),15135.0)</f>
        <v>15135</v>
      </c>
      <c r="H71" s="5">
        <f>IFERROR(__xludf.DUMMYFUNCTION("""COMPUTED_VALUE"""),2472.0)</f>
        <v>2472</v>
      </c>
    </row>
    <row r="72">
      <c r="A72" s="4">
        <f>IFERROR(__xludf.DUMMYFUNCTION("""COMPUTED_VALUE"""),42440.0)</f>
        <v>42440</v>
      </c>
      <c r="B72" s="5">
        <f>IFERROR(__xludf.DUMMYFUNCTION("""COMPUTED_VALUE"""),2027.0)</f>
        <v>2027</v>
      </c>
      <c r="C72" s="6">
        <f>IFERROR(__xludf.DUMMYFUNCTION("""COMPUTED_VALUE"""),0.4941)</f>
        <v>0.4941</v>
      </c>
      <c r="D72" s="2">
        <f>IFERROR(__xludf.DUMMYFUNCTION("""COMPUTED_VALUE"""),0.0020486111111111113)</f>
        <v>0.002048611111</v>
      </c>
      <c r="E72" s="1">
        <f>IFERROR(__xludf.DUMMYFUNCTION("""COMPUTED_VALUE"""),1.14)</f>
        <v>1.14</v>
      </c>
      <c r="F72" s="1">
        <f>IFERROR(__xludf.DUMMYFUNCTION("""COMPUTED_VALUE"""),7.68)</f>
        <v>7.68</v>
      </c>
      <c r="G72" s="5">
        <f>IFERROR(__xludf.DUMMYFUNCTION("""COMPUTED_VALUE"""),17704.0)</f>
        <v>17704</v>
      </c>
      <c r="H72" s="5">
        <f>IFERROR(__xludf.DUMMYFUNCTION("""COMPUTED_VALUE"""),2305.0)</f>
        <v>2305</v>
      </c>
    </row>
    <row r="73">
      <c r="A73" s="4">
        <f>IFERROR(__xludf.DUMMYFUNCTION("""COMPUTED_VALUE"""),42441.0)</f>
        <v>42441</v>
      </c>
      <c r="B73" s="5">
        <f>IFERROR(__xludf.DUMMYFUNCTION("""COMPUTED_VALUE"""),1514.0)</f>
        <v>1514</v>
      </c>
      <c r="C73" s="6">
        <f>IFERROR(__xludf.DUMMYFUNCTION("""COMPUTED_VALUE"""),0.4872)</f>
        <v>0.4872</v>
      </c>
      <c r="D73" s="2">
        <f>IFERROR(__xludf.DUMMYFUNCTION("""COMPUTED_VALUE"""),0.0022685185185185187)</f>
        <v>0.002268518519</v>
      </c>
      <c r="E73" s="1">
        <f>IFERROR(__xludf.DUMMYFUNCTION("""COMPUTED_VALUE"""),1.05)</f>
        <v>1.05</v>
      </c>
      <c r="F73" s="1">
        <f>IFERROR(__xludf.DUMMYFUNCTION("""COMPUTED_VALUE"""),9.03)</f>
        <v>9.03</v>
      </c>
      <c r="G73" s="5">
        <f>IFERROR(__xludf.DUMMYFUNCTION("""COMPUTED_VALUE"""),14413.0)</f>
        <v>14413</v>
      </c>
      <c r="H73" s="5">
        <f>IFERROR(__xludf.DUMMYFUNCTION("""COMPUTED_VALUE"""),1597.0)</f>
        <v>1597</v>
      </c>
    </row>
    <row r="74">
      <c r="A74" s="4">
        <f>IFERROR(__xludf.DUMMYFUNCTION("""COMPUTED_VALUE"""),42442.0)</f>
        <v>42442</v>
      </c>
      <c r="B74" s="5">
        <f>IFERROR(__xludf.DUMMYFUNCTION("""COMPUTED_VALUE"""),1763.0)</f>
        <v>1763</v>
      </c>
      <c r="C74" s="6">
        <f>IFERROR(__xludf.DUMMYFUNCTION("""COMPUTED_VALUE"""),0.4635)</f>
        <v>0.4635</v>
      </c>
      <c r="D74" s="2">
        <f>IFERROR(__xludf.DUMMYFUNCTION("""COMPUTED_VALUE"""),0.001724537037037037)</f>
        <v>0.001724537037</v>
      </c>
      <c r="E74" s="1">
        <f>IFERROR(__xludf.DUMMYFUNCTION("""COMPUTED_VALUE"""),1.07)</f>
        <v>1.07</v>
      </c>
      <c r="F74" s="1">
        <f>IFERROR(__xludf.DUMMYFUNCTION("""COMPUTED_VALUE"""),7.28)</f>
        <v>7.28</v>
      </c>
      <c r="G74" s="5">
        <f>IFERROR(__xludf.DUMMYFUNCTION("""COMPUTED_VALUE"""),13747.0)</f>
        <v>13747</v>
      </c>
      <c r="H74" s="5">
        <f>IFERROR(__xludf.DUMMYFUNCTION("""COMPUTED_VALUE"""),1888.0)</f>
        <v>1888</v>
      </c>
    </row>
    <row r="75">
      <c r="A75" s="4">
        <f>IFERROR(__xludf.DUMMYFUNCTION("""COMPUTED_VALUE"""),42443.0)</f>
        <v>42443</v>
      </c>
      <c r="B75" s="5">
        <f>IFERROR(__xludf.DUMMYFUNCTION("""COMPUTED_VALUE"""),1902.0)</f>
        <v>1902</v>
      </c>
      <c r="C75" s="6">
        <f>IFERROR(__xludf.DUMMYFUNCTION("""COMPUTED_VALUE"""),0.5349)</f>
        <v>0.5349</v>
      </c>
      <c r="D75" s="2">
        <f>IFERROR(__xludf.DUMMYFUNCTION("""COMPUTED_VALUE"""),0.001724537037037037)</f>
        <v>0.001724537037</v>
      </c>
      <c r="E75" s="1">
        <f>IFERROR(__xludf.DUMMYFUNCTION("""COMPUTED_VALUE"""),1.15)</f>
        <v>1.15</v>
      </c>
      <c r="F75" s="1">
        <f>IFERROR(__xludf.DUMMYFUNCTION("""COMPUTED_VALUE"""),6.92)</f>
        <v>6.92</v>
      </c>
      <c r="G75" s="5">
        <f>IFERROR(__xludf.DUMMYFUNCTION("""COMPUTED_VALUE"""),15093.0)</f>
        <v>15093</v>
      </c>
      <c r="H75" s="5">
        <f>IFERROR(__xludf.DUMMYFUNCTION("""COMPUTED_VALUE"""),2180.0)</f>
        <v>2180</v>
      </c>
    </row>
    <row r="76">
      <c r="A76" s="4">
        <f>IFERROR(__xludf.DUMMYFUNCTION("""COMPUTED_VALUE"""),42444.0)</f>
        <v>42444</v>
      </c>
      <c r="B76" s="5">
        <f>IFERROR(__xludf.DUMMYFUNCTION("""COMPUTED_VALUE"""),2138.0)</f>
        <v>2138</v>
      </c>
      <c r="C76" s="6">
        <f>IFERROR(__xludf.DUMMYFUNCTION("""COMPUTED_VALUE"""),0.4971)</f>
        <v>0.4971</v>
      </c>
      <c r="D76" s="2">
        <f>IFERROR(__xludf.DUMMYFUNCTION("""COMPUTED_VALUE"""),0.0020601851851851853)</f>
        <v>0.002060185185</v>
      </c>
      <c r="E76" s="1">
        <f>IFERROR(__xludf.DUMMYFUNCTION("""COMPUTED_VALUE"""),1.11)</f>
        <v>1.11</v>
      </c>
      <c r="F76" s="1">
        <f>IFERROR(__xludf.DUMMYFUNCTION("""COMPUTED_VALUE"""),6.93)</f>
        <v>6.93</v>
      </c>
      <c r="G76" s="5">
        <f>IFERROR(__xludf.DUMMYFUNCTION("""COMPUTED_VALUE"""),16440.0)</f>
        <v>16440</v>
      </c>
      <c r="H76" s="5">
        <f>IFERROR(__xludf.DUMMYFUNCTION("""COMPUTED_VALUE"""),2374.0)</f>
        <v>2374</v>
      </c>
    </row>
    <row r="77">
      <c r="A77" s="4">
        <f>IFERROR(__xludf.DUMMYFUNCTION("""COMPUTED_VALUE"""),42445.0)</f>
        <v>42445</v>
      </c>
      <c r="B77" s="5">
        <f>IFERROR(__xludf.DUMMYFUNCTION("""COMPUTED_VALUE"""),1875.0)</f>
        <v>1875</v>
      </c>
      <c r="C77" s="6">
        <f>IFERROR(__xludf.DUMMYFUNCTION("""COMPUTED_VALUE"""),0.4197)</f>
        <v>0.4197</v>
      </c>
      <c r="D77" s="2">
        <f>IFERROR(__xludf.DUMMYFUNCTION("""COMPUTED_VALUE"""),0.002025462962962963)</f>
        <v>0.002025462963</v>
      </c>
      <c r="E77" s="1">
        <f>IFERROR(__xludf.DUMMYFUNCTION("""COMPUTED_VALUE"""),1.2)</f>
        <v>1.2</v>
      </c>
      <c r="F77" s="1">
        <f>IFERROR(__xludf.DUMMYFUNCTION("""COMPUTED_VALUE"""),6.69)</f>
        <v>6.69</v>
      </c>
      <c r="G77" s="5">
        <f>IFERROR(__xludf.DUMMYFUNCTION("""COMPUTED_VALUE"""),15038.0)</f>
        <v>15038</v>
      </c>
      <c r="H77" s="5">
        <f>IFERROR(__xludf.DUMMYFUNCTION("""COMPUTED_VALUE"""),2249.0)</f>
        <v>2249</v>
      </c>
    </row>
    <row r="78">
      <c r="A78" s="4">
        <f>IFERROR(__xludf.DUMMYFUNCTION("""COMPUTED_VALUE"""),42446.0)</f>
        <v>42446</v>
      </c>
      <c r="B78" s="5">
        <f>IFERROR(__xludf.DUMMYFUNCTION("""COMPUTED_VALUE"""),2166.0)</f>
        <v>2166</v>
      </c>
      <c r="C78" s="6">
        <f>IFERROR(__xludf.DUMMYFUNCTION("""COMPUTED_VALUE"""),0.5113)</f>
        <v>0.5113</v>
      </c>
      <c r="D78" s="2">
        <f>IFERROR(__xludf.DUMMYFUNCTION("""COMPUTED_VALUE"""),0.0016319444444444445)</f>
        <v>0.001631944444</v>
      </c>
      <c r="E78" s="1">
        <f>IFERROR(__xludf.DUMMYFUNCTION("""COMPUTED_VALUE"""),1.14)</f>
        <v>1.14</v>
      </c>
      <c r="F78" s="1">
        <f>IFERROR(__xludf.DUMMYFUNCTION("""COMPUTED_VALUE"""),5.94)</f>
        <v>5.94</v>
      </c>
      <c r="G78" s="5">
        <f>IFERROR(__xludf.DUMMYFUNCTION("""COMPUTED_VALUE"""),14691.0)</f>
        <v>14691</v>
      </c>
      <c r="H78" s="5">
        <f>IFERROR(__xludf.DUMMYFUNCTION("""COMPUTED_VALUE"""),2472.0)</f>
        <v>2472</v>
      </c>
    </row>
    <row r="79">
      <c r="A79" s="4">
        <f>IFERROR(__xludf.DUMMYFUNCTION("""COMPUTED_VALUE"""),42447.0)</f>
        <v>42447</v>
      </c>
      <c r="B79" s="5">
        <f>IFERROR(__xludf.DUMMYFUNCTION("""COMPUTED_VALUE"""),2083.0)</f>
        <v>2083</v>
      </c>
      <c r="C79" s="6">
        <f>IFERROR(__xludf.DUMMYFUNCTION("""COMPUTED_VALUE"""),0.5235)</f>
        <v>0.5235</v>
      </c>
      <c r="D79" s="2">
        <f>IFERROR(__xludf.DUMMYFUNCTION("""COMPUTED_VALUE"""),0.0020717592592592593)</f>
        <v>0.002071759259</v>
      </c>
      <c r="E79" s="1">
        <f>IFERROR(__xludf.DUMMYFUNCTION("""COMPUTED_VALUE"""),1.13)</f>
        <v>1.13</v>
      </c>
      <c r="F79" s="1">
        <f>IFERROR(__xludf.DUMMYFUNCTION("""COMPUTED_VALUE"""),7.46)</f>
        <v>7.46</v>
      </c>
      <c r="G79" s="5">
        <f>IFERROR(__xludf.DUMMYFUNCTION("""COMPUTED_VALUE"""),17607.0)</f>
        <v>17607</v>
      </c>
      <c r="H79" s="5">
        <f>IFERROR(__xludf.DUMMYFUNCTION("""COMPUTED_VALUE"""),2361.0)</f>
        <v>2361</v>
      </c>
    </row>
    <row r="80">
      <c r="A80" s="4">
        <f>IFERROR(__xludf.DUMMYFUNCTION("""COMPUTED_VALUE"""),42448.0)</f>
        <v>42448</v>
      </c>
      <c r="B80" s="5">
        <f>IFERROR(__xludf.DUMMYFUNCTION("""COMPUTED_VALUE"""),1694.0)</f>
        <v>1694</v>
      </c>
      <c r="C80" s="6">
        <f>IFERROR(__xludf.DUMMYFUNCTION("""COMPUTED_VALUE"""),0.5988)</f>
        <v>0.5988</v>
      </c>
      <c r="D80" s="2">
        <f>IFERROR(__xludf.DUMMYFUNCTION("""COMPUTED_VALUE"""),0.0014930555555555556)</f>
        <v>0.001493055556</v>
      </c>
      <c r="E80" s="1">
        <f>IFERROR(__xludf.DUMMYFUNCTION("""COMPUTED_VALUE"""),1.12)</f>
        <v>1.12</v>
      </c>
      <c r="F80" s="1">
        <f>IFERROR(__xludf.DUMMYFUNCTION("""COMPUTED_VALUE"""),4.62)</f>
        <v>4.62</v>
      </c>
      <c r="G80" s="5">
        <f>IFERROR(__xludf.DUMMYFUNCTION("""COMPUTED_VALUE"""),8789.0)</f>
        <v>8789</v>
      </c>
      <c r="H80" s="5">
        <f>IFERROR(__xludf.DUMMYFUNCTION("""COMPUTED_VALUE"""),1902.0)</f>
        <v>1902</v>
      </c>
    </row>
    <row r="81">
      <c r="A81" s="4">
        <f>IFERROR(__xludf.DUMMYFUNCTION("""COMPUTED_VALUE"""),42449.0)</f>
        <v>42449</v>
      </c>
      <c r="B81" s="5">
        <f>IFERROR(__xludf.DUMMYFUNCTION("""COMPUTED_VALUE"""),1805.0)</f>
        <v>1805</v>
      </c>
      <c r="C81" s="6">
        <f>IFERROR(__xludf.DUMMYFUNCTION("""COMPUTED_VALUE"""),0.5388)</f>
        <v>0.5388</v>
      </c>
      <c r="D81" s="2">
        <f>IFERROR(__xludf.DUMMYFUNCTION("""COMPUTED_VALUE"""),0.0016435185185185185)</f>
        <v>0.001643518519</v>
      </c>
      <c r="E81" s="1">
        <f>IFERROR(__xludf.DUMMYFUNCTION("""COMPUTED_VALUE"""),1.08)</f>
        <v>1.08</v>
      </c>
      <c r="F81" s="1">
        <f>IFERROR(__xludf.DUMMYFUNCTION("""COMPUTED_VALUE"""),5.54)</f>
        <v>5.54</v>
      </c>
      <c r="G81" s="5">
        <f>IFERROR(__xludf.DUMMYFUNCTION("""COMPUTED_VALUE"""),10844.0)</f>
        <v>10844</v>
      </c>
      <c r="H81" s="5">
        <f>IFERROR(__xludf.DUMMYFUNCTION("""COMPUTED_VALUE"""),1958.0)</f>
        <v>1958</v>
      </c>
    </row>
    <row r="82">
      <c r="A82" s="4">
        <f>IFERROR(__xludf.DUMMYFUNCTION("""COMPUTED_VALUE"""),42450.0)</f>
        <v>42450</v>
      </c>
      <c r="B82" s="5">
        <f>IFERROR(__xludf.DUMMYFUNCTION("""COMPUTED_VALUE"""),2527.0)</f>
        <v>2527</v>
      </c>
      <c r="C82" s="6">
        <f>IFERROR(__xludf.DUMMYFUNCTION("""COMPUTED_VALUE"""),0.5388)</f>
        <v>0.5388</v>
      </c>
      <c r="D82" s="2">
        <f>IFERROR(__xludf.DUMMYFUNCTION("""COMPUTED_VALUE"""),0.0011342592592592593)</f>
        <v>0.001134259259</v>
      </c>
      <c r="E82" s="1">
        <f>IFERROR(__xludf.DUMMYFUNCTION("""COMPUTED_VALUE"""),1.06)</f>
        <v>1.06</v>
      </c>
      <c r="F82" s="1">
        <f>IFERROR(__xludf.DUMMYFUNCTION("""COMPUTED_VALUE"""),4.97)</f>
        <v>4.97</v>
      </c>
      <c r="G82" s="5">
        <f>IFERROR(__xludf.DUMMYFUNCTION("""COMPUTED_VALUE"""),13330.0)</f>
        <v>13330</v>
      </c>
      <c r="H82" s="5">
        <f>IFERROR(__xludf.DUMMYFUNCTION("""COMPUTED_VALUE"""),2680.0)</f>
        <v>2680</v>
      </c>
    </row>
    <row r="83">
      <c r="A83" s="4">
        <f>IFERROR(__xludf.DUMMYFUNCTION("""COMPUTED_VALUE"""),42451.0)</f>
        <v>42451</v>
      </c>
      <c r="B83" s="5">
        <f>IFERROR(__xludf.DUMMYFUNCTION("""COMPUTED_VALUE"""),3638.0)</f>
        <v>3638</v>
      </c>
      <c r="C83" s="6">
        <f>IFERROR(__xludf.DUMMYFUNCTION("""COMPUTED_VALUE"""),0.4928)</f>
        <v>0.4928</v>
      </c>
      <c r="D83" s="2">
        <f>IFERROR(__xludf.DUMMYFUNCTION("""COMPUTED_VALUE"""),9.722222222222222E-4)</f>
        <v>0.0009722222222</v>
      </c>
      <c r="E83" s="1">
        <f>IFERROR(__xludf.DUMMYFUNCTION("""COMPUTED_VALUE"""),1.05)</f>
        <v>1.05</v>
      </c>
      <c r="F83" s="1">
        <f>IFERROR(__xludf.DUMMYFUNCTION("""COMPUTED_VALUE"""),3.77)</f>
        <v>3.77</v>
      </c>
      <c r="G83" s="5">
        <f>IFERROR(__xludf.DUMMYFUNCTION("""COMPUTED_VALUE"""),14357.0)</f>
        <v>14357</v>
      </c>
      <c r="H83" s="5">
        <f>IFERROR(__xludf.DUMMYFUNCTION("""COMPUTED_VALUE"""),3805.0)</f>
        <v>3805</v>
      </c>
    </row>
    <row r="84">
      <c r="A84" s="4">
        <f>IFERROR(__xludf.DUMMYFUNCTION("""COMPUTED_VALUE"""),42452.0)</f>
        <v>42452</v>
      </c>
      <c r="B84" s="5">
        <f>IFERROR(__xludf.DUMMYFUNCTION("""COMPUTED_VALUE"""),5221.0)</f>
        <v>5221</v>
      </c>
      <c r="C84" s="6">
        <f>IFERROR(__xludf.DUMMYFUNCTION("""COMPUTED_VALUE"""),0.495)</f>
        <v>0.495</v>
      </c>
      <c r="D84" s="2">
        <f>IFERROR(__xludf.DUMMYFUNCTION("""COMPUTED_VALUE"""),0.001261574074074074)</f>
        <v>0.001261574074</v>
      </c>
      <c r="E84" s="1">
        <f>IFERROR(__xludf.DUMMYFUNCTION("""COMPUTED_VALUE"""),1.05)</f>
        <v>1.05</v>
      </c>
      <c r="F84" s="1">
        <f>IFERROR(__xludf.DUMMYFUNCTION("""COMPUTED_VALUE"""),4.65)</f>
        <v>4.65</v>
      </c>
      <c r="G84" s="5">
        <f>IFERROR(__xludf.DUMMYFUNCTION("""COMPUTED_VALUE"""),25438.0)</f>
        <v>25438</v>
      </c>
      <c r="H84" s="5">
        <f>IFERROR(__xludf.DUMMYFUNCTION("""COMPUTED_VALUE"""),5471.0)</f>
        <v>5471</v>
      </c>
    </row>
    <row r="85">
      <c r="A85" s="4">
        <f>IFERROR(__xludf.DUMMYFUNCTION("""COMPUTED_VALUE"""),42453.0)</f>
        <v>42453</v>
      </c>
      <c r="B85" s="5">
        <f>IFERROR(__xludf.DUMMYFUNCTION("""COMPUTED_VALUE"""),5151.0)</f>
        <v>5151</v>
      </c>
      <c r="C85" s="6">
        <f>IFERROR(__xludf.DUMMYFUNCTION("""COMPUTED_VALUE"""),0.5201)</f>
        <v>0.5201</v>
      </c>
      <c r="D85" s="2">
        <f>IFERROR(__xludf.DUMMYFUNCTION("""COMPUTED_VALUE"""),0.0011111111111111111)</f>
        <v>0.001111111111</v>
      </c>
      <c r="E85" s="1">
        <f>IFERROR(__xludf.DUMMYFUNCTION("""COMPUTED_VALUE"""),1.07)</f>
        <v>1.07</v>
      </c>
      <c r="F85" s="1">
        <f>IFERROR(__xludf.DUMMYFUNCTION("""COMPUTED_VALUE"""),3.52)</f>
        <v>3.52</v>
      </c>
      <c r="G85" s="5">
        <f>IFERROR(__xludf.DUMMYFUNCTION("""COMPUTED_VALUE"""),19342.0)</f>
        <v>19342</v>
      </c>
      <c r="H85" s="5">
        <f>IFERROR(__xludf.DUMMYFUNCTION("""COMPUTED_VALUE"""),5499.0)</f>
        <v>5499</v>
      </c>
    </row>
    <row r="86">
      <c r="A86" s="4">
        <f>IFERROR(__xludf.DUMMYFUNCTION("""COMPUTED_VALUE"""),42454.0)</f>
        <v>42454</v>
      </c>
      <c r="B86" s="5">
        <f>IFERROR(__xludf.DUMMYFUNCTION("""COMPUTED_VALUE"""),4846.0)</f>
        <v>4846</v>
      </c>
      <c r="C86" s="6">
        <f>IFERROR(__xludf.DUMMYFUNCTION("""COMPUTED_VALUE"""),0.4852)</f>
        <v>0.4852</v>
      </c>
      <c r="D86" s="2">
        <f>IFERROR(__xludf.DUMMYFUNCTION("""COMPUTED_VALUE"""),0.0011805555555555556)</f>
        <v>0.001180555556</v>
      </c>
      <c r="E86" s="1">
        <f>IFERROR(__xludf.DUMMYFUNCTION("""COMPUTED_VALUE"""),1.07)</f>
        <v>1.07</v>
      </c>
      <c r="F86" s="1">
        <f>IFERROR(__xludf.DUMMYFUNCTION("""COMPUTED_VALUE"""),4.3)</f>
        <v>4.3</v>
      </c>
      <c r="G86" s="5">
        <f>IFERROR(__xludf.DUMMYFUNCTION("""COMPUTED_VALUE"""),22272.0)</f>
        <v>22272</v>
      </c>
      <c r="H86" s="5">
        <f>IFERROR(__xludf.DUMMYFUNCTION("""COMPUTED_VALUE"""),5179.0)</f>
        <v>5179</v>
      </c>
    </row>
    <row r="87">
      <c r="A87" s="4">
        <f>IFERROR(__xludf.DUMMYFUNCTION("""COMPUTED_VALUE"""),42455.0)</f>
        <v>42455</v>
      </c>
      <c r="B87" s="5">
        <f>IFERROR(__xludf.DUMMYFUNCTION("""COMPUTED_VALUE"""),4513.0)</f>
        <v>4513</v>
      </c>
      <c r="C87" s="6">
        <f>IFERROR(__xludf.DUMMYFUNCTION("""COMPUTED_VALUE"""),0.5545)</f>
        <v>0.5545</v>
      </c>
      <c r="D87" s="2">
        <f>IFERROR(__xludf.DUMMYFUNCTION("""COMPUTED_VALUE"""),9.953703703703704E-4)</f>
        <v>0.0009953703704</v>
      </c>
      <c r="E87" s="1">
        <f>IFERROR(__xludf.DUMMYFUNCTION("""COMPUTED_VALUE"""),1.04)</f>
        <v>1.04</v>
      </c>
      <c r="F87" s="1">
        <f>IFERROR(__xludf.DUMMYFUNCTION("""COMPUTED_VALUE"""),3.49)</f>
        <v>3.49</v>
      </c>
      <c r="G87" s="5">
        <f>IFERROR(__xludf.DUMMYFUNCTION("""COMPUTED_VALUE"""),16426.0)</f>
        <v>16426</v>
      </c>
      <c r="H87" s="5">
        <f>IFERROR(__xludf.DUMMYFUNCTION("""COMPUTED_VALUE"""),4707.0)</f>
        <v>4707</v>
      </c>
    </row>
    <row r="88">
      <c r="A88" s="4">
        <f>IFERROR(__xludf.DUMMYFUNCTION("""COMPUTED_VALUE"""),42456.0)</f>
        <v>42456</v>
      </c>
      <c r="B88" s="5">
        <f>IFERROR(__xludf.DUMMYFUNCTION("""COMPUTED_VALUE"""),3971.0)</f>
        <v>3971</v>
      </c>
      <c r="C88" s="6">
        <f>IFERROR(__xludf.DUMMYFUNCTION("""COMPUTED_VALUE"""),0.5166)</f>
        <v>0.5166</v>
      </c>
      <c r="D88" s="2">
        <f>IFERROR(__xludf.DUMMYFUNCTION("""COMPUTED_VALUE"""),9.25925925925926E-4)</f>
        <v>0.0009259259259</v>
      </c>
      <c r="E88" s="1">
        <f>IFERROR(__xludf.DUMMYFUNCTION("""COMPUTED_VALUE"""),1.06)</f>
        <v>1.06</v>
      </c>
      <c r="F88" s="1">
        <f>IFERROR(__xludf.DUMMYFUNCTION("""COMPUTED_VALUE"""),3.14)</f>
        <v>3.14</v>
      </c>
      <c r="G88" s="5">
        <f>IFERROR(__xludf.DUMMYFUNCTION("""COMPUTED_VALUE"""),13163.0)</f>
        <v>13163</v>
      </c>
      <c r="H88" s="5">
        <f>IFERROR(__xludf.DUMMYFUNCTION("""COMPUTED_VALUE"""),4193.0)</f>
        <v>4193</v>
      </c>
    </row>
    <row r="89">
      <c r="A89" s="4">
        <f>IFERROR(__xludf.DUMMYFUNCTION("""COMPUTED_VALUE"""),42457.0)</f>
        <v>42457</v>
      </c>
      <c r="B89" s="5">
        <f>IFERROR(__xludf.DUMMYFUNCTION("""COMPUTED_VALUE"""),4624.0)</f>
        <v>4624</v>
      </c>
      <c r="C89" s="6">
        <f>IFERROR(__xludf.DUMMYFUNCTION("""COMPUTED_VALUE"""),0.4705)</f>
        <v>0.4705</v>
      </c>
      <c r="D89" s="2">
        <f>IFERROR(__xludf.DUMMYFUNCTION("""COMPUTED_VALUE"""),0.0011805555555555556)</f>
        <v>0.001180555556</v>
      </c>
      <c r="E89" s="1">
        <f>IFERROR(__xludf.DUMMYFUNCTION("""COMPUTED_VALUE"""),1.07)</f>
        <v>1.07</v>
      </c>
      <c r="F89" s="1">
        <f>IFERROR(__xludf.DUMMYFUNCTION("""COMPUTED_VALUE"""),4.12)</f>
        <v>4.12</v>
      </c>
      <c r="G89" s="5">
        <f>IFERROR(__xludf.DUMMYFUNCTION("""COMPUTED_VALUE"""),20287.0)</f>
        <v>20287</v>
      </c>
      <c r="H89" s="5">
        <f>IFERROR(__xludf.DUMMYFUNCTION("""COMPUTED_VALUE"""),4929.0)</f>
        <v>4929</v>
      </c>
    </row>
    <row r="90">
      <c r="A90" s="4">
        <f>IFERROR(__xludf.DUMMYFUNCTION("""COMPUTED_VALUE"""),42458.0)</f>
        <v>42458</v>
      </c>
      <c r="B90" s="5">
        <f>IFERROR(__xludf.DUMMYFUNCTION("""COMPUTED_VALUE"""),4999.0)</f>
        <v>4999</v>
      </c>
      <c r="C90" s="6">
        <f>IFERROR(__xludf.DUMMYFUNCTION("""COMPUTED_VALUE"""),0.4833)</f>
        <v>0.4833</v>
      </c>
      <c r="D90" s="2">
        <f>IFERROR(__xludf.DUMMYFUNCTION("""COMPUTED_VALUE"""),0.0013773148148148147)</f>
        <v>0.001377314815</v>
      </c>
      <c r="E90" s="1">
        <f>IFERROR(__xludf.DUMMYFUNCTION("""COMPUTED_VALUE"""),1.08)</f>
        <v>1.08</v>
      </c>
      <c r="F90" s="1">
        <f>IFERROR(__xludf.DUMMYFUNCTION("""COMPUTED_VALUE"""),4.34)</f>
        <v>4.34</v>
      </c>
      <c r="G90" s="5">
        <f>IFERROR(__xludf.DUMMYFUNCTION("""COMPUTED_VALUE"""),23327.0)</f>
        <v>23327</v>
      </c>
      <c r="H90" s="5">
        <f>IFERROR(__xludf.DUMMYFUNCTION("""COMPUTED_VALUE"""),5374.0)</f>
        <v>5374</v>
      </c>
    </row>
    <row r="91">
      <c r="A91" s="4">
        <f>IFERROR(__xludf.DUMMYFUNCTION("""COMPUTED_VALUE"""),42459.0)</f>
        <v>42459</v>
      </c>
      <c r="B91" s="5">
        <f>IFERROR(__xludf.DUMMYFUNCTION("""COMPUTED_VALUE"""),4846.0)</f>
        <v>4846</v>
      </c>
      <c r="C91" s="6">
        <f>IFERROR(__xludf.DUMMYFUNCTION("""COMPUTED_VALUE"""),0.3926)</f>
        <v>0.3926</v>
      </c>
      <c r="D91" s="2">
        <f>IFERROR(__xludf.DUMMYFUNCTION("""COMPUTED_VALUE"""),0.0017939814814814815)</f>
        <v>0.001793981481</v>
      </c>
      <c r="E91" s="1">
        <f>IFERROR(__xludf.DUMMYFUNCTION("""COMPUTED_VALUE"""),1.08)</f>
        <v>1.08</v>
      </c>
      <c r="F91" s="1">
        <f>IFERROR(__xludf.DUMMYFUNCTION("""COMPUTED_VALUE"""),5.47)</f>
        <v>5.47</v>
      </c>
      <c r="G91" s="5">
        <f>IFERROR(__xludf.DUMMYFUNCTION("""COMPUTED_VALUE"""),28646.0)</f>
        <v>28646</v>
      </c>
      <c r="H91" s="5">
        <f>IFERROR(__xludf.DUMMYFUNCTION("""COMPUTED_VALUE"""),5235.0)</f>
        <v>5235</v>
      </c>
    </row>
    <row r="92">
      <c r="A92" s="4">
        <f>IFERROR(__xludf.DUMMYFUNCTION("""COMPUTED_VALUE"""),42460.0)</f>
        <v>42460</v>
      </c>
      <c r="B92" s="5">
        <f>IFERROR(__xludf.DUMMYFUNCTION("""COMPUTED_VALUE"""),4499.0)</f>
        <v>4499</v>
      </c>
      <c r="C92" s="6">
        <f>IFERROR(__xludf.DUMMYFUNCTION("""COMPUTED_VALUE"""),0.4013)</f>
        <v>0.4013</v>
      </c>
      <c r="D92" s="2">
        <f>IFERROR(__xludf.DUMMYFUNCTION("""COMPUTED_VALUE"""),0.001736111111111111)</f>
        <v>0.001736111111</v>
      </c>
      <c r="E92" s="1">
        <f>IFERROR(__xludf.DUMMYFUNCTION("""COMPUTED_VALUE"""),1.03)</f>
        <v>1.03</v>
      </c>
      <c r="F92" s="1">
        <f>IFERROR(__xludf.DUMMYFUNCTION("""COMPUTED_VALUE"""),4.64)</f>
        <v>4.64</v>
      </c>
      <c r="G92" s="5">
        <f>IFERROR(__xludf.DUMMYFUNCTION("""COMPUTED_VALUE"""),21536.0)</f>
        <v>21536</v>
      </c>
      <c r="H92" s="5">
        <f>IFERROR(__xludf.DUMMYFUNCTION("""COMPUTED_VALUE"""),4638.0)</f>
        <v>4638</v>
      </c>
    </row>
    <row r="93">
      <c r="A93" s="4">
        <f>IFERROR(__xludf.DUMMYFUNCTION("""COMPUTED_VALUE"""),42461.0)</f>
        <v>42461</v>
      </c>
      <c r="B93" s="5">
        <f>IFERROR(__xludf.DUMMYFUNCTION("""COMPUTED_VALUE"""),4082.0)</f>
        <v>4082</v>
      </c>
      <c r="C93" s="6">
        <f>IFERROR(__xludf.DUMMYFUNCTION("""COMPUTED_VALUE"""),0.439)</f>
        <v>0.439</v>
      </c>
      <c r="D93" s="2">
        <f>IFERROR(__xludf.DUMMYFUNCTION("""COMPUTED_VALUE"""),0.0013310185185185185)</f>
        <v>0.001331018519</v>
      </c>
      <c r="E93" s="1">
        <f>IFERROR(__xludf.DUMMYFUNCTION("""COMPUTED_VALUE"""),1.03)</f>
        <v>1.03</v>
      </c>
      <c r="F93" s="1">
        <f>IFERROR(__xludf.DUMMYFUNCTION("""COMPUTED_VALUE"""),4.67)</f>
        <v>4.67</v>
      </c>
      <c r="G93" s="5">
        <f>IFERROR(__xludf.DUMMYFUNCTION("""COMPUTED_VALUE"""),19634.0)</f>
        <v>19634</v>
      </c>
      <c r="H93" s="5">
        <f>IFERROR(__xludf.DUMMYFUNCTION("""COMPUTED_VALUE"""),4207.0)</f>
        <v>4207</v>
      </c>
    </row>
    <row r="94">
      <c r="A94" s="4">
        <f>IFERROR(__xludf.DUMMYFUNCTION("""COMPUTED_VALUE"""),42462.0)</f>
        <v>42462</v>
      </c>
      <c r="B94" s="5">
        <f>IFERROR(__xludf.DUMMYFUNCTION("""COMPUTED_VALUE"""),3374.0)</f>
        <v>3374</v>
      </c>
      <c r="C94" s="6">
        <f>IFERROR(__xludf.DUMMYFUNCTION("""COMPUTED_VALUE"""),0.4822)</f>
        <v>0.4822</v>
      </c>
      <c r="D94" s="2">
        <f>IFERROR(__xludf.DUMMYFUNCTION("""COMPUTED_VALUE"""),0.001412037037037037)</f>
        <v>0.001412037037</v>
      </c>
      <c r="E94" s="1">
        <f>IFERROR(__xludf.DUMMYFUNCTION("""COMPUTED_VALUE"""),1.04)</f>
        <v>1.04</v>
      </c>
      <c r="F94" s="1">
        <f>IFERROR(__xludf.DUMMYFUNCTION("""COMPUTED_VALUE"""),4.23)</f>
        <v>4.23</v>
      </c>
      <c r="G94" s="5">
        <f>IFERROR(__xludf.DUMMYFUNCTION("""COMPUTED_VALUE"""),14857.0)</f>
        <v>14857</v>
      </c>
      <c r="H94" s="5">
        <f>IFERROR(__xludf.DUMMYFUNCTION("""COMPUTED_VALUE"""),3513.0)</f>
        <v>3513</v>
      </c>
    </row>
    <row r="95">
      <c r="A95" s="4">
        <f>IFERROR(__xludf.DUMMYFUNCTION("""COMPUTED_VALUE"""),42463.0)</f>
        <v>42463</v>
      </c>
      <c r="B95" s="5">
        <f>IFERROR(__xludf.DUMMYFUNCTION("""COMPUTED_VALUE"""),3235.0)</f>
        <v>3235</v>
      </c>
      <c r="C95" s="6">
        <f>IFERROR(__xludf.DUMMYFUNCTION("""COMPUTED_VALUE"""),0.4309)</f>
        <v>0.4309</v>
      </c>
      <c r="D95" s="2">
        <f>IFERROR(__xludf.DUMMYFUNCTION("""COMPUTED_VALUE"""),0.0013657407407407407)</f>
        <v>0.001365740741</v>
      </c>
      <c r="E95" s="1">
        <f>IFERROR(__xludf.DUMMYFUNCTION("""COMPUTED_VALUE"""),1.06)</f>
        <v>1.06</v>
      </c>
      <c r="F95" s="1">
        <f>IFERROR(__xludf.DUMMYFUNCTION("""COMPUTED_VALUE"""),4.75)</f>
        <v>4.75</v>
      </c>
      <c r="G95" s="5">
        <f>IFERROR(__xludf.DUMMYFUNCTION("""COMPUTED_VALUE"""),16218.0)</f>
        <v>16218</v>
      </c>
      <c r="H95" s="5">
        <f>IFERROR(__xludf.DUMMYFUNCTION("""COMPUTED_VALUE"""),3416.0)</f>
        <v>3416</v>
      </c>
    </row>
    <row r="96">
      <c r="A96" s="4">
        <f>IFERROR(__xludf.DUMMYFUNCTION("""COMPUTED_VALUE"""),42464.0)</f>
        <v>42464</v>
      </c>
      <c r="B96" s="5">
        <f>IFERROR(__xludf.DUMMYFUNCTION("""COMPUTED_VALUE"""),3985.0)</f>
        <v>3985</v>
      </c>
      <c r="C96" s="6">
        <f>IFERROR(__xludf.DUMMYFUNCTION("""COMPUTED_VALUE"""),0.4618)</f>
        <v>0.4618</v>
      </c>
      <c r="D96" s="2">
        <f>IFERROR(__xludf.DUMMYFUNCTION("""COMPUTED_VALUE"""),0.0015625)</f>
        <v>0.0015625</v>
      </c>
      <c r="E96" s="1">
        <f>IFERROR(__xludf.DUMMYFUNCTION("""COMPUTED_VALUE"""),1.05)</f>
        <v>1.05</v>
      </c>
      <c r="F96" s="1">
        <f>IFERROR(__xludf.DUMMYFUNCTION("""COMPUTED_VALUE"""),5.62)</f>
        <v>5.62</v>
      </c>
      <c r="G96" s="5">
        <f>IFERROR(__xludf.DUMMYFUNCTION("""COMPUTED_VALUE"""),23480.0)</f>
        <v>23480</v>
      </c>
      <c r="H96" s="5">
        <f>IFERROR(__xludf.DUMMYFUNCTION("""COMPUTED_VALUE"""),4179.0)</f>
        <v>4179</v>
      </c>
    </row>
    <row r="97">
      <c r="A97" s="4">
        <f>IFERROR(__xludf.DUMMYFUNCTION("""COMPUTED_VALUE"""),42465.0)</f>
        <v>42465</v>
      </c>
      <c r="B97" s="5">
        <f>IFERROR(__xludf.DUMMYFUNCTION("""COMPUTED_VALUE"""),3832.0)</f>
        <v>3832</v>
      </c>
      <c r="C97" s="6">
        <f>IFERROR(__xludf.DUMMYFUNCTION("""COMPUTED_VALUE"""),0.3675)</f>
        <v>0.3675</v>
      </c>
      <c r="D97" s="2">
        <f>IFERROR(__xludf.DUMMYFUNCTION("""COMPUTED_VALUE"""),0.0016087962962962963)</f>
        <v>0.001608796296</v>
      </c>
      <c r="E97" s="1">
        <f>IFERROR(__xludf.DUMMYFUNCTION("""COMPUTED_VALUE"""),1.07)</f>
        <v>1.07</v>
      </c>
      <c r="F97" s="1">
        <f>IFERROR(__xludf.DUMMYFUNCTION("""COMPUTED_VALUE"""),5.09)</f>
        <v>5.09</v>
      </c>
      <c r="G97" s="5">
        <f>IFERROR(__xludf.DUMMYFUNCTION("""COMPUTED_VALUE"""),20759.0)</f>
        <v>20759</v>
      </c>
      <c r="H97" s="5">
        <f>IFERROR(__xludf.DUMMYFUNCTION("""COMPUTED_VALUE"""),4082.0)</f>
        <v>4082</v>
      </c>
    </row>
    <row r="98">
      <c r="A98" s="4">
        <f>IFERROR(__xludf.DUMMYFUNCTION("""COMPUTED_VALUE"""),42466.0)</f>
        <v>42466</v>
      </c>
      <c r="B98" s="5">
        <f>IFERROR(__xludf.DUMMYFUNCTION("""COMPUTED_VALUE"""),3680.0)</f>
        <v>3680</v>
      </c>
      <c r="C98" s="6">
        <f>IFERROR(__xludf.DUMMYFUNCTION("""COMPUTED_VALUE"""),0.4219)</f>
        <v>0.4219</v>
      </c>
      <c r="D98" s="2">
        <f>IFERROR(__xludf.DUMMYFUNCTION("""COMPUTED_VALUE"""),0.001400462962962963)</f>
        <v>0.001400462963</v>
      </c>
      <c r="E98" s="1">
        <f>IFERROR(__xludf.DUMMYFUNCTION("""COMPUTED_VALUE"""),1.06)</f>
        <v>1.06</v>
      </c>
      <c r="F98" s="1">
        <f>IFERROR(__xludf.DUMMYFUNCTION("""COMPUTED_VALUE"""),4.45)</f>
        <v>4.45</v>
      </c>
      <c r="G98" s="5">
        <f>IFERROR(__xludf.DUMMYFUNCTION("""COMPUTED_VALUE"""),17412.0)</f>
        <v>17412</v>
      </c>
      <c r="H98" s="5">
        <f>IFERROR(__xludf.DUMMYFUNCTION("""COMPUTED_VALUE"""),3916.0)</f>
        <v>3916</v>
      </c>
    </row>
    <row r="99">
      <c r="A99" s="4">
        <f>IFERROR(__xludf.DUMMYFUNCTION("""COMPUTED_VALUE"""),42467.0)</f>
        <v>42467</v>
      </c>
      <c r="B99" s="5">
        <f>IFERROR(__xludf.DUMMYFUNCTION("""COMPUTED_VALUE"""),3666.0)</f>
        <v>3666</v>
      </c>
      <c r="C99" s="6">
        <f>IFERROR(__xludf.DUMMYFUNCTION("""COMPUTED_VALUE"""),0.4779)</f>
        <v>0.4779</v>
      </c>
      <c r="D99" s="2">
        <f>IFERROR(__xludf.DUMMYFUNCTION("""COMPUTED_VALUE"""),0.0010416666666666667)</f>
        <v>0.001041666667</v>
      </c>
      <c r="E99" s="1">
        <f>IFERROR(__xludf.DUMMYFUNCTION("""COMPUTED_VALUE"""),1.03)</f>
        <v>1.03</v>
      </c>
      <c r="F99" s="1">
        <f>IFERROR(__xludf.DUMMYFUNCTION("""COMPUTED_VALUE"""),4.32)</f>
        <v>4.32</v>
      </c>
      <c r="G99" s="5">
        <f>IFERROR(__xludf.DUMMYFUNCTION("""COMPUTED_VALUE"""),16329.0)</f>
        <v>16329</v>
      </c>
      <c r="H99" s="5">
        <f>IFERROR(__xludf.DUMMYFUNCTION("""COMPUTED_VALUE"""),3777.0)</f>
        <v>3777</v>
      </c>
    </row>
    <row r="100">
      <c r="A100" s="4">
        <f>IFERROR(__xludf.DUMMYFUNCTION("""COMPUTED_VALUE"""),42468.0)</f>
        <v>42468</v>
      </c>
      <c r="B100" s="5">
        <f>IFERROR(__xludf.DUMMYFUNCTION("""COMPUTED_VALUE"""),3485.0)</f>
        <v>3485</v>
      </c>
      <c r="C100" s="6">
        <f>IFERROR(__xludf.DUMMYFUNCTION("""COMPUTED_VALUE"""),0.4677)</f>
        <v>0.4677</v>
      </c>
      <c r="D100" s="2">
        <f>IFERROR(__xludf.DUMMYFUNCTION("""COMPUTED_VALUE"""),0.001412037037037037)</f>
        <v>0.001412037037</v>
      </c>
      <c r="E100" s="1">
        <f>IFERROR(__xludf.DUMMYFUNCTION("""COMPUTED_VALUE"""),1.05)</f>
        <v>1.05</v>
      </c>
      <c r="F100" s="1">
        <f>IFERROR(__xludf.DUMMYFUNCTION("""COMPUTED_VALUE"""),4.31)</f>
        <v>4.31</v>
      </c>
      <c r="G100" s="5">
        <f>IFERROR(__xludf.DUMMYFUNCTION("""COMPUTED_VALUE"""),15746.0)</f>
        <v>15746</v>
      </c>
      <c r="H100" s="5">
        <f>IFERROR(__xludf.DUMMYFUNCTION("""COMPUTED_VALUE"""),3652.0)</f>
        <v>3652</v>
      </c>
    </row>
    <row r="101">
      <c r="A101" s="4">
        <f>IFERROR(__xludf.DUMMYFUNCTION("""COMPUTED_VALUE"""),42469.0)</f>
        <v>42469</v>
      </c>
      <c r="B101" s="5">
        <f>IFERROR(__xludf.DUMMYFUNCTION("""COMPUTED_VALUE"""),3235.0)</f>
        <v>3235</v>
      </c>
      <c r="C101" s="6">
        <f>IFERROR(__xludf.DUMMYFUNCTION("""COMPUTED_VALUE"""),0.4334)</f>
        <v>0.4334</v>
      </c>
      <c r="D101" s="2">
        <f>IFERROR(__xludf.DUMMYFUNCTION("""COMPUTED_VALUE"""),0.0010879629629629629)</f>
        <v>0.001087962963</v>
      </c>
      <c r="E101" s="1">
        <f>IFERROR(__xludf.DUMMYFUNCTION("""COMPUTED_VALUE"""),1.03)</f>
        <v>1.03</v>
      </c>
      <c r="F101" s="1">
        <f>IFERROR(__xludf.DUMMYFUNCTION("""COMPUTED_VALUE"""),4.18)</f>
        <v>4.18</v>
      </c>
      <c r="G101" s="5">
        <f>IFERROR(__xludf.DUMMYFUNCTION("""COMPUTED_VALUE"""),13913.0)</f>
        <v>13913</v>
      </c>
      <c r="H101" s="5">
        <f>IFERROR(__xludf.DUMMYFUNCTION("""COMPUTED_VALUE"""),3332.0)</f>
        <v>3332</v>
      </c>
    </row>
    <row r="102">
      <c r="A102" s="4">
        <f>IFERROR(__xludf.DUMMYFUNCTION("""COMPUTED_VALUE"""),42470.0)</f>
        <v>42470</v>
      </c>
      <c r="B102" s="5">
        <f>IFERROR(__xludf.DUMMYFUNCTION("""COMPUTED_VALUE"""),3777.0)</f>
        <v>3777</v>
      </c>
      <c r="C102" s="6">
        <f>IFERROR(__xludf.DUMMYFUNCTION("""COMPUTED_VALUE"""),0.511)</f>
        <v>0.511</v>
      </c>
      <c r="D102" s="2">
        <f>IFERROR(__xludf.DUMMYFUNCTION("""COMPUTED_VALUE"""),0.0013425925925925925)</f>
        <v>0.001342592593</v>
      </c>
      <c r="E102" s="1">
        <f>IFERROR(__xludf.DUMMYFUNCTION("""COMPUTED_VALUE"""),1.01)</f>
        <v>1.01</v>
      </c>
      <c r="F102" s="1">
        <f>IFERROR(__xludf.DUMMYFUNCTION("""COMPUTED_VALUE"""),5.76)</f>
        <v>5.76</v>
      </c>
      <c r="G102" s="5">
        <f>IFERROR(__xludf.DUMMYFUNCTION("""COMPUTED_VALUE"""),22078.0)</f>
        <v>22078</v>
      </c>
      <c r="H102" s="5">
        <f>IFERROR(__xludf.DUMMYFUNCTION("""COMPUTED_VALUE"""),3832.0)</f>
        <v>3832</v>
      </c>
    </row>
    <row r="103">
      <c r="A103" s="4">
        <f>IFERROR(__xludf.DUMMYFUNCTION("""COMPUTED_VALUE"""),42471.0)</f>
        <v>42471</v>
      </c>
      <c r="B103" s="5">
        <f>IFERROR(__xludf.DUMMYFUNCTION("""COMPUTED_VALUE"""),3666.0)</f>
        <v>3666</v>
      </c>
      <c r="C103" s="6">
        <f>IFERROR(__xludf.DUMMYFUNCTION("""COMPUTED_VALUE"""),0.4071)</f>
        <v>0.4071</v>
      </c>
      <c r="D103" s="2">
        <f>IFERROR(__xludf.DUMMYFUNCTION("""COMPUTED_VALUE"""),0.0018402777777777777)</f>
        <v>0.001840277778</v>
      </c>
      <c r="E103" s="1">
        <f>IFERROR(__xludf.DUMMYFUNCTION("""COMPUTED_VALUE"""),1.08)</f>
        <v>1.08</v>
      </c>
      <c r="F103" s="1">
        <f>IFERROR(__xludf.DUMMYFUNCTION("""COMPUTED_VALUE"""),4.97)</f>
        <v>4.97</v>
      </c>
      <c r="G103" s="5">
        <f>IFERROR(__xludf.DUMMYFUNCTION("""COMPUTED_VALUE"""),19662.0)</f>
        <v>19662</v>
      </c>
      <c r="H103" s="5">
        <f>IFERROR(__xludf.DUMMYFUNCTION("""COMPUTED_VALUE"""),3957.0)</f>
        <v>3957</v>
      </c>
    </row>
    <row r="104">
      <c r="A104" s="4">
        <f>IFERROR(__xludf.DUMMYFUNCTION("""COMPUTED_VALUE"""),42472.0)</f>
        <v>42472</v>
      </c>
      <c r="B104" s="5">
        <f>IFERROR(__xludf.DUMMYFUNCTION("""COMPUTED_VALUE"""),3971.0)</f>
        <v>3971</v>
      </c>
      <c r="C104" s="6">
        <f>IFERROR(__xludf.DUMMYFUNCTION("""COMPUTED_VALUE"""),0.4711)</f>
        <v>0.4711</v>
      </c>
      <c r="D104" s="2">
        <f>IFERROR(__xludf.DUMMYFUNCTION("""COMPUTED_VALUE"""),0.0017476851851851852)</f>
        <v>0.001747685185</v>
      </c>
      <c r="E104" s="1">
        <f>IFERROR(__xludf.DUMMYFUNCTION("""COMPUTED_VALUE"""),1.09)</f>
        <v>1.09</v>
      </c>
      <c r="F104" s="1">
        <f>IFERROR(__xludf.DUMMYFUNCTION("""COMPUTED_VALUE"""),4.63)</f>
        <v>4.63</v>
      </c>
      <c r="G104" s="5">
        <f>IFERROR(__xludf.DUMMYFUNCTION("""COMPUTED_VALUE"""),20050.0)</f>
        <v>20050</v>
      </c>
      <c r="H104" s="5">
        <f>IFERROR(__xludf.DUMMYFUNCTION("""COMPUTED_VALUE"""),4332.0)</f>
        <v>4332</v>
      </c>
    </row>
    <row r="105">
      <c r="A105" s="4">
        <f>IFERROR(__xludf.DUMMYFUNCTION("""COMPUTED_VALUE"""),42473.0)</f>
        <v>42473</v>
      </c>
      <c r="B105" s="5">
        <f>IFERROR(__xludf.DUMMYFUNCTION("""COMPUTED_VALUE"""),3721.0)</f>
        <v>3721</v>
      </c>
      <c r="C105" s="6">
        <f>IFERROR(__xludf.DUMMYFUNCTION("""COMPUTED_VALUE"""),0.429)</f>
        <v>0.429</v>
      </c>
      <c r="D105" s="2">
        <f>IFERROR(__xludf.DUMMYFUNCTION("""COMPUTED_VALUE"""),0.0018402777777777777)</f>
        <v>0.001840277778</v>
      </c>
      <c r="E105" s="1">
        <f>IFERROR(__xludf.DUMMYFUNCTION("""COMPUTED_VALUE"""),1.05)</f>
        <v>1.05</v>
      </c>
      <c r="F105" s="1">
        <f>IFERROR(__xludf.DUMMYFUNCTION("""COMPUTED_VALUE"""),5.27)</f>
        <v>5.27</v>
      </c>
      <c r="G105" s="5">
        <f>IFERROR(__xludf.DUMMYFUNCTION("""COMPUTED_VALUE"""),20634.0)</f>
        <v>20634</v>
      </c>
      <c r="H105" s="5">
        <f>IFERROR(__xludf.DUMMYFUNCTION("""COMPUTED_VALUE"""),3916.0)</f>
        <v>3916</v>
      </c>
    </row>
    <row r="106">
      <c r="A106" s="4">
        <f>IFERROR(__xludf.DUMMYFUNCTION("""COMPUTED_VALUE"""),42474.0)</f>
        <v>42474</v>
      </c>
      <c r="B106" s="5">
        <f>IFERROR(__xludf.DUMMYFUNCTION("""COMPUTED_VALUE"""),3444.0)</f>
        <v>3444</v>
      </c>
      <c r="C106" s="6">
        <f>IFERROR(__xludf.DUMMYFUNCTION("""COMPUTED_VALUE"""),0.459)</f>
        <v>0.459</v>
      </c>
      <c r="D106" s="2">
        <f>IFERROR(__xludf.DUMMYFUNCTION("""COMPUTED_VALUE"""),0.0013194444444444445)</f>
        <v>0.001319444444</v>
      </c>
      <c r="E106" s="1">
        <f>IFERROR(__xludf.DUMMYFUNCTION("""COMPUTED_VALUE"""),1.04)</f>
        <v>1.04</v>
      </c>
      <c r="F106" s="1">
        <f>IFERROR(__xludf.DUMMYFUNCTION("""COMPUTED_VALUE"""),4.87)</f>
        <v>4.87</v>
      </c>
      <c r="G106" s="5">
        <f>IFERROR(__xludf.DUMMYFUNCTION("""COMPUTED_VALUE"""),17384.0)</f>
        <v>17384</v>
      </c>
      <c r="H106" s="5">
        <f>IFERROR(__xludf.DUMMYFUNCTION("""COMPUTED_VALUE"""),3569.0)</f>
        <v>3569</v>
      </c>
    </row>
    <row r="107">
      <c r="A107" s="4">
        <f>IFERROR(__xludf.DUMMYFUNCTION("""COMPUTED_VALUE"""),42475.0)</f>
        <v>42475</v>
      </c>
      <c r="B107" s="5">
        <f>IFERROR(__xludf.DUMMYFUNCTION("""COMPUTED_VALUE"""),3319.0)</f>
        <v>3319</v>
      </c>
      <c r="C107" s="6">
        <f>IFERROR(__xludf.DUMMYFUNCTION("""COMPUTED_VALUE"""),0.4054)</f>
        <v>0.4054</v>
      </c>
      <c r="D107" s="2">
        <f>IFERROR(__xludf.DUMMYFUNCTION("""COMPUTED_VALUE"""),0.001585648148148148)</f>
        <v>0.001585648148</v>
      </c>
      <c r="E107" s="1">
        <f>IFERROR(__xludf.DUMMYFUNCTION("""COMPUTED_VALUE"""),1.06)</f>
        <v>1.06</v>
      </c>
      <c r="F107" s="1">
        <f>IFERROR(__xludf.DUMMYFUNCTION("""COMPUTED_VALUE"""),5.27)</f>
        <v>5.27</v>
      </c>
      <c r="G107" s="5">
        <f>IFERROR(__xludf.DUMMYFUNCTION("""COMPUTED_VALUE"""),18579.0)</f>
        <v>18579</v>
      </c>
      <c r="H107" s="5">
        <f>IFERROR(__xludf.DUMMYFUNCTION("""COMPUTED_VALUE"""),3527.0)</f>
        <v>3527</v>
      </c>
    </row>
    <row r="108">
      <c r="A108" s="4">
        <f>IFERROR(__xludf.DUMMYFUNCTION("""COMPUTED_VALUE"""),42476.0)</f>
        <v>42476</v>
      </c>
      <c r="B108" s="5">
        <f>IFERROR(__xludf.DUMMYFUNCTION("""COMPUTED_VALUE"""),2749.0)</f>
        <v>2749</v>
      </c>
      <c r="C108" s="6">
        <f>IFERROR(__xludf.DUMMYFUNCTION("""COMPUTED_VALUE"""),0.535)</f>
        <v>0.535</v>
      </c>
      <c r="D108" s="2">
        <f>IFERROR(__xludf.DUMMYFUNCTION("""COMPUTED_VALUE"""),0.0010300925925925926)</f>
        <v>0.001030092593</v>
      </c>
      <c r="E108" s="1">
        <f>IFERROR(__xludf.DUMMYFUNCTION("""COMPUTED_VALUE"""),1.09)</f>
        <v>1.09</v>
      </c>
      <c r="F108" s="1">
        <f>IFERROR(__xludf.DUMMYFUNCTION("""COMPUTED_VALUE"""),3.56)</f>
        <v>3.56</v>
      </c>
      <c r="G108" s="5">
        <f>IFERROR(__xludf.DUMMYFUNCTION("""COMPUTED_VALUE"""),10636.0)</f>
        <v>10636</v>
      </c>
      <c r="H108" s="5">
        <f>IFERROR(__xludf.DUMMYFUNCTION("""COMPUTED_VALUE"""),2985.0)</f>
        <v>2985</v>
      </c>
    </row>
    <row r="109">
      <c r="A109" s="4">
        <f>IFERROR(__xludf.DUMMYFUNCTION("""COMPUTED_VALUE"""),42477.0)</f>
        <v>42477</v>
      </c>
      <c r="B109" s="5">
        <f>IFERROR(__xludf.DUMMYFUNCTION("""COMPUTED_VALUE"""),2874.0)</f>
        <v>2874</v>
      </c>
      <c r="C109" s="6">
        <f>IFERROR(__xludf.DUMMYFUNCTION("""COMPUTED_VALUE"""),0.481)</f>
        <v>0.481</v>
      </c>
      <c r="D109" s="2">
        <f>IFERROR(__xludf.DUMMYFUNCTION("""COMPUTED_VALUE"""),0.0011805555555555556)</f>
        <v>0.001180555556</v>
      </c>
      <c r="E109" s="1">
        <f>IFERROR(__xludf.DUMMYFUNCTION("""COMPUTED_VALUE"""),1.02)</f>
        <v>1.02</v>
      </c>
      <c r="F109" s="1">
        <f>IFERROR(__xludf.DUMMYFUNCTION("""COMPUTED_VALUE"""),3.96)</f>
        <v>3.96</v>
      </c>
      <c r="G109" s="5">
        <f>IFERROR(__xludf.DUMMYFUNCTION("""COMPUTED_VALUE"""),11650.0)</f>
        <v>11650</v>
      </c>
      <c r="H109" s="5">
        <f>IFERROR(__xludf.DUMMYFUNCTION("""COMPUTED_VALUE"""),2944.0)</f>
        <v>2944</v>
      </c>
    </row>
    <row r="110">
      <c r="A110" s="4">
        <f>IFERROR(__xludf.DUMMYFUNCTION("""COMPUTED_VALUE"""),42478.0)</f>
        <v>42478</v>
      </c>
      <c r="B110" s="5">
        <f>IFERROR(__xludf.DUMMYFUNCTION("""COMPUTED_VALUE"""),3860.0)</f>
        <v>3860</v>
      </c>
      <c r="C110" s="6">
        <f>IFERROR(__xludf.DUMMYFUNCTION("""COMPUTED_VALUE"""),0.4019)</f>
        <v>0.4019</v>
      </c>
      <c r="D110" s="2">
        <f>IFERROR(__xludf.DUMMYFUNCTION("""COMPUTED_VALUE"""),0.001238425925925926)</f>
        <v>0.001238425926</v>
      </c>
      <c r="E110" s="1">
        <f>IFERROR(__xludf.DUMMYFUNCTION("""COMPUTED_VALUE"""),1.06)</f>
        <v>1.06</v>
      </c>
      <c r="F110" s="1">
        <f>IFERROR(__xludf.DUMMYFUNCTION("""COMPUTED_VALUE"""),3.86)</f>
        <v>3.86</v>
      </c>
      <c r="G110" s="5">
        <f>IFERROR(__xludf.DUMMYFUNCTION("""COMPUTED_VALUE"""),15885.0)</f>
        <v>15885</v>
      </c>
      <c r="H110" s="5">
        <f>IFERROR(__xludf.DUMMYFUNCTION("""COMPUTED_VALUE"""),4110.0)</f>
        <v>4110</v>
      </c>
    </row>
    <row r="111">
      <c r="A111" s="4">
        <f>IFERROR(__xludf.DUMMYFUNCTION("""COMPUTED_VALUE"""),42479.0)</f>
        <v>42479</v>
      </c>
      <c r="B111" s="5">
        <f>IFERROR(__xludf.DUMMYFUNCTION("""COMPUTED_VALUE"""),5082.0)</f>
        <v>5082</v>
      </c>
      <c r="C111" s="6">
        <f>IFERROR(__xludf.DUMMYFUNCTION("""COMPUTED_VALUE"""),0.4104)</f>
        <v>0.4104</v>
      </c>
      <c r="D111" s="2">
        <f>IFERROR(__xludf.DUMMYFUNCTION("""COMPUTED_VALUE"""),0.0013657407407407407)</f>
        <v>0.001365740741</v>
      </c>
      <c r="E111" s="1">
        <f>IFERROR(__xludf.DUMMYFUNCTION("""COMPUTED_VALUE"""),1.05)</f>
        <v>1.05</v>
      </c>
      <c r="F111" s="1">
        <f>IFERROR(__xludf.DUMMYFUNCTION("""COMPUTED_VALUE"""),4.47)</f>
        <v>4.47</v>
      </c>
      <c r="G111" s="5">
        <f>IFERROR(__xludf.DUMMYFUNCTION("""COMPUTED_VALUE"""),23897.0)</f>
        <v>23897</v>
      </c>
      <c r="H111" s="5">
        <f>IFERROR(__xludf.DUMMYFUNCTION("""COMPUTED_VALUE"""),5346.0)</f>
        <v>5346</v>
      </c>
    </row>
    <row r="112">
      <c r="A112" s="4">
        <f>IFERROR(__xludf.DUMMYFUNCTION("""COMPUTED_VALUE"""),42480.0)</f>
        <v>42480</v>
      </c>
      <c r="B112" s="5">
        <f>IFERROR(__xludf.DUMMYFUNCTION("""COMPUTED_VALUE"""),4943.0)</f>
        <v>4943</v>
      </c>
      <c r="C112" s="6">
        <f>IFERROR(__xludf.DUMMYFUNCTION("""COMPUTED_VALUE"""),0.4309)</f>
        <v>0.4309</v>
      </c>
      <c r="D112" s="2">
        <f>IFERROR(__xludf.DUMMYFUNCTION("""COMPUTED_VALUE"""),0.0011689814814814816)</f>
        <v>0.001168981481</v>
      </c>
      <c r="E112" s="1">
        <f>IFERROR(__xludf.DUMMYFUNCTION("""COMPUTED_VALUE"""),1.04)</f>
        <v>1.04</v>
      </c>
      <c r="F112" s="1">
        <f>IFERROR(__xludf.DUMMYFUNCTION("""COMPUTED_VALUE"""),4.87)</f>
        <v>4.87</v>
      </c>
      <c r="G112" s="5">
        <f>IFERROR(__xludf.DUMMYFUNCTION("""COMPUTED_VALUE"""),24938.0)</f>
        <v>24938</v>
      </c>
      <c r="H112" s="5">
        <f>IFERROR(__xludf.DUMMYFUNCTION("""COMPUTED_VALUE"""),5124.0)</f>
        <v>5124</v>
      </c>
    </row>
    <row r="113">
      <c r="A113" s="4">
        <f>IFERROR(__xludf.DUMMYFUNCTION("""COMPUTED_VALUE"""),42481.0)</f>
        <v>42481</v>
      </c>
      <c r="B113" s="5">
        <f>IFERROR(__xludf.DUMMYFUNCTION("""COMPUTED_VALUE"""),4360.0)</f>
        <v>4360</v>
      </c>
      <c r="C113" s="6">
        <f>IFERROR(__xludf.DUMMYFUNCTION("""COMPUTED_VALUE"""),0.4168)</f>
        <v>0.4168</v>
      </c>
      <c r="D113" s="2">
        <f>IFERROR(__xludf.DUMMYFUNCTION("""COMPUTED_VALUE"""),0.0012847222222222223)</f>
        <v>0.001284722222</v>
      </c>
      <c r="E113" s="1">
        <f>IFERROR(__xludf.DUMMYFUNCTION("""COMPUTED_VALUE"""),1.03)</f>
        <v>1.03</v>
      </c>
      <c r="F113" s="1">
        <f>IFERROR(__xludf.DUMMYFUNCTION("""COMPUTED_VALUE"""),4.07)</f>
        <v>4.07</v>
      </c>
      <c r="G113" s="5">
        <f>IFERROR(__xludf.DUMMYFUNCTION("""COMPUTED_VALUE"""),18329.0)</f>
        <v>18329</v>
      </c>
      <c r="H113" s="5">
        <f>IFERROR(__xludf.DUMMYFUNCTION("""COMPUTED_VALUE"""),4499.0)</f>
        <v>4499</v>
      </c>
    </row>
    <row r="114">
      <c r="A114" s="4">
        <f>IFERROR(__xludf.DUMMYFUNCTION("""COMPUTED_VALUE"""),42482.0)</f>
        <v>42482</v>
      </c>
      <c r="B114" s="5">
        <f>IFERROR(__xludf.DUMMYFUNCTION("""COMPUTED_VALUE"""),4360.0)</f>
        <v>4360</v>
      </c>
      <c r="C114" s="6">
        <f>IFERROR(__xludf.DUMMYFUNCTION("""COMPUTED_VALUE"""),0.4149)</f>
        <v>0.4149</v>
      </c>
      <c r="D114" s="2">
        <f>IFERROR(__xludf.DUMMYFUNCTION("""COMPUTED_VALUE"""),0.0015162037037037036)</f>
        <v>0.001516203704</v>
      </c>
      <c r="E114" s="1">
        <f>IFERROR(__xludf.DUMMYFUNCTION("""COMPUTED_VALUE"""),1.03)</f>
        <v>1.03</v>
      </c>
      <c r="F114" s="1">
        <f>IFERROR(__xludf.DUMMYFUNCTION("""COMPUTED_VALUE"""),4.62)</f>
        <v>4.62</v>
      </c>
      <c r="G114" s="5">
        <f>IFERROR(__xludf.DUMMYFUNCTION("""COMPUTED_VALUE"""),20703.0)</f>
        <v>20703</v>
      </c>
      <c r="H114" s="5">
        <f>IFERROR(__xludf.DUMMYFUNCTION("""COMPUTED_VALUE"""),4485.0)</f>
        <v>4485</v>
      </c>
    </row>
    <row r="115">
      <c r="A115" s="4">
        <f>IFERROR(__xludf.DUMMYFUNCTION("""COMPUTED_VALUE"""),42483.0)</f>
        <v>42483</v>
      </c>
      <c r="B115" s="5">
        <f>IFERROR(__xludf.DUMMYFUNCTION("""COMPUTED_VALUE"""),3791.0)</f>
        <v>3791</v>
      </c>
      <c r="C115" s="6">
        <f>IFERROR(__xludf.DUMMYFUNCTION("""COMPUTED_VALUE"""),0.4651)</f>
        <v>0.4651</v>
      </c>
      <c r="D115" s="2">
        <f>IFERROR(__xludf.DUMMYFUNCTION("""COMPUTED_VALUE"""),0.0010416666666666667)</f>
        <v>0.001041666667</v>
      </c>
      <c r="E115" s="1">
        <f>IFERROR(__xludf.DUMMYFUNCTION("""COMPUTED_VALUE"""),1.05)</f>
        <v>1.05</v>
      </c>
      <c r="F115" s="1">
        <f>IFERROR(__xludf.DUMMYFUNCTION("""COMPUTED_VALUE"""),3.36)</f>
        <v>3.36</v>
      </c>
      <c r="G115" s="5">
        <f>IFERROR(__xludf.DUMMYFUNCTION("""COMPUTED_VALUE"""),13358.0)</f>
        <v>13358</v>
      </c>
      <c r="H115" s="5">
        <f>IFERROR(__xludf.DUMMYFUNCTION("""COMPUTED_VALUE"""),3971.0)</f>
        <v>3971</v>
      </c>
    </row>
    <row r="116">
      <c r="A116" s="4">
        <f>IFERROR(__xludf.DUMMYFUNCTION("""COMPUTED_VALUE"""),42484.0)</f>
        <v>42484</v>
      </c>
      <c r="B116" s="5">
        <f>IFERROR(__xludf.DUMMYFUNCTION("""COMPUTED_VALUE"""),3832.0)</f>
        <v>3832</v>
      </c>
      <c r="C116" s="6">
        <f>IFERROR(__xludf.DUMMYFUNCTION("""COMPUTED_VALUE"""),0.4754)</f>
        <v>0.4754</v>
      </c>
      <c r="D116" s="2">
        <f>IFERROR(__xludf.DUMMYFUNCTION("""COMPUTED_VALUE"""),0.0015972222222222223)</f>
        <v>0.001597222222</v>
      </c>
      <c r="E116" s="1">
        <f>IFERROR(__xludf.DUMMYFUNCTION("""COMPUTED_VALUE"""),1.04)</f>
        <v>1.04</v>
      </c>
      <c r="F116" s="1">
        <f>IFERROR(__xludf.DUMMYFUNCTION("""COMPUTED_VALUE"""),4.58)</f>
        <v>4.58</v>
      </c>
      <c r="G116" s="5">
        <f>IFERROR(__xludf.DUMMYFUNCTION("""COMPUTED_VALUE"""),18204.0)</f>
        <v>18204</v>
      </c>
      <c r="H116" s="5">
        <f>IFERROR(__xludf.DUMMYFUNCTION("""COMPUTED_VALUE"""),3971.0)</f>
        <v>3971</v>
      </c>
    </row>
    <row r="117">
      <c r="A117" s="4">
        <f>IFERROR(__xludf.DUMMYFUNCTION("""COMPUTED_VALUE"""),42485.0)</f>
        <v>42485</v>
      </c>
      <c r="B117" s="5">
        <f>IFERROR(__xludf.DUMMYFUNCTION("""COMPUTED_VALUE"""),4443.0)</f>
        <v>4443</v>
      </c>
      <c r="C117" s="6">
        <f>IFERROR(__xludf.DUMMYFUNCTION("""COMPUTED_VALUE"""),0.4252)</f>
        <v>0.4252</v>
      </c>
      <c r="D117" s="2">
        <f>IFERROR(__xludf.DUMMYFUNCTION("""COMPUTED_VALUE"""),0.001574074074074074)</f>
        <v>0.001574074074</v>
      </c>
      <c r="E117" s="1">
        <f>IFERROR(__xludf.DUMMYFUNCTION("""COMPUTED_VALUE"""),1.04)</f>
        <v>1.04</v>
      </c>
      <c r="F117" s="1">
        <f>IFERROR(__xludf.DUMMYFUNCTION("""COMPUTED_VALUE"""),5.03)</f>
        <v>5.03</v>
      </c>
      <c r="G117" s="5">
        <f>IFERROR(__xludf.DUMMYFUNCTION("""COMPUTED_VALUE"""),23341.0)</f>
        <v>23341</v>
      </c>
      <c r="H117" s="5">
        <f>IFERROR(__xludf.DUMMYFUNCTION("""COMPUTED_VALUE"""),4638.0)</f>
        <v>4638</v>
      </c>
    </row>
    <row r="118">
      <c r="A118" s="4">
        <f>IFERROR(__xludf.DUMMYFUNCTION("""COMPUTED_VALUE"""),42486.0)</f>
        <v>42486</v>
      </c>
      <c r="B118" s="5">
        <f>IFERROR(__xludf.DUMMYFUNCTION("""COMPUTED_VALUE"""),4027.0)</f>
        <v>4027</v>
      </c>
      <c r="C118" s="6">
        <f>IFERROR(__xludf.DUMMYFUNCTION("""COMPUTED_VALUE"""),0.3901)</f>
        <v>0.3901</v>
      </c>
      <c r="D118" s="2">
        <f>IFERROR(__xludf.DUMMYFUNCTION("""COMPUTED_VALUE"""),0.0015509259259259259)</f>
        <v>0.001550925926</v>
      </c>
      <c r="E118" s="1">
        <f>IFERROR(__xludf.DUMMYFUNCTION("""COMPUTED_VALUE"""),1.05)</f>
        <v>1.05</v>
      </c>
      <c r="F118" s="1">
        <f>IFERROR(__xludf.DUMMYFUNCTION("""COMPUTED_VALUE"""),4.82)</f>
        <v>4.82</v>
      </c>
      <c r="G118" s="5">
        <f>IFERROR(__xludf.DUMMYFUNCTION("""COMPUTED_VALUE"""),20412.0)</f>
        <v>20412</v>
      </c>
      <c r="H118" s="5">
        <f>IFERROR(__xludf.DUMMYFUNCTION("""COMPUTED_VALUE"""),4235.0)</f>
        <v>4235</v>
      </c>
    </row>
    <row r="119">
      <c r="A119" s="4">
        <f>IFERROR(__xludf.DUMMYFUNCTION("""COMPUTED_VALUE"""),42487.0)</f>
        <v>42487</v>
      </c>
      <c r="B119" s="5">
        <f>IFERROR(__xludf.DUMMYFUNCTION("""COMPUTED_VALUE"""),4055.0)</f>
        <v>4055</v>
      </c>
      <c r="C119" s="6">
        <f>IFERROR(__xludf.DUMMYFUNCTION("""COMPUTED_VALUE"""),0.438)</f>
        <v>0.438</v>
      </c>
      <c r="D119" s="2">
        <f>IFERROR(__xludf.DUMMYFUNCTION("""COMPUTED_VALUE"""),0.001585648148148148)</f>
        <v>0.001585648148</v>
      </c>
      <c r="E119" s="1">
        <f>IFERROR(__xludf.DUMMYFUNCTION("""COMPUTED_VALUE"""),1.05)</f>
        <v>1.05</v>
      </c>
      <c r="F119" s="1">
        <f>IFERROR(__xludf.DUMMYFUNCTION("""COMPUTED_VALUE"""),5.07)</f>
        <v>5.07</v>
      </c>
      <c r="G119" s="5">
        <f>IFERROR(__xludf.DUMMYFUNCTION("""COMPUTED_VALUE"""),21536.0)</f>
        <v>21536</v>
      </c>
      <c r="H119" s="5">
        <f>IFERROR(__xludf.DUMMYFUNCTION("""COMPUTED_VALUE"""),4249.0)</f>
        <v>4249</v>
      </c>
    </row>
    <row r="120">
      <c r="A120" s="4">
        <f>IFERROR(__xludf.DUMMYFUNCTION("""COMPUTED_VALUE"""),42488.0)</f>
        <v>42488</v>
      </c>
      <c r="B120" s="5">
        <f>IFERROR(__xludf.DUMMYFUNCTION("""COMPUTED_VALUE"""),4110.0)</f>
        <v>4110</v>
      </c>
      <c r="C120" s="6">
        <f>IFERROR(__xludf.DUMMYFUNCTION("""COMPUTED_VALUE"""),0.4696)</f>
        <v>0.4696</v>
      </c>
      <c r="D120" s="2">
        <f>IFERROR(__xludf.DUMMYFUNCTION("""COMPUTED_VALUE"""),0.00125)</f>
        <v>0.00125</v>
      </c>
      <c r="E120" s="1">
        <f>IFERROR(__xludf.DUMMYFUNCTION("""COMPUTED_VALUE"""),1.06)</f>
        <v>1.06</v>
      </c>
      <c r="F120" s="1">
        <f>IFERROR(__xludf.DUMMYFUNCTION("""COMPUTED_VALUE"""),4.09)</f>
        <v>4.09</v>
      </c>
      <c r="G120" s="5">
        <f>IFERROR(__xludf.DUMMYFUNCTION("""COMPUTED_VALUE"""),17773.0)</f>
        <v>17773</v>
      </c>
      <c r="H120" s="5">
        <f>IFERROR(__xludf.DUMMYFUNCTION("""COMPUTED_VALUE"""),4346.0)</f>
        <v>4346</v>
      </c>
    </row>
    <row r="121">
      <c r="A121" s="4">
        <f>IFERROR(__xludf.DUMMYFUNCTION("""COMPUTED_VALUE"""),42489.0)</f>
        <v>42489</v>
      </c>
      <c r="B121" s="5">
        <f>IFERROR(__xludf.DUMMYFUNCTION("""COMPUTED_VALUE"""),3902.0)</f>
        <v>3902</v>
      </c>
      <c r="C121" s="6">
        <f>IFERROR(__xludf.DUMMYFUNCTION("""COMPUTED_VALUE"""),0.4479)</f>
        <v>0.4479</v>
      </c>
      <c r="D121" s="2">
        <f>IFERROR(__xludf.DUMMYFUNCTION("""COMPUTED_VALUE"""),0.0011921296296296296)</f>
        <v>0.00119212963</v>
      </c>
      <c r="E121" s="1">
        <f>IFERROR(__xludf.DUMMYFUNCTION("""COMPUTED_VALUE"""),1.06)</f>
        <v>1.06</v>
      </c>
      <c r="F121" s="1">
        <f>IFERROR(__xludf.DUMMYFUNCTION("""COMPUTED_VALUE"""),4.01)</f>
        <v>4.01</v>
      </c>
      <c r="G121" s="5">
        <f>IFERROR(__xludf.DUMMYFUNCTION("""COMPUTED_VALUE"""),16537.0)</f>
        <v>16537</v>
      </c>
      <c r="H121" s="5">
        <f>IFERROR(__xludf.DUMMYFUNCTION("""COMPUTED_VALUE"""),4124.0)</f>
        <v>4124</v>
      </c>
    </row>
    <row r="122">
      <c r="A122" s="4">
        <f>IFERROR(__xludf.DUMMYFUNCTION("""COMPUTED_VALUE"""),42490.0)</f>
        <v>42490</v>
      </c>
      <c r="B122" s="5">
        <f>IFERROR(__xludf.DUMMYFUNCTION("""COMPUTED_VALUE"""),3069.0)</f>
        <v>3069</v>
      </c>
      <c r="C122" s="6">
        <f>IFERROR(__xludf.DUMMYFUNCTION("""COMPUTED_VALUE"""),0.4409)</f>
        <v>0.4409</v>
      </c>
      <c r="D122" s="2">
        <f>IFERROR(__xludf.DUMMYFUNCTION("""COMPUTED_VALUE"""),0.0011921296296296296)</f>
        <v>0.00119212963</v>
      </c>
      <c r="E122" s="1">
        <f>IFERROR(__xludf.DUMMYFUNCTION("""COMPUTED_VALUE"""),1.04)</f>
        <v>1.04</v>
      </c>
      <c r="F122" s="1">
        <f>IFERROR(__xludf.DUMMYFUNCTION("""COMPUTED_VALUE"""),4.11)</f>
        <v>4.11</v>
      </c>
      <c r="G122" s="5">
        <f>IFERROR(__xludf.DUMMYFUNCTION("""COMPUTED_VALUE"""),13080.0)</f>
        <v>13080</v>
      </c>
      <c r="H122" s="5">
        <f>IFERROR(__xludf.DUMMYFUNCTION("""COMPUTED_VALUE"""),3180.0)</f>
        <v>3180</v>
      </c>
    </row>
    <row r="123">
      <c r="A123" s="4">
        <f>IFERROR(__xludf.DUMMYFUNCTION("""COMPUTED_VALUE"""),42491.0)</f>
        <v>42491</v>
      </c>
      <c r="B123" s="5">
        <f>IFERROR(__xludf.DUMMYFUNCTION("""COMPUTED_VALUE"""),3013.0)</f>
        <v>3013</v>
      </c>
      <c r="C123" s="6">
        <f>IFERROR(__xludf.DUMMYFUNCTION("""COMPUTED_VALUE"""),0.4638)</f>
        <v>0.4638</v>
      </c>
      <c r="D123" s="2">
        <f>IFERROR(__xludf.DUMMYFUNCTION("""COMPUTED_VALUE"""),0.0012731481481481483)</f>
        <v>0.001273148148</v>
      </c>
      <c r="E123" s="1">
        <f>IFERROR(__xludf.DUMMYFUNCTION("""COMPUTED_VALUE"""),1.02)</f>
        <v>1.02</v>
      </c>
      <c r="F123" s="1">
        <f>IFERROR(__xludf.DUMMYFUNCTION("""COMPUTED_VALUE"""),4.11)</f>
        <v>4.11</v>
      </c>
      <c r="G123" s="5">
        <f>IFERROR(__xludf.DUMMYFUNCTION("""COMPUTED_VALUE"""),12663.0)</f>
        <v>12663</v>
      </c>
      <c r="H123" s="5">
        <f>IFERROR(__xludf.DUMMYFUNCTION("""COMPUTED_VALUE"""),3083.0)</f>
        <v>3083</v>
      </c>
    </row>
    <row r="124">
      <c r="A124" s="4">
        <f>IFERROR(__xludf.DUMMYFUNCTION("""COMPUTED_VALUE"""),42492.0)</f>
        <v>42492</v>
      </c>
      <c r="B124" s="5">
        <f>IFERROR(__xludf.DUMMYFUNCTION("""COMPUTED_VALUE"""),3943.0)</f>
        <v>3943</v>
      </c>
      <c r="C124" s="6">
        <f>IFERROR(__xludf.DUMMYFUNCTION("""COMPUTED_VALUE"""),0.3624)</f>
        <v>0.3624</v>
      </c>
      <c r="D124" s="2">
        <f>IFERROR(__xludf.DUMMYFUNCTION("""COMPUTED_VALUE"""),0.0019444444444444444)</f>
        <v>0.001944444444</v>
      </c>
      <c r="E124" s="1">
        <f>IFERROR(__xludf.DUMMYFUNCTION("""COMPUTED_VALUE"""),1.09)</f>
        <v>1.09</v>
      </c>
      <c r="F124" s="1">
        <f>IFERROR(__xludf.DUMMYFUNCTION("""COMPUTED_VALUE"""),5.89)</f>
        <v>5.89</v>
      </c>
      <c r="G124" s="5">
        <f>IFERROR(__xludf.DUMMYFUNCTION("""COMPUTED_VALUE"""),25285.0)</f>
        <v>25285</v>
      </c>
      <c r="H124" s="5">
        <f>IFERROR(__xludf.DUMMYFUNCTION("""COMPUTED_VALUE"""),4291.0)</f>
        <v>4291</v>
      </c>
    </row>
    <row r="125">
      <c r="A125" s="4">
        <f>IFERROR(__xludf.DUMMYFUNCTION("""COMPUTED_VALUE"""),42493.0)</f>
        <v>42493</v>
      </c>
      <c r="B125" s="5">
        <f>IFERROR(__xludf.DUMMYFUNCTION("""COMPUTED_VALUE"""),4665.0)</f>
        <v>4665</v>
      </c>
      <c r="C125" s="6">
        <f>IFERROR(__xludf.DUMMYFUNCTION("""COMPUTED_VALUE"""),0.4561)</f>
        <v>0.4561</v>
      </c>
      <c r="D125" s="2">
        <f>IFERROR(__xludf.DUMMYFUNCTION("""COMPUTED_VALUE"""),0.0013425925925925925)</f>
        <v>0.001342592593</v>
      </c>
      <c r="E125" s="1">
        <f>IFERROR(__xludf.DUMMYFUNCTION("""COMPUTED_VALUE"""),1.05)</f>
        <v>1.05</v>
      </c>
      <c r="F125" s="1">
        <f>IFERROR(__xludf.DUMMYFUNCTION("""COMPUTED_VALUE"""),4.54)</f>
        <v>4.54</v>
      </c>
      <c r="G125" s="5">
        <f>IFERROR(__xludf.DUMMYFUNCTION("""COMPUTED_VALUE"""),22272.0)</f>
        <v>22272</v>
      </c>
      <c r="H125" s="5">
        <f>IFERROR(__xludf.DUMMYFUNCTION("""COMPUTED_VALUE"""),4902.0)</f>
        <v>4902</v>
      </c>
    </row>
    <row r="126">
      <c r="A126" s="4">
        <f>IFERROR(__xludf.DUMMYFUNCTION("""COMPUTED_VALUE"""),42494.0)</f>
        <v>42494</v>
      </c>
      <c r="B126" s="5">
        <f>IFERROR(__xludf.DUMMYFUNCTION("""COMPUTED_VALUE"""),4249.0)</f>
        <v>4249</v>
      </c>
      <c r="C126" s="6">
        <f>IFERROR(__xludf.DUMMYFUNCTION("""COMPUTED_VALUE"""),0.4366)</f>
        <v>0.4366</v>
      </c>
      <c r="D126" s="2">
        <f>IFERROR(__xludf.DUMMYFUNCTION("""COMPUTED_VALUE"""),0.0017939814814814815)</f>
        <v>0.001793981481</v>
      </c>
      <c r="E126" s="1">
        <f>IFERROR(__xludf.DUMMYFUNCTION("""COMPUTED_VALUE"""),1.03)</f>
        <v>1.03</v>
      </c>
      <c r="F126" s="1">
        <f>IFERROR(__xludf.DUMMYFUNCTION("""COMPUTED_VALUE"""),4.52)</f>
        <v>4.52</v>
      </c>
      <c r="G126" s="5">
        <f>IFERROR(__xludf.DUMMYFUNCTION("""COMPUTED_VALUE"""),19828.0)</f>
        <v>19828</v>
      </c>
      <c r="H126" s="5">
        <f>IFERROR(__xludf.DUMMYFUNCTION("""COMPUTED_VALUE"""),4388.0)</f>
        <v>4388</v>
      </c>
    </row>
    <row r="127">
      <c r="A127" s="4">
        <f>IFERROR(__xludf.DUMMYFUNCTION("""COMPUTED_VALUE"""),42495.0)</f>
        <v>42495</v>
      </c>
      <c r="B127" s="5">
        <f>IFERROR(__xludf.DUMMYFUNCTION("""COMPUTED_VALUE"""),3721.0)</f>
        <v>3721</v>
      </c>
      <c r="C127" s="6">
        <f>IFERROR(__xludf.DUMMYFUNCTION("""COMPUTED_VALUE"""),0.418)</f>
        <v>0.418</v>
      </c>
      <c r="D127" s="2">
        <f>IFERROR(__xludf.DUMMYFUNCTION("""COMPUTED_VALUE"""),0.0017708333333333332)</f>
        <v>0.001770833333</v>
      </c>
      <c r="E127" s="1">
        <f>IFERROR(__xludf.DUMMYFUNCTION("""COMPUTED_VALUE"""),1.04)</f>
        <v>1.04</v>
      </c>
      <c r="F127" s="1">
        <f>IFERROR(__xludf.DUMMYFUNCTION("""COMPUTED_VALUE"""),6.16)</f>
        <v>6.16</v>
      </c>
      <c r="G127" s="5">
        <f>IFERROR(__xludf.DUMMYFUNCTION("""COMPUTED_VALUE"""),23966.0)</f>
        <v>23966</v>
      </c>
      <c r="H127" s="5">
        <f>IFERROR(__xludf.DUMMYFUNCTION("""COMPUTED_VALUE"""),3888.0)</f>
        <v>3888</v>
      </c>
    </row>
    <row r="128">
      <c r="A128" s="4">
        <f>IFERROR(__xludf.DUMMYFUNCTION("""COMPUTED_VALUE"""),42496.0)</f>
        <v>42496</v>
      </c>
      <c r="B128" s="5">
        <f>IFERROR(__xludf.DUMMYFUNCTION("""COMPUTED_VALUE"""),3263.0)</f>
        <v>3263</v>
      </c>
      <c r="C128" s="6">
        <f>IFERROR(__xludf.DUMMYFUNCTION("""COMPUTED_VALUE"""),0.4681)</f>
        <v>0.4681</v>
      </c>
      <c r="D128" s="2">
        <f>IFERROR(__xludf.DUMMYFUNCTION("""COMPUTED_VALUE"""),0.0010763888888888889)</f>
        <v>0.001076388889</v>
      </c>
      <c r="E128" s="1">
        <f>IFERROR(__xludf.DUMMYFUNCTION("""COMPUTED_VALUE"""),1.07)</f>
        <v>1.07</v>
      </c>
      <c r="F128" s="1">
        <f>IFERROR(__xludf.DUMMYFUNCTION("""COMPUTED_VALUE"""),4.41)</f>
        <v>4.41</v>
      </c>
      <c r="G128" s="5">
        <f>IFERROR(__xludf.DUMMYFUNCTION("""COMPUTED_VALUE"""),15441.0)</f>
        <v>15441</v>
      </c>
      <c r="H128" s="5">
        <f>IFERROR(__xludf.DUMMYFUNCTION("""COMPUTED_VALUE"""),3499.0)</f>
        <v>3499</v>
      </c>
    </row>
    <row r="129">
      <c r="A129" s="4">
        <f>IFERROR(__xludf.DUMMYFUNCTION("""COMPUTED_VALUE"""),42497.0)</f>
        <v>42497</v>
      </c>
      <c r="B129" s="5">
        <f>IFERROR(__xludf.DUMMYFUNCTION("""COMPUTED_VALUE"""),2763.0)</f>
        <v>2763</v>
      </c>
      <c r="C129" s="6">
        <f>IFERROR(__xludf.DUMMYFUNCTION("""COMPUTED_VALUE"""),0.4675)</f>
        <v>0.4675</v>
      </c>
      <c r="D129" s="2">
        <f>IFERROR(__xludf.DUMMYFUNCTION("""COMPUTED_VALUE"""),0.0013194444444444445)</f>
        <v>0.001319444444</v>
      </c>
      <c r="E129" s="1">
        <f>IFERROR(__xludf.DUMMYFUNCTION("""COMPUTED_VALUE"""),1.08)</f>
        <v>1.08</v>
      </c>
      <c r="F129" s="1">
        <f>IFERROR(__xludf.DUMMYFUNCTION("""COMPUTED_VALUE"""),4.3)</f>
        <v>4.3</v>
      </c>
      <c r="G129" s="5">
        <f>IFERROR(__xludf.DUMMYFUNCTION("""COMPUTED_VALUE"""),12775.0)</f>
        <v>12775</v>
      </c>
      <c r="H129" s="5">
        <f>IFERROR(__xludf.DUMMYFUNCTION("""COMPUTED_VALUE"""),2971.0)</f>
        <v>2971</v>
      </c>
    </row>
    <row r="130">
      <c r="A130" s="4">
        <f>IFERROR(__xludf.DUMMYFUNCTION("""COMPUTED_VALUE"""),42498.0)</f>
        <v>42498</v>
      </c>
      <c r="B130" s="5">
        <f>IFERROR(__xludf.DUMMYFUNCTION("""COMPUTED_VALUE"""),2791.0)</f>
        <v>2791</v>
      </c>
      <c r="C130" s="6">
        <f>IFERROR(__xludf.DUMMYFUNCTION("""COMPUTED_VALUE"""),0.4881)</f>
        <v>0.4881</v>
      </c>
      <c r="D130" s="2">
        <f>IFERROR(__xludf.DUMMYFUNCTION("""COMPUTED_VALUE"""),0.0010069444444444444)</f>
        <v>0.001006944444</v>
      </c>
      <c r="E130" s="1">
        <f>IFERROR(__xludf.DUMMYFUNCTION("""COMPUTED_VALUE"""),1.05)</f>
        <v>1.05</v>
      </c>
      <c r="F130" s="1">
        <f>IFERROR(__xludf.DUMMYFUNCTION("""COMPUTED_VALUE"""),3.43)</f>
        <v>3.43</v>
      </c>
      <c r="G130" s="5">
        <f>IFERROR(__xludf.DUMMYFUNCTION("""COMPUTED_VALUE"""),10053.0)</f>
        <v>10053</v>
      </c>
      <c r="H130" s="5">
        <f>IFERROR(__xludf.DUMMYFUNCTION("""COMPUTED_VALUE"""),2930.0)</f>
        <v>2930</v>
      </c>
    </row>
    <row r="131">
      <c r="A131" s="4">
        <f>IFERROR(__xludf.DUMMYFUNCTION("""COMPUTED_VALUE"""),42499.0)</f>
        <v>42499</v>
      </c>
      <c r="B131" s="5">
        <f>IFERROR(__xludf.DUMMYFUNCTION("""COMPUTED_VALUE"""),3680.0)</f>
        <v>3680</v>
      </c>
      <c r="C131" s="6">
        <f>IFERROR(__xludf.DUMMYFUNCTION("""COMPUTED_VALUE"""),0.4321)</f>
        <v>0.4321</v>
      </c>
      <c r="D131" s="2">
        <f>IFERROR(__xludf.DUMMYFUNCTION("""COMPUTED_VALUE"""),0.0013541666666666667)</f>
        <v>0.001354166667</v>
      </c>
      <c r="E131" s="1">
        <f>IFERROR(__xludf.DUMMYFUNCTION("""COMPUTED_VALUE"""),1.06)</f>
        <v>1.06</v>
      </c>
      <c r="F131" s="1">
        <f>IFERROR(__xludf.DUMMYFUNCTION("""COMPUTED_VALUE"""),4.86)</f>
        <v>4.86</v>
      </c>
      <c r="G131" s="5">
        <f>IFERROR(__xludf.DUMMYFUNCTION("""COMPUTED_VALUE"""),18884.0)</f>
        <v>18884</v>
      </c>
      <c r="H131" s="5">
        <f>IFERROR(__xludf.DUMMYFUNCTION("""COMPUTED_VALUE"""),3888.0)</f>
        <v>3888</v>
      </c>
    </row>
    <row r="132">
      <c r="A132" s="4">
        <f>IFERROR(__xludf.DUMMYFUNCTION("""COMPUTED_VALUE"""),42500.0)</f>
        <v>42500</v>
      </c>
      <c r="B132" s="5">
        <f>IFERROR(__xludf.DUMMYFUNCTION("""COMPUTED_VALUE"""),3763.0)</f>
        <v>3763</v>
      </c>
      <c r="C132" s="6">
        <f>IFERROR(__xludf.DUMMYFUNCTION("""COMPUTED_VALUE"""),0.3958)</f>
        <v>0.3958</v>
      </c>
      <c r="D132" s="2">
        <f>IFERROR(__xludf.DUMMYFUNCTION("""COMPUTED_VALUE"""),0.0014930555555555556)</f>
        <v>0.001493055556</v>
      </c>
      <c r="E132" s="1">
        <f>IFERROR(__xludf.DUMMYFUNCTION("""COMPUTED_VALUE"""),1.06)</f>
        <v>1.06</v>
      </c>
      <c r="F132" s="1">
        <f>IFERROR(__xludf.DUMMYFUNCTION("""COMPUTED_VALUE"""),5.27)</f>
        <v>5.27</v>
      </c>
      <c r="G132" s="5">
        <f>IFERROR(__xludf.DUMMYFUNCTION("""COMPUTED_VALUE"""),21064.0)</f>
        <v>21064</v>
      </c>
      <c r="H132" s="5">
        <f>IFERROR(__xludf.DUMMYFUNCTION("""COMPUTED_VALUE"""),3999.0)</f>
        <v>3999</v>
      </c>
    </row>
    <row r="133">
      <c r="A133" s="4">
        <f>IFERROR(__xludf.DUMMYFUNCTION("""COMPUTED_VALUE"""),42501.0)</f>
        <v>42501</v>
      </c>
      <c r="B133" s="5">
        <f>IFERROR(__xludf.DUMMYFUNCTION("""COMPUTED_VALUE"""),3916.0)</f>
        <v>3916</v>
      </c>
      <c r="C133" s="6">
        <f>IFERROR(__xludf.DUMMYFUNCTION("""COMPUTED_VALUE"""),0.4304)</f>
        <v>0.4304</v>
      </c>
      <c r="D133" s="2">
        <f>IFERROR(__xludf.DUMMYFUNCTION("""COMPUTED_VALUE"""),0.0016319444444444445)</f>
        <v>0.001631944444</v>
      </c>
      <c r="E133" s="1">
        <f>IFERROR(__xludf.DUMMYFUNCTION("""COMPUTED_VALUE"""),1.05)</f>
        <v>1.05</v>
      </c>
      <c r="F133" s="1">
        <f>IFERROR(__xludf.DUMMYFUNCTION("""COMPUTED_VALUE"""),4.75)</f>
        <v>4.75</v>
      </c>
      <c r="G133" s="5">
        <f>IFERROR(__xludf.DUMMYFUNCTION("""COMPUTED_VALUE"""),19453.0)</f>
        <v>19453</v>
      </c>
      <c r="H133" s="5">
        <f>IFERROR(__xludf.DUMMYFUNCTION("""COMPUTED_VALUE"""),4096.0)</f>
        <v>4096</v>
      </c>
    </row>
    <row r="134">
      <c r="A134" s="4">
        <f>IFERROR(__xludf.DUMMYFUNCTION("""COMPUTED_VALUE"""),42502.0)</f>
        <v>42502</v>
      </c>
      <c r="B134" s="5">
        <f>IFERROR(__xludf.DUMMYFUNCTION("""COMPUTED_VALUE"""),3735.0)</f>
        <v>3735</v>
      </c>
      <c r="C134" s="6">
        <f>IFERROR(__xludf.DUMMYFUNCTION("""COMPUTED_VALUE"""),0.429)</f>
        <v>0.429</v>
      </c>
      <c r="D134" s="2">
        <f>IFERROR(__xludf.DUMMYFUNCTION("""COMPUTED_VALUE"""),0.0019328703703703704)</f>
        <v>0.00193287037</v>
      </c>
      <c r="E134" s="1">
        <f>IFERROR(__xludf.DUMMYFUNCTION("""COMPUTED_VALUE"""),1.1)</f>
        <v>1.1</v>
      </c>
      <c r="F134" s="1">
        <f>IFERROR(__xludf.DUMMYFUNCTION("""COMPUTED_VALUE"""),7.08)</f>
        <v>7.08</v>
      </c>
      <c r="G134" s="5">
        <f>IFERROR(__xludf.DUMMYFUNCTION("""COMPUTED_VALUE"""),29104.0)</f>
        <v>29104</v>
      </c>
      <c r="H134" s="5">
        <f>IFERROR(__xludf.DUMMYFUNCTION("""COMPUTED_VALUE"""),4110.0)</f>
        <v>4110</v>
      </c>
    </row>
    <row r="135">
      <c r="A135" s="4">
        <f>IFERROR(__xludf.DUMMYFUNCTION("""COMPUTED_VALUE"""),42503.0)</f>
        <v>42503</v>
      </c>
      <c r="B135" s="5">
        <f>IFERROR(__xludf.DUMMYFUNCTION("""COMPUTED_VALUE"""),4055.0)</f>
        <v>4055</v>
      </c>
      <c r="C135" s="6">
        <f>IFERROR(__xludf.DUMMYFUNCTION("""COMPUTED_VALUE"""),0.4333)</f>
        <v>0.4333</v>
      </c>
      <c r="D135" s="2">
        <f>IFERROR(__xludf.DUMMYFUNCTION("""COMPUTED_VALUE"""),0.0015972222222222223)</f>
        <v>0.001597222222</v>
      </c>
      <c r="E135" s="1">
        <f>IFERROR(__xludf.DUMMYFUNCTION("""COMPUTED_VALUE"""),1.05)</f>
        <v>1.05</v>
      </c>
      <c r="F135" s="1">
        <f>IFERROR(__xludf.DUMMYFUNCTION("""COMPUTED_VALUE"""),4.21)</f>
        <v>4.21</v>
      </c>
      <c r="G135" s="5">
        <f>IFERROR(__xludf.DUMMYFUNCTION("""COMPUTED_VALUE"""),17940.0)</f>
        <v>17940</v>
      </c>
      <c r="H135" s="5">
        <f>IFERROR(__xludf.DUMMYFUNCTION("""COMPUTED_VALUE"""),4263.0)</f>
        <v>4263</v>
      </c>
    </row>
    <row r="136">
      <c r="A136" s="4">
        <f>IFERROR(__xludf.DUMMYFUNCTION("""COMPUTED_VALUE"""),42504.0)</f>
        <v>42504</v>
      </c>
      <c r="B136" s="5">
        <f>IFERROR(__xludf.DUMMYFUNCTION("""COMPUTED_VALUE"""),3041.0)</f>
        <v>3041</v>
      </c>
      <c r="C136" s="6">
        <f>IFERROR(__xludf.DUMMYFUNCTION("""COMPUTED_VALUE"""),0.4581)</f>
        <v>0.4581</v>
      </c>
      <c r="D136" s="2">
        <f>IFERROR(__xludf.DUMMYFUNCTION("""COMPUTED_VALUE"""),0.0015393518518518519)</f>
        <v>0.001539351852</v>
      </c>
      <c r="E136" s="1">
        <f>IFERROR(__xludf.DUMMYFUNCTION("""COMPUTED_VALUE"""),1.04)</f>
        <v>1.04</v>
      </c>
      <c r="F136" s="1">
        <f>IFERROR(__xludf.DUMMYFUNCTION("""COMPUTED_VALUE"""),3.9)</f>
        <v>3.9</v>
      </c>
      <c r="G136" s="5">
        <f>IFERROR(__xludf.DUMMYFUNCTION("""COMPUTED_VALUE"""),12289.0)</f>
        <v>12289</v>
      </c>
      <c r="H136" s="5">
        <f>IFERROR(__xludf.DUMMYFUNCTION("""COMPUTED_VALUE"""),3152.0)</f>
        <v>3152</v>
      </c>
    </row>
    <row r="137">
      <c r="A137" s="4">
        <f>IFERROR(__xludf.DUMMYFUNCTION("""COMPUTED_VALUE"""),42505.0)</f>
        <v>42505</v>
      </c>
      <c r="B137" s="5">
        <f>IFERROR(__xludf.DUMMYFUNCTION("""COMPUTED_VALUE"""),2985.0)</f>
        <v>2985</v>
      </c>
      <c r="C137" s="6">
        <f>IFERROR(__xludf.DUMMYFUNCTION("""COMPUTED_VALUE"""),0.448)</f>
        <v>0.448</v>
      </c>
      <c r="D137" s="2">
        <f>IFERROR(__xludf.DUMMYFUNCTION("""COMPUTED_VALUE"""),0.0016782407407407408)</f>
        <v>0.001678240741</v>
      </c>
      <c r="E137" s="1">
        <f>IFERROR(__xludf.DUMMYFUNCTION("""COMPUTED_VALUE"""),1.03)</f>
        <v>1.03</v>
      </c>
      <c r="F137" s="1">
        <f>IFERROR(__xludf.DUMMYFUNCTION("""COMPUTED_VALUE"""),4.25)</f>
        <v>4.25</v>
      </c>
      <c r="G137" s="5">
        <f>IFERROR(__xludf.DUMMYFUNCTION("""COMPUTED_VALUE"""),13052.0)</f>
        <v>13052</v>
      </c>
      <c r="H137" s="5">
        <f>IFERROR(__xludf.DUMMYFUNCTION("""COMPUTED_VALUE"""),3069.0)</f>
        <v>3069</v>
      </c>
    </row>
    <row r="138">
      <c r="A138" s="4">
        <f>IFERROR(__xludf.DUMMYFUNCTION("""COMPUTED_VALUE"""),42506.0)</f>
        <v>42506</v>
      </c>
      <c r="B138" s="5">
        <f>IFERROR(__xludf.DUMMYFUNCTION("""COMPUTED_VALUE"""),5304.0)</f>
        <v>5304</v>
      </c>
      <c r="C138" s="6">
        <f>IFERROR(__xludf.DUMMYFUNCTION("""COMPUTED_VALUE"""),0.3926)</f>
        <v>0.3926</v>
      </c>
      <c r="D138" s="2">
        <f>IFERROR(__xludf.DUMMYFUNCTION("""COMPUTED_VALUE"""),0.001979166666666667)</f>
        <v>0.001979166667</v>
      </c>
      <c r="E138" s="1">
        <f>IFERROR(__xludf.DUMMYFUNCTION("""COMPUTED_VALUE"""),1.06)</f>
        <v>1.06</v>
      </c>
      <c r="F138" s="1">
        <f>IFERROR(__xludf.DUMMYFUNCTION("""COMPUTED_VALUE"""),5.21)</f>
        <v>5.21</v>
      </c>
      <c r="G138" s="5">
        <f>IFERROR(__xludf.DUMMYFUNCTION("""COMPUTED_VALUE"""),29326.0)</f>
        <v>29326</v>
      </c>
      <c r="H138" s="5">
        <f>IFERROR(__xludf.DUMMYFUNCTION("""COMPUTED_VALUE"""),5624.0)</f>
        <v>5624</v>
      </c>
    </row>
    <row r="139">
      <c r="A139" s="4">
        <f>IFERROR(__xludf.DUMMYFUNCTION("""COMPUTED_VALUE"""),42507.0)</f>
        <v>42507</v>
      </c>
      <c r="B139" s="5">
        <f>IFERROR(__xludf.DUMMYFUNCTION("""COMPUTED_VALUE"""),3930.0)</f>
        <v>3930</v>
      </c>
      <c r="C139" s="6">
        <f>IFERROR(__xludf.DUMMYFUNCTION("""COMPUTED_VALUE"""),0.4869)</f>
        <v>0.4869</v>
      </c>
      <c r="D139" s="2">
        <f>IFERROR(__xludf.DUMMYFUNCTION("""COMPUTED_VALUE"""),0.0012268518518518518)</f>
        <v>0.001226851852</v>
      </c>
      <c r="E139" s="1">
        <f>IFERROR(__xludf.DUMMYFUNCTION("""COMPUTED_VALUE"""),1.07)</f>
        <v>1.07</v>
      </c>
      <c r="F139" s="1">
        <f>IFERROR(__xludf.DUMMYFUNCTION("""COMPUTED_VALUE"""),4.72)</f>
        <v>4.72</v>
      </c>
      <c r="G139" s="5">
        <f>IFERROR(__xludf.DUMMYFUNCTION("""COMPUTED_VALUE"""),19939.0)</f>
        <v>19939</v>
      </c>
      <c r="H139" s="5">
        <f>IFERROR(__xludf.DUMMYFUNCTION("""COMPUTED_VALUE"""),4221.0)</f>
        <v>4221</v>
      </c>
    </row>
    <row r="140">
      <c r="A140" s="4">
        <f>IFERROR(__xludf.DUMMYFUNCTION("""COMPUTED_VALUE"""),42508.0)</f>
        <v>42508</v>
      </c>
      <c r="B140" s="5">
        <f>IFERROR(__xludf.DUMMYFUNCTION("""COMPUTED_VALUE"""),3735.0)</f>
        <v>3735</v>
      </c>
      <c r="C140" s="6">
        <f>IFERROR(__xludf.DUMMYFUNCTION("""COMPUTED_VALUE"""),0.4022)</f>
        <v>0.4022</v>
      </c>
      <c r="D140" s="2">
        <f>IFERROR(__xludf.DUMMYFUNCTION("""COMPUTED_VALUE"""),0.0015972222222222223)</f>
        <v>0.001597222222</v>
      </c>
      <c r="E140" s="1">
        <f>IFERROR(__xludf.DUMMYFUNCTION("""COMPUTED_VALUE"""),1.06)</f>
        <v>1.06</v>
      </c>
      <c r="F140" s="1">
        <f>IFERROR(__xludf.DUMMYFUNCTION("""COMPUTED_VALUE"""),4.88)</f>
        <v>4.88</v>
      </c>
      <c r="G140" s="5">
        <f>IFERROR(__xludf.DUMMYFUNCTION("""COMPUTED_VALUE"""),19384.0)</f>
        <v>19384</v>
      </c>
      <c r="H140" s="5">
        <f>IFERROR(__xludf.DUMMYFUNCTION("""COMPUTED_VALUE"""),3971.0)</f>
        <v>3971</v>
      </c>
    </row>
    <row r="141">
      <c r="A141" s="4">
        <f>IFERROR(__xludf.DUMMYFUNCTION("""COMPUTED_VALUE"""),42509.0)</f>
        <v>42509</v>
      </c>
      <c r="B141" s="5">
        <f>IFERROR(__xludf.DUMMYFUNCTION("""COMPUTED_VALUE"""),3805.0)</f>
        <v>3805</v>
      </c>
      <c r="C141" s="6">
        <f>IFERROR(__xludf.DUMMYFUNCTION("""COMPUTED_VALUE"""),0.4758)</f>
        <v>0.4758</v>
      </c>
      <c r="D141" s="2">
        <f>IFERROR(__xludf.DUMMYFUNCTION("""COMPUTED_VALUE"""),0.0010763888888888889)</f>
        <v>0.001076388889</v>
      </c>
      <c r="E141" s="1">
        <f>IFERROR(__xludf.DUMMYFUNCTION("""COMPUTED_VALUE"""),1.06)</f>
        <v>1.06</v>
      </c>
      <c r="F141" s="1">
        <f>IFERROR(__xludf.DUMMYFUNCTION("""COMPUTED_VALUE"""),4.76)</f>
        <v>4.76</v>
      </c>
      <c r="G141" s="5">
        <f>IFERROR(__xludf.DUMMYFUNCTION("""COMPUTED_VALUE"""),19162.0)</f>
        <v>19162</v>
      </c>
      <c r="H141" s="5">
        <f>IFERROR(__xludf.DUMMYFUNCTION("""COMPUTED_VALUE"""),4027.0)</f>
        <v>4027</v>
      </c>
    </row>
    <row r="142">
      <c r="A142" s="4">
        <f>IFERROR(__xludf.DUMMYFUNCTION("""COMPUTED_VALUE"""),42510.0)</f>
        <v>42510</v>
      </c>
      <c r="B142" s="5">
        <f>IFERROR(__xludf.DUMMYFUNCTION("""COMPUTED_VALUE"""),3624.0)</f>
        <v>3624</v>
      </c>
      <c r="C142" s="6">
        <f>IFERROR(__xludf.DUMMYFUNCTION("""COMPUTED_VALUE"""),0.4514)</f>
        <v>0.4514</v>
      </c>
      <c r="D142" s="2">
        <f>IFERROR(__xludf.DUMMYFUNCTION("""COMPUTED_VALUE"""),0.0016319444444444445)</f>
        <v>0.001631944444</v>
      </c>
      <c r="E142" s="1">
        <f>IFERROR(__xludf.DUMMYFUNCTION("""COMPUTED_VALUE"""),1.06)</f>
        <v>1.06</v>
      </c>
      <c r="F142" s="1">
        <f>IFERROR(__xludf.DUMMYFUNCTION("""COMPUTED_VALUE"""),5.4)</f>
        <v>5.4</v>
      </c>
      <c r="G142" s="5">
        <f>IFERROR(__xludf.DUMMYFUNCTION("""COMPUTED_VALUE"""),20759.0)</f>
        <v>20759</v>
      </c>
      <c r="H142" s="5">
        <f>IFERROR(__xludf.DUMMYFUNCTION("""COMPUTED_VALUE"""),3846.0)</f>
        <v>3846</v>
      </c>
    </row>
    <row r="143">
      <c r="A143" s="4">
        <f>IFERROR(__xludf.DUMMYFUNCTION("""COMPUTED_VALUE"""),42511.0)</f>
        <v>42511</v>
      </c>
      <c r="B143" s="5">
        <f>IFERROR(__xludf.DUMMYFUNCTION("""COMPUTED_VALUE"""),2888.0)</f>
        <v>2888</v>
      </c>
      <c r="C143" s="6">
        <f>IFERROR(__xludf.DUMMYFUNCTION("""COMPUTED_VALUE"""),0.4351)</f>
        <v>0.4351</v>
      </c>
      <c r="D143" s="2">
        <f>IFERROR(__xludf.DUMMYFUNCTION("""COMPUTED_VALUE"""),0.0012152777777777778)</f>
        <v>0.001215277778</v>
      </c>
      <c r="E143" s="1">
        <f>IFERROR(__xludf.DUMMYFUNCTION("""COMPUTED_VALUE"""),1.04)</f>
        <v>1.04</v>
      </c>
      <c r="F143" s="1">
        <f>IFERROR(__xludf.DUMMYFUNCTION("""COMPUTED_VALUE"""),5.12)</f>
        <v>5.12</v>
      </c>
      <c r="G143" s="5">
        <f>IFERROR(__xludf.DUMMYFUNCTION("""COMPUTED_VALUE"""),15343.0)</f>
        <v>15343</v>
      </c>
      <c r="H143" s="5">
        <f>IFERROR(__xludf.DUMMYFUNCTION("""COMPUTED_VALUE"""),2999.0)</f>
        <v>2999</v>
      </c>
    </row>
    <row r="144">
      <c r="A144" s="4">
        <f>IFERROR(__xludf.DUMMYFUNCTION("""COMPUTED_VALUE"""),42512.0)</f>
        <v>42512</v>
      </c>
      <c r="B144" s="5">
        <f>IFERROR(__xludf.DUMMYFUNCTION("""COMPUTED_VALUE"""),2888.0)</f>
        <v>2888</v>
      </c>
      <c r="C144" s="6">
        <f>IFERROR(__xludf.DUMMYFUNCTION("""COMPUTED_VALUE"""),0.5207)</f>
        <v>0.5207</v>
      </c>
      <c r="D144" s="2">
        <f>IFERROR(__xludf.DUMMYFUNCTION("""COMPUTED_VALUE"""),0.0012037037037037038)</f>
        <v>0.001203703704</v>
      </c>
      <c r="E144" s="1">
        <f>IFERROR(__xludf.DUMMYFUNCTION("""COMPUTED_VALUE"""),1.04)</f>
        <v>1.04</v>
      </c>
      <c r="F144" s="1">
        <f>IFERROR(__xludf.DUMMYFUNCTION("""COMPUTED_VALUE"""),4.64)</f>
        <v>4.64</v>
      </c>
      <c r="G144" s="5">
        <f>IFERROR(__xludf.DUMMYFUNCTION("""COMPUTED_VALUE"""),13983.0)</f>
        <v>13983</v>
      </c>
      <c r="H144" s="5">
        <f>IFERROR(__xludf.DUMMYFUNCTION("""COMPUTED_VALUE"""),3013.0)</f>
        <v>3013</v>
      </c>
    </row>
    <row r="145">
      <c r="A145" s="4">
        <f>IFERROR(__xludf.DUMMYFUNCTION("""COMPUTED_VALUE"""),42513.0)</f>
        <v>42513</v>
      </c>
      <c r="B145" s="5">
        <f>IFERROR(__xludf.DUMMYFUNCTION("""COMPUTED_VALUE"""),3721.0)</f>
        <v>3721</v>
      </c>
      <c r="C145" s="6">
        <f>IFERROR(__xludf.DUMMYFUNCTION("""COMPUTED_VALUE"""),0.4662)</f>
        <v>0.4662</v>
      </c>
      <c r="D145" s="2">
        <f>IFERROR(__xludf.DUMMYFUNCTION("""COMPUTED_VALUE"""),0.0015046296296296296)</f>
        <v>0.00150462963</v>
      </c>
      <c r="E145" s="1">
        <f>IFERROR(__xludf.DUMMYFUNCTION("""COMPUTED_VALUE"""),1.05)</f>
        <v>1.05</v>
      </c>
      <c r="F145" s="1">
        <f>IFERROR(__xludf.DUMMYFUNCTION("""COMPUTED_VALUE"""),5.54)</f>
        <v>5.54</v>
      </c>
      <c r="G145" s="5">
        <f>IFERROR(__xludf.DUMMYFUNCTION("""COMPUTED_VALUE"""),21620.0)</f>
        <v>21620</v>
      </c>
      <c r="H145" s="5">
        <f>IFERROR(__xludf.DUMMYFUNCTION("""COMPUTED_VALUE"""),3902.0)</f>
        <v>3902</v>
      </c>
    </row>
    <row r="146">
      <c r="A146" s="4">
        <f>IFERROR(__xludf.DUMMYFUNCTION("""COMPUTED_VALUE"""),42514.0)</f>
        <v>42514</v>
      </c>
      <c r="B146" s="5">
        <f>IFERROR(__xludf.DUMMYFUNCTION("""COMPUTED_VALUE"""),3680.0)</f>
        <v>3680</v>
      </c>
      <c r="C146" s="6">
        <f>IFERROR(__xludf.DUMMYFUNCTION("""COMPUTED_VALUE"""),0.4501)</f>
        <v>0.4501</v>
      </c>
      <c r="D146" s="2">
        <f>IFERROR(__xludf.DUMMYFUNCTION("""COMPUTED_VALUE"""),0.0012962962962962963)</f>
        <v>0.001296296296</v>
      </c>
      <c r="E146" s="1">
        <f>IFERROR(__xludf.DUMMYFUNCTION("""COMPUTED_VALUE"""),1.06)</f>
        <v>1.06</v>
      </c>
      <c r="F146" s="1">
        <f>IFERROR(__xludf.DUMMYFUNCTION("""COMPUTED_VALUE"""),5.27)</f>
        <v>5.27</v>
      </c>
      <c r="G146" s="5">
        <f>IFERROR(__xludf.DUMMYFUNCTION("""COMPUTED_VALUE"""),20495.0)</f>
        <v>20495</v>
      </c>
      <c r="H146" s="5">
        <f>IFERROR(__xludf.DUMMYFUNCTION("""COMPUTED_VALUE"""),3888.0)</f>
        <v>3888</v>
      </c>
    </row>
    <row r="147">
      <c r="A147" s="4">
        <f>IFERROR(__xludf.DUMMYFUNCTION("""COMPUTED_VALUE"""),42515.0)</f>
        <v>42515</v>
      </c>
      <c r="B147" s="5">
        <f>IFERROR(__xludf.DUMMYFUNCTION("""COMPUTED_VALUE"""),3513.0)</f>
        <v>3513</v>
      </c>
      <c r="C147" s="6">
        <f>IFERROR(__xludf.DUMMYFUNCTION("""COMPUTED_VALUE"""),0.4281)</f>
        <v>0.4281</v>
      </c>
      <c r="D147" s="2">
        <f>IFERROR(__xludf.DUMMYFUNCTION("""COMPUTED_VALUE"""),0.0019444444444444444)</f>
        <v>0.001944444444</v>
      </c>
      <c r="E147" s="1">
        <f>IFERROR(__xludf.DUMMYFUNCTION("""COMPUTED_VALUE"""),1.07)</f>
        <v>1.07</v>
      </c>
      <c r="F147" s="1">
        <f>IFERROR(__xludf.DUMMYFUNCTION("""COMPUTED_VALUE"""),6.94)</f>
        <v>6.94</v>
      </c>
      <c r="G147" s="5">
        <f>IFERROR(__xludf.DUMMYFUNCTION("""COMPUTED_VALUE"""),26118.0)</f>
        <v>26118</v>
      </c>
      <c r="H147" s="5">
        <f>IFERROR(__xludf.DUMMYFUNCTION("""COMPUTED_VALUE"""),3763.0)</f>
        <v>3763</v>
      </c>
    </row>
    <row r="148">
      <c r="A148" s="4">
        <f>IFERROR(__xludf.DUMMYFUNCTION("""COMPUTED_VALUE"""),42516.0)</f>
        <v>42516</v>
      </c>
      <c r="B148" s="5">
        <f>IFERROR(__xludf.DUMMYFUNCTION("""COMPUTED_VALUE"""),3291.0)</f>
        <v>3291</v>
      </c>
      <c r="C148" s="6">
        <f>IFERROR(__xludf.DUMMYFUNCTION("""COMPUTED_VALUE"""),0.4803)</f>
        <v>0.4803</v>
      </c>
      <c r="D148" s="2">
        <f>IFERROR(__xludf.DUMMYFUNCTION("""COMPUTED_VALUE"""),0.0011226851851851851)</f>
        <v>0.001122685185</v>
      </c>
      <c r="E148" s="1">
        <f>IFERROR(__xludf.DUMMYFUNCTION("""COMPUTED_VALUE"""),1.07)</f>
        <v>1.07</v>
      </c>
      <c r="F148" s="1">
        <f>IFERROR(__xludf.DUMMYFUNCTION("""COMPUTED_VALUE"""),4.41)</f>
        <v>4.41</v>
      </c>
      <c r="G148" s="5">
        <f>IFERROR(__xludf.DUMMYFUNCTION("""COMPUTED_VALUE"""),15552.0)</f>
        <v>15552</v>
      </c>
      <c r="H148" s="5">
        <f>IFERROR(__xludf.DUMMYFUNCTION("""COMPUTED_VALUE"""),3527.0)</f>
        <v>3527</v>
      </c>
    </row>
    <row r="149">
      <c r="A149" s="4">
        <f>IFERROR(__xludf.DUMMYFUNCTION("""COMPUTED_VALUE"""),42517.0)</f>
        <v>42517</v>
      </c>
      <c r="B149" s="5">
        <f>IFERROR(__xludf.DUMMYFUNCTION("""COMPUTED_VALUE"""),3069.0)</f>
        <v>3069</v>
      </c>
      <c r="C149" s="6">
        <f>IFERROR(__xludf.DUMMYFUNCTION("""COMPUTED_VALUE"""),0.3974)</f>
        <v>0.3974</v>
      </c>
      <c r="D149" s="2">
        <f>IFERROR(__xludf.DUMMYFUNCTION("""COMPUTED_VALUE"""),0.001736111111111111)</f>
        <v>0.001736111111</v>
      </c>
      <c r="E149" s="1">
        <f>IFERROR(__xludf.DUMMYFUNCTION("""COMPUTED_VALUE"""),1.06)</f>
        <v>1.06</v>
      </c>
      <c r="F149" s="1">
        <f>IFERROR(__xludf.DUMMYFUNCTION("""COMPUTED_VALUE"""),6.15)</f>
        <v>6.15</v>
      </c>
      <c r="G149" s="5">
        <f>IFERROR(__xludf.DUMMYFUNCTION("""COMPUTED_VALUE"""),19981.0)</f>
        <v>19981</v>
      </c>
      <c r="H149" s="5">
        <f>IFERROR(__xludf.DUMMYFUNCTION("""COMPUTED_VALUE"""),3249.0)</f>
        <v>3249</v>
      </c>
    </row>
    <row r="150">
      <c r="A150" s="4">
        <f>IFERROR(__xludf.DUMMYFUNCTION("""COMPUTED_VALUE"""),42518.0)</f>
        <v>42518</v>
      </c>
      <c r="B150" s="5">
        <f>IFERROR(__xludf.DUMMYFUNCTION("""COMPUTED_VALUE"""),2430.0)</f>
        <v>2430</v>
      </c>
      <c r="C150" s="6">
        <f>IFERROR(__xludf.DUMMYFUNCTION("""COMPUTED_VALUE"""),0.4623)</f>
        <v>0.4623</v>
      </c>
      <c r="D150" s="2">
        <f>IFERROR(__xludf.DUMMYFUNCTION("""COMPUTED_VALUE"""),0.0018287037037037037)</f>
        <v>0.001828703704</v>
      </c>
      <c r="E150" s="1">
        <f>IFERROR(__xludf.DUMMYFUNCTION("""COMPUTED_VALUE"""),1.06)</f>
        <v>1.06</v>
      </c>
      <c r="F150" s="1">
        <f>IFERROR(__xludf.DUMMYFUNCTION("""COMPUTED_VALUE"""),4.66)</f>
        <v>4.66</v>
      </c>
      <c r="G150" s="5">
        <f>IFERROR(__xludf.DUMMYFUNCTION("""COMPUTED_VALUE"""),12025.0)</f>
        <v>12025</v>
      </c>
      <c r="H150" s="5">
        <f>IFERROR(__xludf.DUMMYFUNCTION("""COMPUTED_VALUE"""),2583.0)</f>
        <v>2583</v>
      </c>
    </row>
    <row r="151">
      <c r="A151" s="4">
        <f>IFERROR(__xludf.DUMMYFUNCTION("""COMPUTED_VALUE"""),42519.0)</f>
        <v>42519</v>
      </c>
      <c r="B151" s="5">
        <f>IFERROR(__xludf.DUMMYFUNCTION("""COMPUTED_VALUE"""),2708.0)</f>
        <v>2708</v>
      </c>
      <c r="C151" s="6">
        <f>IFERROR(__xludf.DUMMYFUNCTION("""COMPUTED_VALUE"""),0.5073)</f>
        <v>0.5073</v>
      </c>
      <c r="D151" s="2">
        <f>IFERROR(__xludf.DUMMYFUNCTION("""COMPUTED_VALUE"""),8.217592592592593E-4)</f>
        <v>0.0008217592593</v>
      </c>
      <c r="E151" s="1">
        <f>IFERROR(__xludf.DUMMYFUNCTION("""COMPUTED_VALUE"""),1.03)</f>
        <v>1.03</v>
      </c>
      <c r="F151" s="1">
        <f>IFERROR(__xludf.DUMMYFUNCTION("""COMPUTED_VALUE"""),3.39)</f>
        <v>3.39</v>
      </c>
      <c r="G151" s="5">
        <f>IFERROR(__xludf.DUMMYFUNCTION("""COMPUTED_VALUE"""),9470.0)</f>
        <v>9470</v>
      </c>
      <c r="H151" s="5">
        <f>IFERROR(__xludf.DUMMYFUNCTION("""COMPUTED_VALUE"""),2791.0)</f>
        <v>2791</v>
      </c>
    </row>
    <row r="152">
      <c r="A152" s="4">
        <f>IFERROR(__xludf.DUMMYFUNCTION("""COMPUTED_VALUE"""),42520.0)</f>
        <v>42520</v>
      </c>
      <c r="B152" s="5">
        <f>IFERROR(__xludf.DUMMYFUNCTION("""COMPUTED_VALUE"""),3013.0)</f>
        <v>3013</v>
      </c>
      <c r="C152" s="6">
        <f>IFERROR(__xludf.DUMMYFUNCTION("""COMPUTED_VALUE"""),0.482)</f>
        <v>0.482</v>
      </c>
      <c r="D152" s="2">
        <f>IFERROR(__xludf.DUMMYFUNCTION("""COMPUTED_VALUE"""),0.0013657407407407407)</f>
        <v>0.001365740741</v>
      </c>
      <c r="E152" s="1">
        <f>IFERROR(__xludf.DUMMYFUNCTION("""COMPUTED_VALUE"""),1.02)</f>
        <v>1.02</v>
      </c>
      <c r="F152" s="1">
        <f>IFERROR(__xludf.DUMMYFUNCTION("""COMPUTED_VALUE"""),4.73)</f>
        <v>4.73</v>
      </c>
      <c r="G152" s="5">
        <f>IFERROR(__xludf.DUMMYFUNCTION("""COMPUTED_VALUE"""),14594.0)</f>
        <v>14594</v>
      </c>
      <c r="H152" s="5">
        <f>IFERROR(__xludf.DUMMYFUNCTION("""COMPUTED_VALUE"""),3083.0)</f>
        <v>3083</v>
      </c>
    </row>
    <row r="153">
      <c r="A153" s="4">
        <f>IFERROR(__xludf.DUMMYFUNCTION("""COMPUTED_VALUE"""),42521.0)</f>
        <v>42521</v>
      </c>
      <c r="B153" s="5">
        <f>IFERROR(__xludf.DUMMYFUNCTION("""COMPUTED_VALUE"""),3430.0)</f>
        <v>3430</v>
      </c>
      <c r="C153" s="6">
        <f>IFERROR(__xludf.DUMMYFUNCTION("""COMPUTED_VALUE"""),0.4752)</f>
        <v>0.4752</v>
      </c>
      <c r="D153" s="2">
        <f>IFERROR(__xludf.DUMMYFUNCTION("""COMPUTED_VALUE"""),9.953703703703704E-4)</f>
        <v>0.0009953703704</v>
      </c>
      <c r="E153" s="1">
        <f>IFERROR(__xludf.DUMMYFUNCTION("""COMPUTED_VALUE"""),1.06)</f>
        <v>1.06</v>
      </c>
      <c r="F153" s="1">
        <f>IFERROR(__xludf.DUMMYFUNCTION("""COMPUTED_VALUE"""),4.36)</f>
        <v>4.36</v>
      </c>
      <c r="G153" s="5">
        <f>IFERROR(__xludf.DUMMYFUNCTION("""COMPUTED_VALUE"""),15788.0)</f>
        <v>15788</v>
      </c>
      <c r="H153" s="5">
        <f>IFERROR(__xludf.DUMMYFUNCTION("""COMPUTED_VALUE"""),3624.0)</f>
        <v>3624</v>
      </c>
    </row>
    <row r="154">
      <c r="A154" s="4">
        <f>IFERROR(__xludf.DUMMYFUNCTION("""COMPUTED_VALUE"""),42522.0)</f>
        <v>42522</v>
      </c>
      <c r="B154" s="5">
        <f>IFERROR(__xludf.DUMMYFUNCTION("""COMPUTED_VALUE"""),3360.0)</f>
        <v>3360</v>
      </c>
      <c r="C154" s="6">
        <f>IFERROR(__xludf.DUMMYFUNCTION("""COMPUTED_VALUE"""),0.4693)</f>
        <v>0.4693</v>
      </c>
      <c r="D154" s="2">
        <f>IFERROR(__xludf.DUMMYFUNCTION("""COMPUTED_VALUE"""),0.0012731481481481483)</f>
        <v>0.001273148148</v>
      </c>
      <c r="E154" s="1">
        <f>IFERROR(__xludf.DUMMYFUNCTION("""COMPUTED_VALUE"""),1.07)</f>
        <v>1.07</v>
      </c>
      <c r="F154" s="1">
        <f>IFERROR(__xludf.DUMMYFUNCTION("""COMPUTED_VALUE"""),5.0)</f>
        <v>5</v>
      </c>
      <c r="G154" s="5">
        <f>IFERROR(__xludf.DUMMYFUNCTION("""COMPUTED_VALUE"""),18037.0)</f>
        <v>18037</v>
      </c>
      <c r="H154" s="5">
        <f>IFERROR(__xludf.DUMMYFUNCTION("""COMPUTED_VALUE"""),3610.0)</f>
        <v>3610</v>
      </c>
    </row>
    <row r="155">
      <c r="A155" s="4">
        <f>IFERROR(__xludf.DUMMYFUNCTION("""COMPUTED_VALUE"""),42523.0)</f>
        <v>42523</v>
      </c>
      <c r="B155" s="5">
        <f>IFERROR(__xludf.DUMMYFUNCTION("""COMPUTED_VALUE"""),3277.0)</f>
        <v>3277</v>
      </c>
      <c r="C155" s="6">
        <f>IFERROR(__xludf.DUMMYFUNCTION("""COMPUTED_VALUE"""),0.383)</f>
        <v>0.383</v>
      </c>
      <c r="D155" s="2">
        <f>IFERROR(__xludf.DUMMYFUNCTION("""COMPUTED_VALUE"""),0.0016666666666666668)</f>
        <v>0.001666666667</v>
      </c>
      <c r="E155" s="1">
        <f>IFERROR(__xludf.DUMMYFUNCTION("""COMPUTED_VALUE"""),1.05)</f>
        <v>1.05</v>
      </c>
      <c r="F155" s="1">
        <f>IFERROR(__xludf.DUMMYFUNCTION("""COMPUTED_VALUE"""),6.35)</f>
        <v>6.35</v>
      </c>
      <c r="G155" s="5">
        <f>IFERROR(__xludf.DUMMYFUNCTION("""COMPUTED_VALUE"""),21869.0)</f>
        <v>21869</v>
      </c>
      <c r="H155" s="5">
        <f>IFERROR(__xludf.DUMMYFUNCTION("""COMPUTED_VALUE"""),3444.0)</f>
        <v>3444</v>
      </c>
    </row>
    <row r="156">
      <c r="A156" s="4">
        <f>IFERROR(__xludf.DUMMYFUNCTION("""COMPUTED_VALUE"""),42524.0)</f>
        <v>42524</v>
      </c>
      <c r="B156" s="5">
        <f>IFERROR(__xludf.DUMMYFUNCTION("""COMPUTED_VALUE"""),3235.0)</f>
        <v>3235</v>
      </c>
      <c r="C156" s="6">
        <f>IFERROR(__xludf.DUMMYFUNCTION("""COMPUTED_VALUE"""),0.447)</f>
        <v>0.447</v>
      </c>
      <c r="D156" s="2">
        <f>IFERROR(__xludf.DUMMYFUNCTION("""COMPUTED_VALUE"""),0.001238425925925926)</f>
        <v>0.001238425926</v>
      </c>
      <c r="E156" s="1">
        <f>IFERROR(__xludf.DUMMYFUNCTION("""COMPUTED_VALUE"""),1.09)</f>
        <v>1.09</v>
      </c>
      <c r="F156" s="1">
        <f>IFERROR(__xludf.DUMMYFUNCTION("""COMPUTED_VALUE"""),4.67)</f>
        <v>4.67</v>
      </c>
      <c r="G156" s="5">
        <f>IFERROR(__xludf.DUMMYFUNCTION("""COMPUTED_VALUE"""),16551.0)</f>
        <v>16551</v>
      </c>
      <c r="H156" s="5">
        <f>IFERROR(__xludf.DUMMYFUNCTION("""COMPUTED_VALUE"""),3541.0)</f>
        <v>3541</v>
      </c>
    </row>
    <row r="157">
      <c r="A157" s="4">
        <f>IFERROR(__xludf.DUMMYFUNCTION("""COMPUTED_VALUE"""),42525.0)</f>
        <v>42525</v>
      </c>
      <c r="B157" s="5">
        <f>IFERROR(__xludf.DUMMYFUNCTION("""COMPUTED_VALUE"""),2999.0)</f>
        <v>2999</v>
      </c>
      <c r="C157" s="6">
        <f>IFERROR(__xludf.DUMMYFUNCTION("""COMPUTED_VALUE"""),0.4912)</f>
        <v>0.4912</v>
      </c>
      <c r="D157" s="2">
        <f>IFERROR(__xludf.DUMMYFUNCTION("""COMPUTED_VALUE"""),0.0010185185185185184)</f>
        <v>0.001018518519</v>
      </c>
      <c r="E157" s="1">
        <f>IFERROR(__xludf.DUMMYFUNCTION("""COMPUTED_VALUE"""),1.07)</f>
        <v>1.07</v>
      </c>
      <c r="F157" s="1">
        <f>IFERROR(__xludf.DUMMYFUNCTION("""COMPUTED_VALUE"""),4.29)</f>
        <v>4.29</v>
      </c>
      <c r="G157" s="5">
        <f>IFERROR(__xludf.DUMMYFUNCTION("""COMPUTED_VALUE"""),13691.0)</f>
        <v>13691</v>
      </c>
      <c r="H157" s="5">
        <f>IFERROR(__xludf.DUMMYFUNCTION("""COMPUTED_VALUE"""),3194.0)</f>
        <v>3194</v>
      </c>
    </row>
    <row r="158">
      <c r="A158" s="4">
        <f>IFERROR(__xludf.DUMMYFUNCTION("""COMPUTED_VALUE"""),42526.0)</f>
        <v>42526</v>
      </c>
      <c r="B158" s="5">
        <f>IFERROR(__xludf.DUMMYFUNCTION("""COMPUTED_VALUE"""),2833.0)</f>
        <v>2833</v>
      </c>
      <c r="C158" s="6">
        <f>IFERROR(__xludf.DUMMYFUNCTION("""COMPUTED_VALUE"""),0.4785)</f>
        <v>0.4785</v>
      </c>
      <c r="D158" s="2">
        <f>IFERROR(__xludf.DUMMYFUNCTION("""COMPUTED_VALUE"""),0.0012268518518518518)</f>
        <v>0.001226851852</v>
      </c>
      <c r="E158" s="1">
        <f>IFERROR(__xludf.DUMMYFUNCTION("""COMPUTED_VALUE"""),1.03)</f>
        <v>1.03</v>
      </c>
      <c r="F158" s="1">
        <f>IFERROR(__xludf.DUMMYFUNCTION("""COMPUTED_VALUE"""),5.37)</f>
        <v>5.37</v>
      </c>
      <c r="G158" s="5">
        <f>IFERROR(__xludf.DUMMYFUNCTION("""COMPUTED_VALUE"""),15746.0)</f>
        <v>15746</v>
      </c>
      <c r="H158" s="5">
        <f>IFERROR(__xludf.DUMMYFUNCTION("""COMPUTED_VALUE"""),2930.0)</f>
        <v>2930</v>
      </c>
    </row>
    <row r="159">
      <c r="A159" s="4">
        <f>IFERROR(__xludf.DUMMYFUNCTION("""COMPUTED_VALUE"""),42527.0)</f>
        <v>42527</v>
      </c>
      <c r="B159" s="5">
        <f>IFERROR(__xludf.DUMMYFUNCTION("""COMPUTED_VALUE"""),3388.0)</f>
        <v>3388</v>
      </c>
      <c r="C159" s="6">
        <f>IFERROR(__xludf.DUMMYFUNCTION("""COMPUTED_VALUE"""),0.4803)</f>
        <v>0.4803</v>
      </c>
      <c r="D159" s="2">
        <f>IFERROR(__xludf.DUMMYFUNCTION("""COMPUTED_VALUE"""),9.837962962962962E-4)</f>
        <v>0.0009837962963</v>
      </c>
      <c r="E159" s="1">
        <f>IFERROR(__xludf.DUMMYFUNCTION("""COMPUTED_VALUE"""),1.04)</f>
        <v>1.04</v>
      </c>
      <c r="F159" s="1">
        <f>IFERROR(__xludf.DUMMYFUNCTION("""COMPUTED_VALUE"""),4.52)</f>
        <v>4.52</v>
      </c>
      <c r="G159" s="5">
        <f>IFERROR(__xludf.DUMMYFUNCTION("""COMPUTED_VALUE"""),15954.0)</f>
        <v>15954</v>
      </c>
      <c r="H159" s="5">
        <f>IFERROR(__xludf.DUMMYFUNCTION("""COMPUTED_VALUE"""),3527.0)</f>
        <v>3527</v>
      </c>
    </row>
    <row r="160">
      <c r="A160" s="4">
        <f>IFERROR(__xludf.DUMMYFUNCTION("""COMPUTED_VALUE"""),42528.0)</f>
        <v>42528</v>
      </c>
      <c r="B160" s="5">
        <f>IFERROR(__xludf.DUMMYFUNCTION("""COMPUTED_VALUE"""),3485.0)</f>
        <v>3485</v>
      </c>
      <c r="C160" s="6">
        <f>IFERROR(__xludf.DUMMYFUNCTION("""COMPUTED_VALUE"""),0.3901)</f>
        <v>0.3901</v>
      </c>
      <c r="D160" s="2">
        <f>IFERROR(__xludf.DUMMYFUNCTION("""COMPUTED_VALUE"""),0.0013310185185185185)</f>
        <v>0.001331018519</v>
      </c>
      <c r="E160" s="1">
        <f>IFERROR(__xludf.DUMMYFUNCTION("""COMPUTED_VALUE"""),1.05)</f>
        <v>1.05</v>
      </c>
      <c r="F160" s="1">
        <f>IFERROR(__xludf.DUMMYFUNCTION("""COMPUTED_VALUE"""),5.51)</f>
        <v>5.51</v>
      </c>
      <c r="G160" s="5">
        <f>IFERROR(__xludf.DUMMYFUNCTION("""COMPUTED_VALUE"""),20203.0)</f>
        <v>20203</v>
      </c>
      <c r="H160" s="5">
        <f>IFERROR(__xludf.DUMMYFUNCTION("""COMPUTED_VALUE"""),3666.0)</f>
        <v>3666</v>
      </c>
    </row>
    <row r="161">
      <c r="A161" s="4">
        <f>IFERROR(__xludf.DUMMYFUNCTION("""COMPUTED_VALUE"""),42529.0)</f>
        <v>42529</v>
      </c>
      <c r="B161" s="5">
        <f>IFERROR(__xludf.DUMMYFUNCTION("""COMPUTED_VALUE"""),3457.0)</f>
        <v>3457</v>
      </c>
      <c r="C161" s="6">
        <f>IFERROR(__xludf.DUMMYFUNCTION("""COMPUTED_VALUE"""),0.4213)</f>
        <v>0.4213</v>
      </c>
      <c r="D161" s="2">
        <f>IFERROR(__xludf.DUMMYFUNCTION("""COMPUTED_VALUE"""),0.0012847222222222223)</f>
        <v>0.001284722222</v>
      </c>
      <c r="E161" s="1">
        <f>IFERROR(__xludf.DUMMYFUNCTION("""COMPUTED_VALUE"""),1.12)</f>
        <v>1.12</v>
      </c>
      <c r="F161" s="1">
        <f>IFERROR(__xludf.DUMMYFUNCTION("""COMPUTED_VALUE"""),4.86)</f>
        <v>4.86</v>
      </c>
      <c r="G161" s="5">
        <f>IFERROR(__xludf.DUMMYFUNCTION("""COMPUTED_VALUE"""),18912.0)</f>
        <v>18912</v>
      </c>
      <c r="H161" s="5">
        <f>IFERROR(__xludf.DUMMYFUNCTION("""COMPUTED_VALUE"""),3888.0)</f>
        <v>3888</v>
      </c>
    </row>
    <row r="162">
      <c r="A162" s="4">
        <f>IFERROR(__xludf.DUMMYFUNCTION("""COMPUTED_VALUE"""),42530.0)</f>
        <v>42530</v>
      </c>
      <c r="B162" s="5">
        <f>IFERROR(__xludf.DUMMYFUNCTION("""COMPUTED_VALUE"""),3569.0)</f>
        <v>3569</v>
      </c>
      <c r="C162" s="6">
        <f>IFERROR(__xludf.DUMMYFUNCTION("""COMPUTED_VALUE"""),0.4021)</f>
        <v>0.4021</v>
      </c>
      <c r="D162" s="2">
        <f>IFERROR(__xludf.DUMMYFUNCTION("""COMPUTED_VALUE"""),0.0015972222222222223)</f>
        <v>0.001597222222</v>
      </c>
      <c r="E162" s="1">
        <f>IFERROR(__xludf.DUMMYFUNCTION("""COMPUTED_VALUE"""),1.07)</f>
        <v>1.07</v>
      </c>
      <c r="F162" s="1">
        <f>IFERROR(__xludf.DUMMYFUNCTION("""COMPUTED_VALUE"""),5.57)</f>
        <v>5.57</v>
      </c>
      <c r="G162" s="5">
        <f>IFERROR(__xludf.DUMMYFUNCTION("""COMPUTED_VALUE"""),21328.0)</f>
        <v>21328</v>
      </c>
      <c r="H162" s="5">
        <f>IFERROR(__xludf.DUMMYFUNCTION("""COMPUTED_VALUE"""),3832.0)</f>
        <v>3832</v>
      </c>
    </row>
    <row r="163">
      <c r="A163" s="4">
        <f>IFERROR(__xludf.DUMMYFUNCTION("""COMPUTED_VALUE"""),42531.0)</f>
        <v>42531</v>
      </c>
      <c r="B163" s="5">
        <f>IFERROR(__xludf.DUMMYFUNCTION("""COMPUTED_VALUE"""),3319.0)</f>
        <v>3319</v>
      </c>
      <c r="C163" s="6">
        <f>IFERROR(__xludf.DUMMYFUNCTION("""COMPUTED_VALUE"""),0.4218)</f>
        <v>0.4218</v>
      </c>
      <c r="D163" s="2">
        <f>IFERROR(__xludf.DUMMYFUNCTION("""COMPUTED_VALUE"""),0.0015393518518518519)</f>
        <v>0.001539351852</v>
      </c>
      <c r="E163" s="1">
        <f>IFERROR(__xludf.DUMMYFUNCTION("""COMPUTED_VALUE"""),1.04)</f>
        <v>1.04</v>
      </c>
      <c r="F163" s="1">
        <f>IFERROR(__xludf.DUMMYFUNCTION("""COMPUTED_VALUE"""),5.08)</f>
        <v>5.08</v>
      </c>
      <c r="G163" s="5">
        <f>IFERROR(__xludf.DUMMYFUNCTION("""COMPUTED_VALUE"""),17551.0)</f>
        <v>17551</v>
      </c>
      <c r="H163" s="5">
        <f>IFERROR(__xludf.DUMMYFUNCTION("""COMPUTED_VALUE"""),3457.0)</f>
        <v>3457</v>
      </c>
    </row>
    <row r="164">
      <c r="A164" s="4">
        <f>IFERROR(__xludf.DUMMYFUNCTION("""COMPUTED_VALUE"""),42532.0)</f>
        <v>42532</v>
      </c>
      <c r="B164" s="5">
        <f>IFERROR(__xludf.DUMMYFUNCTION("""COMPUTED_VALUE"""),2555.0)</f>
        <v>2555</v>
      </c>
      <c r="C164" s="6">
        <f>IFERROR(__xludf.DUMMYFUNCTION("""COMPUTED_VALUE"""),0.4148)</f>
        <v>0.4148</v>
      </c>
      <c r="D164" s="2">
        <f>IFERROR(__xludf.DUMMYFUNCTION("""COMPUTED_VALUE"""),0.0011458333333333333)</f>
        <v>0.001145833333</v>
      </c>
      <c r="E164" s="1">
        <f>IFERROR(__xludf.DUMMYFUNCTION("""COMPUTED_VALUE"""),1.09)</f>
        <v>1.09</v>
      </c>
      <c r="F164" s="1">
        <f>IFERROR(__xludf.DUMMYFUNCTION("""COMPUTED_VALUE"""),4.48)</f>
        <v>4.48</v>
      </c>
      <c r="G164" s="5">
        <f>IFERROR(__xludf.DUMMYFUNCTION("""COMPUTED_VALUE"""),12441.0)</f>
        <v>12441</v>
      </c>
      <c r="H164" s="5">
        <f>IFERROR(__xludf.DUMMYFUNCTION("""COMPUTED_VALUE"""),2777.0)</f>
        <v>2777</v>
      </c>
    </row>
    <row r="165">
      <c r="A165" s="4">
        <f>IFERROR(__xludf.DUMMYFUNCTION("""COMPUTED_VALUE"""),42533.0)</f>
        <v>42533</v>
      </c>
      <c r="B165" s="5">
        <f>IFERROR(__xludf.DUMMYFUNCTION("""COMPUTED_VALUE"""),2624.0)</f>
        <v>2624</v>
      </c>
      <c r="C165" s="6">
        <f>IFERROR(__xludf.DUMMYFUNCTION("""COMPUTED_VALUE"""),0.4826)</f>
        <v>0.4826</v>
      </c>
      <c r="D165" s="2">
        <f>IFERROR(__xludf.DUMMYFUNCTION("""COMPUTED_VALUE"""),0.0012037037037037038)</f>
        <v>0.001203703704</v>
      </c>
      <c r="E165" s="1">
        <f>IFERROR(__xludf.DUMMYFUNCTION("""COMPUTED_VALUE"""),1.06)</f>
        <v>1.06</v>
      </c>
      <c r="F165" s="1">
        <f>IFERROR(__xludf.DUMMYFUNCTION("""COMPUTED_VALUE"""),4.48)</f>
        <v>4.48</v>
      </c>
      <c r="G165" s="5">
        <f>IFERROR(__xludf.DUMMYFUNCTION("""COMPUTED_VALUE"""),12511.0)</f>
        <v>12511</v>
      </c>
      <c r="H165" s="5">
        <f>IFERROR(__xludf.DUMMYFUNCTION("""COMPUTED_VALUE"""),2791.0)</f>
        <v>2791</v>
      </c>
    </row>
    <row r="166">
      <c r="A166" s="4">
        <f>IFERROR(__xludf.DUMMYFUNCTION("""COMPUTED_VALUE"""),42534.0)</f>
        <v>42534</v>
      </c>
      <c r="B166" s="5">
        <f>IFERROR(__xludf.DUMMYFUNCTION("""COMPUTED_VALUE"""),3416.0)</f>
        <v>3416</v>
      </c>
      <c r="C166" s="6">
        <f>IFERROR(__xludf.DUMMYFUNCTION("""COMPUTED_VALUE"""),0.4544)</f>
        <v>0.4544</v>
      </c>
      <c r="D166" s="2">
        <f>IFERROR(__xludf.DUMMYFUNCTION("""COMPUTED_VALUE"""),0.00125)</f>
        <v>0.00125</v>
      </c>
      <c r="E166" s="1">
        <f>IFERROR(__xludf.DUMMYFUNCTION("""COMPUTED_VALUE"""),1.07)</f>
        <v>1.07</v>
      </c>
      <c r="F166" s="1">
        <f>IFERROR(__xludf.DUMMYFUNCTION("""COMPUTED_VALUE"""),5.18)</f>
        <v>5.18</v>
      </c>
      <c r="G166" s="5">
        <f>IFERROR(__xludf.DUMMYFUNCTION("""COMPUTED_VALUE"""),18981.0)</f>
        <v>18981</v>
      </c>
      <c r="H166" s="5">
        <f>IFERROR(__xludf.DUMMYFUNCTION("""COMPUTED_VALUE"""),3666.0)</f>
        <v>3666</v>
      </c>
    </row>
    <row r="167">
      <c r="A167" s="4">
        <f>IFERROR(__xludf.DUMMYFUNCTION("""COMPUTED_VALUE"""),42535.0)</f>
        <v>42535</v>
      </c>
      <c r="B167" s="5">
        <f>IFERROR(__xludf.DUMMYFUNCTION("""COMPUTED_VALUE"""),3332.0)</f>
        <v>3332</v>
      </c>
      <c r="C167" s="6">
        <f>IFERROR(__xludf.DUMMYFUNCTION("""COMPUTED_VALUE"""),0.4786)</f>
        <v>0.4786</v>
      </c>
      <c r="D167" s="2">
        <f>IFERROR(__xludf.DUMMYFUNCTION("""COMPUTED_VALUE"""),0.001585648148148148)</f>
        <v>0.001585648148</v>
      </c>
      <c r="E167" s="1">
        <f>IFERROR(__xludf.DUMMYFUNCTION("""COMPUTED_VALUE"""),1.07)</f>
        <v>1.07</v>
      </c>
      <c r="F167" s="1">
        <f>IFERROR(__xludf.DUMMYFUNCTION("""COMPUTED_VALUE"""),5.36)</f>
        <v>5.36</v>
      </c>
      <c r="G167" s="5">
        <f>IFERROR(__xludf.DUMMYFUNCTION("""COMPUTED_VALUE"""),19134.0)</f>
        <v>19134</v>
      </c>
      <c r="H167" s="5">
        <f>IFERROR(__xludf.DUMMYFUNCTION("""COMPUTED_VALUE"""),3569.0)</f>
        <v>3569</v>
      </c>
    </row>
    <row r="168">
      <c r="A168" s="4">
        <f>IFERROR(__xludf.DUMMYFUNCTION("""COMPUTED_VALUE"""),42536.0)</f>
        <v>42536</v>
      </c>
      <c r="B168" s="5">
        <f>IFERROR(__xludf.DUMMYFUNCTION("""COMPUTED_VALUE"""),3402.0)</f>
        <v>3402</v>
      </c>
      <c r="C168" s="6">
        <f>IFERROR(__xludf.DUMMYFUNCTION("""COMPUTED_VALUE"""),0.4463)</f>
        <v>0.4463</v>
      </c>
      <c r="D168" s="2">
        <f>IFERROR(__xludf.DUMMYFUNCTION("""COMPUTED_VALUE"""),0.0013194444444444445)</f>
        <v>0.001319444444</v>
      </c>
      <c r="E168" s="1">
        <f>IFERROR(__xludf.DUMMYFUNCTION("""COMPUTED_VALUE"""),1.06)</f>
        <v>1.06</v>
      </c>
      <c r="F168" s="1">
        <f>IFERROR(__xludf.DUMMYFUNCTION("""COMPUTED_VALUE"""),5.53)</f>
        <v>5.53</v>
      </c>
      <c r="G168" s="5">
        <f>IFERROR(__xludf.DUMMYFUNCTION("""COMPUTED_VALUE"""),19967.0)</f>
        <v>19967</v>
      </c>
      <c r="H168" s="5">
        <f>IFERROR(__xludf.DUMMYFUNCTION("""COMPUTED_VALUE"""),3610.0)</f>
        <v>3610</v>
      </c>
    </row>
    <row r="169">
      <c r="A169" s="4">
        <f>IFERROR(__xludf.DUMMYFUNCTION("""COMPUTED_VALUE"""),42537.0)</f>
        <v>42537</v>
      </c>
      <c r="B169" s="5">
        <f>IFERROR(__xludf.DUMMYFUNCTION("""COMPUTED_VALUE"""),2999.0)</f>
        <v>2999</v>
      </c>
      <c r="C169" s="6">
        <f>IFERROR(__xludf.DUMMYFUNCTION("""COMPUTED_VALUE"""),0.4136)</f>
        <v>0.4136</v>
      </c>
      <c r="D169" s="2">
        <f>IFERROR(__xludf.DUMMYFUNCTION("""COMPUTED_VALUE"""),0.0014814814814814814)</f>
        <v>0.001481481481</v>
      </c>
      <c r="E169" s="1">
        <f>IFERROR(__xludf.DUMMYFUNCTION("""COMPUTED_VALUE"""),1.1)</f>
        <v>1.1</v>
      </c>
      <c r="F169" s="1">
        <f>IFERROR(__xludf.DUMMYFUNCTION("""COMPUTED_VALUE"""),4.89)</f>
        <v>4.89</v>
      </c>
      <c r="G169" s="5">
        <f>IFERROR(__xludf.DUMMYFUNCTION("""COMPUTED_VALUE"""),16107.0)</f>
        <v>16107</v>
      </c>
      <c r="H169" s="5">
        <f>IFERROR(__xludf.DUMMYFUNCTION("""COMPUTED_VALUE"""),3291.0)</f>
        <v>3291</v>
      </c>
    </row>
    <row r="170">
      <c r="A170" s="4">
        <f>IFERROR(__xludf.DUMMYFUNCTION("""COMPUTED_VALUE"""),42538.0)</f>
        <v>42538</v>
      </c>
      <c r="B170" s="5">
        <f>IFERROR(__xludf.DUMMYFUNCTION("""COMPUTED_VALUE"""),3013.0)</f>
        <v>3013</v>
      </c>
      <c r="C170" s="6">
        <f>IFERROR(__xludf.DUMMYFUNCTION("""COMPUTED_VALUE"""),0.4594)</f>
        <v>0.4594</v>
      </c>
      <c r="D170" s="2">
        <f>IFERROR(__xludf.DUMMYFUNCTION("""COMPUTED_VALUE"""),0.0014583333333333334)</f>
        <v>0.001458333333</v>
      </c>
      <c r="E170" s="1">
        <f>IFERROR(__xludf.DUMMYFUNCTION("""COMPUTED_VALUE"""),1.07)</f>
        <v>1.07</v>
      </c>
      <c r="F170" s="1">
        <f>IFERROR(__xludf.DUMMYFUNCTION("""COMPUTED_VALUE"""),6.44)</f>
        <v>6.44</v>
      </c>
      <c r="G170" s="5">
        <f>IFERROR(__xludf.DUMMYFUNCTION("""COMPUTED_VALUE"""),20842.0)</f>
        <v>20842</v>
      </c>
      <c r="H170" s="5">
        <f>IFERROR(__xludf.DUMMYFUNCTION("""COMPUTED_VALUE"""),3235.0)</f>
        <v>3235</v>
      </c>
    </row>
    <row r="171">
      <c r="A171" s="4">
        <f>IFERROR(__xludf.DUMMYFUNCTION("""COMPUTED_VALUE"""),42539.0)</f>
        <v>42539</v>
      </c>
      <c r="B171" s="5">
        <f>IFERROR(__xludf.DUMMYFUNCTION("""COMPUTED_VALUE"""),2541.0)</f>
        <v>2541</v>
      </c>
      <c r="C171" s="6">
        <f>IFERROR(__xludf.DUMMYFUNCTION("""COMPUTED_VALUE"""),0.5794)</f>
        <v>0.5794</v>
      </c>
      <c r="D171" s="2">
        <f>IFERROR(__xludf.DUMMYFUNCTION("""COMPUTED_VALUE"""),9.606481481481482E-4)</f>
        <v>0.0009606481481</v>
      </c>
      <c r="E171" s="1">
        <f>IFERROR(__xludf.DUMMYFUNCTION("""COMPUTED_VALUE"""),1.07)</f>
        <v>1.07</v>
      </c>
      <c r="F171" s="1">
        <f>IFERROR(__xludf.DUMMYFUNCTION("""COMPUTED_VALUE"""),3.45)</f>
        <v>3.45</v>
      </c>
      <c r="G171" s="5">
        <f>IFERROR(__xludf.DUMMYFUNCTION("""COMPUTED_VALUE"""),9331.0)</f>
        <v>9331</v>
      </c>
      <c r="H171" s="5">
        <f>IFERROR(__xludf.DUMMYFUNCTION("""COMPUTED_VALUE"""),2708.0)</f>
        <v>2708</v>
      </c>
    </row>
    <row r="172">
      <c r="A172" s="4">
        <f>IFERROR(__xludf.DUMMYFUNCTION("""COMPUTED_VALUE"""),42540.0)</f>
        <v>42540</v>
      </c>
      <c r="B172" s="5">
        <f>IFERROR(__xludf.DUMMYFUNCTION("""COMPUTED_VALUE"""),2402.0)</f>
        <v>2402</v>
      </c>
      <c r="C172" s="6">
        <f>IFERROR(__xludf.DUMMYFUNCTION("""COMPUTED_VALUE"""),0.5252)</f>
        <v>0.5252</v>
      </c>
      <c r="D172" s="2">
        <f>IFERROR(__xludf.DUMMYFUNCTION("""COMPUTED_VALUE"""),0.0013657407407407407)</f>
        <v>0.001365740741</v>
      </c>
      <c r="E172" s="1">
        <f>IFERROR(__xludf.DUMMYFUNCTION("""COMPUTED_VALUE"""),1.03)</f>
        <v>1.03</v>
      </c>
      <c r="F172" s="1">
        <f>IFERROR(__xludf.DUMMYFUNCTION("""COMPUTED_VALUE"""),4.1)</f>
        <v>4.1</v>
      </c>
      <c r="G172" s="5">
        <f>IFERROR(__xludf.DUMMYFUNCTION("""COMPUTED_VALUE"""),10178.0)</f>
        <v>10178</v>
      </c>
      <c r="H172" s="5">
        <f>IFERROR(__xludf.DUMMYFUNCTION("""COMPUTED_VALUE"""),2485.0)</f>
        <v>2485</v>
      </c>
    </row>
    <row r="173">
      <c r="A173" s="4">
        <f>IFERROR(__xludf.DUMMYFUNCTION("""COMPUTED_VALUE"""),42541.0)</f>
        <v>42541</v>
      </c>
      <c r="B173" s="5">
        <f>IFERROR(__xludf.DUMMYFUNCTION("""COMPUTED_VALUE"""),2999.0)</f>
        <v>2999</v>
      </c>
      <c r="C173" s="6">
        <f>IFERROR(__xludf.DUMMYFUNCTION("""COMPUTED_VALUE"""),0.5106)</f>
        <v>0.5106</v>
      </c>
      <c r="D173" s="2">
        <f>IFERROR(__xludf.DUMMYFUNCTION("""COMPUTED_VALUE"""),0.0017013888888888888)</f>
        <v>0.001701388889</v>
      </c>
      <c r="E173" s="1">
        <f>IFERROR(__xludf.DUMMYFUNCTION("""COMPUTED_VALUE"""),1.07)</f>
        <v>1.07</v>
      </c>
      <c r="F173" s="1">
        <f>IFERROR(__xludf.DUMMYFUNCTION("""COMPUTED_VALUE"""),5.52)</f>
        <v>5.52</v>
      </c>
      <c r="G173" s="5">
        <f>IFERROR(__xludf.DUMMYFUNCTION("""COMPUTED_VALUE"""),17718.0)</f>
        <v>17718</v>
      </c>
      <c r="H173" s="5">
        <f>IFERROR(__xludf.DUMMYFUNCTION("""COMPUTED_VALUE"""),3208.0)</f>
        <v>3208</v>
      </c>
    </row>
    <row r="174">
      <c r="A174" s="4">
        <f>IFERROR(__xludf.DUMMYFUNCTION("""COMPUTED_VALUE"""),42542.0)</f>
        <v>42542</v>
      </c>
      <c r="B174" s="5">
        <f>IFERROR(__xludf.DUMMYFUNCTION("""COMPUTED_VALUE"""),2985.0)</f>
        <v>2985</v>
      </c>
      <c r="C174" s="6">
        <f>IFERROR(__xludf.DUMMYFUNCTION("""COMPUTED_VALUE"""),0.468)</f>
        <v>0.468</v>
      </c>
      <c r="D174" s="2">
        <f>IFERROR(__xludf.DUMMYFUNCTION("""COMPUTED_VALUE"""),0.0013078703703703703)</f>
        <v>0.00130787037</v>
      </c>
      <c r="E174" s="1">
        <f>IFERROR(__xludf.DUMMYFUNCTION("""COMPUTED_VALUE"""),1.09)</f>
        <v>1.09</v>
      </c>
      <c r="F174" s="1">
        <f>IFERROR(__xludf.DUMMYFUNCTION("""COMPUTED_VALUE"""),5.72)</f>
        <v>5.72</v>
      </c>
      <c r="G174" s="5">
        <f>IFERROR(__xludf.DUMMYFUNCTION("""COMPUTED_VALUE"""),18662.0)</f>
        <v>18662</v>
      </c>
      <c r="H174" s="5">
        <f>IFERROR(__xludf.DUMMYFUNCTION("""COMPUTED_VALUE"""),3263.0)</f>
        <v>3263</v>
      </c>
    </row>
    <row r="175">
      <c r="A175" s="4">
        <f>IFERROR(__xludf.DUMMYFUNCTION("""COMPUTED_VALUE"""),42543.0)</f>
        <v>42543</v>
      </c>
      <c r="B175" s="5">
        <f>IFERROR(__xludf.DUMMYFUNCTION("""COMPUTED_VALUE"""),3110.0)</f>
        <v>3110</v>
      </c>
      <c r="C175" s="6">
        <f>IFERROR(__xludf.DUMMYFUNCTION("""COMPUTED_VALUE"""),0.4644)</f>
        <v>0.4644</v>
      </c>
      <c r="D175" s="2">
        <f>IFERROR(__xludf.DUMMYFUNCTION("""COMPUTED_VALUE"""),0.0015046296296296296)</f>
        <v>0.00150462963</v>
      </c>
      <c r="E175" s="1">
        <f>IFERROR(__xludf.DUMMYFUNCTION("""COMPUTED_VALUE"""),1.13)</f>
        <v>1.13</v>
      </c>
      <c r="F175" s="1">
        <f>IFERROR(__xludf.DUMMYFUNCTION("""COMPUTED_VALUE"""),6.04)</f>
        <v>6.04</v>
      </c>
      <c r="G175" s="5">
        <f>IFERROR(__xludf.DUMMYFUNCTION("""COMPUTED_VALUE"""),21286.0)</f>
        <v>21286</v>
      </c>
      <c r="H175" s="5">
        <f>IFERROR(__xludf.DUMMYFUNCTION("""COMPUTED_VALUE"""),3527.0)</f>
        <v>3527</v>
      </c>
    </row>
    <row r="176">
      <c r="A176" s="4">
        <f>IFERROR(__xludf.DUMMYFUNCTION("""COMPUTED_VALUE"""),42544.0)</f>
        <v>42544</v>
      </c>
      <c r="B176" s="5">
        <f>IFERROR(__xludf.DUMMYFUNCTION("""COMPUTED_VALUE"""),2930.0)</f>
        <v>2930</v>
      </c>
      <c r="C176" s="6">
        <f>IFERROR(__xludf.DUMMYFUNCTION("""COMPUTED_VALUE"""),0.4622)</f>
        <v>0.4622</v>
      </c>
      <c r="D176" s="2">
        <f>IFERROR(__xludf.DUMMYFUNCTION("""COMPUTED_VALUE"""),0.0011342592592592593)</f>
        <v>0.001134259259</v>
      </c>
      <c r="E176" s="1">
        <f>IFERROR(__xludf.DUMMYFUNCTION("""COMPUTED_VALUE"""),1.07)</f>
        <v>1.07</v>
      </c>
      <c r="F176" s="1">
        <f>IFERROR(__xludf.DUMMYFUNCTION("""COMPUTED_VALUE"""),4.42)</f>
        <v>4.42</v>
      </c>
      <c r="G176" s="5">
        <f>IFERROR(__xludf.DUMMYFUNCTION("""COMPUTED_VALUE"""),13802.0)</f>
        <v>13802</v>
      </c>
      <c r="H176" s="5">
        <f>IFERROR(__xludf.DUMMYFUNCTION("""COMPUTED_VALUE"""),3124.0)</f>
        <v>3124</v>
      </c>
    </row>
    <row r="177">
      <c r="A177" s="4">
        <f>IFERROR(__xludf.DUMMYFUNCTION("""COMPUTED_VALUE"""),42545.0)</f>
        <v>42545</v>
      </c>
      <c r="B177" s="5">
        <f>IFERROR(__xludf.DUMMYFUNCTION("""COMPUTED_VALUE"""),2499.0)</f>
        <v>2499</v>
      </c>
      <c r="C177" s="6">
        <f>IFERROR(__xludf.DUMMYFUNCTION("""COMPUTED_VALUE"""),0.48)</f>
        <v>0.48</v>
      </c>
      <c r="D177" s="2">
        <f>IFERROR(__xludf.DUMMYFUNCTION("""COMPUTED_VALUE"""),0.001261574074074074)</f>
        <v>0.001261574074</v>
      </c>
      <c r="E177" s="1">
        <f>IFERROR(__xludf.DUMMYFUNCTION("""COMPUTED_VALUE"""),1.11)</f>
        <v>1.11</v>
      </c>
      <c r="F177" s="1">
        <f>IFERROR(__xludf.DUMMYFUNCTION("""COMPUTED_VALUE"""),5.48)</f>
        <v>5.48</v>
      </c>
      <c r="G177" s="5">
        <f>IFERROR(__xludf.DUMMYFUNCTION("""COMPUTED_VALUE"""),15218.0)</f>
        <v>15218</v>
      </c>
      <c r="H177" s="5">
        <f>IFERROR(__xludf.DUMMYFUNCTION("""COMPUTED_VALUE"""),2777.0)</f>
        <v>2777</v>
      </c>
    </row>
    <row r="178">
      <c r="A178" s="4">
        <f>IFERROR(__xludf.DUMMYFUNCTION("""COMPUTED_VALUE"""),42546.0)</f>
        <v>42546</v>
      </c>
      <c r="B178" s="5">
        <f>IFERROR(__xludf.DUMMYFUNCTION("""COMPUTED_VALUE"""),2138.0)</f>
        <v>2138</v>
      </c>
      <c r="C178" s="6">
        <f>IFERROR(__xludf.DUMMYFUNCTION("""COMPUTED_VALUE"""),0.5936)</f>
        <v>0.5936</v>
      </c>
      <c r="D178" s="2">
        <f>IFERROR(__xludf.DUMMYFUNCTION("""COMPUTED_VALUE"""),0.0010185185185185184)</f>
        <v>0.001018518519</v>
      </c>
      <c r="E178" s="1">
        <f>IFERROR(__xludf.DUMMYFUNCTION("""COMPUTED_VALUE"""),1.04)</f>
        <v>1.04</v>
      </c>
      <c r="F178" s="1">
        <f>IFERROR(__xludf.DUMMYFUNCTION("""COMPUTED_VALUE"""),3.96)</f>
        <v>3.96</v>
      </c>
      <c r="G178" s="5">
        <f>IFERROR(__xludf.DUMMYFUNCTION("""COMPUTED_VALUE"""),8803.0)</f>
        <v>8803</v>
      </c>
      <c r="H178" s="5">
        <f>IFERROR(__xludf.DUMMYFUNCTION("""COMPUTED_VALUE"""),2222.0)</f>
        <v>2222</v>
      </c>
    </row>
    <row r="179">
      <c r="A179" s="4">
        <f>IFERROR(__xludf.DUMMYFUNCTION("""COMPUTED_VALUE"""),42547.0)</f>
        <v>42547</v>
      </c>
      <c r="B179" s="5">
        <f>IFERROR(__xludf.DUMMYFUNCTION("""COMPUTED_VALUE"""),2180.0)</f>
        <v>2180</v>
      </c>
      <c r="C179" s="6">
        <f>IFERROR(__xludf.DUMMYFUNCTION("""COMPUTED_VALUE"""),0.5517)</f>
        <v>0.5517</v>
      </c>
      <c r="D179" s="2">
        <f>IFERROR(__xludf.DUMMYFUNCTION("""COMPUTED_VALUE"""),9.027777777777777E-4)</f>
        <v>0.0009027777778</v>
      </c>
      <c r="E179" s="1">
        <f>IFERROR(__xludf.DUMMYFUNCTION("""COMPUTED_VALUE"""),1.05)</f>
        <v>1.05</v>
      </c>
      <c r="F179" s="1">
        <f>IFERROR(__xludf.DUMMYFUNCTION("""COMPUTED_VALUE"""),4.52)</f>
        <v>4.52</v>
      </c>
      <c r="G179" s="5">
        <f>IFERROR(__xludf.DUMMYFUNCTION("""COMPUTED_VALUE"""),10358.0)</f>
        <v>10358</v>
      </c>
      <c r="H179" s="5">
        <f>IFERROR(__xludf.DUMMYFUNCTION("""COMPUTED_VALUE"""),2291.0)</f>
        <v>2291</v>
      </c>
    </row>
    <row r="180">
      <c r="A180" s="4">
        <f>IFERROR(__xludf.DUMMYFUNCTION("""COMPUTED_VALUE"""),42548.0)</f>
        <v>42548</v>
      </c>
      <c r="B180" s="5">
        <f>IFERROR(__xludf.DUMMYFUNCTION("""COMPUTED_VALUE"""),3055.0)</f>
        <v>3055</v>
      </c>
      <c r="C180" s="6">
        <f>IFERROR(__xludf.DUMMYFUNCTION("""COMPUTED_VALUE"""),0.4937)</f>
        <v>0.4937</v>
      </c>
      <c r="D180" s="2">
        <f>IFERROR(__xludf.DUMMYFUNCTION("""COMPUTED_VALUE"""),0.0015046296296296296)</f>
        <v>0.00150462963</v>
      </c>
      <c r="E180" s="1">
        <f>IFERROR(__xludf.DUMMYFUNCTION("""COMPUTED_VALUE"""),1.06)</f>
        <v>1.06</v>
      </c>
      <c r="F180" s="1">
        <f>IFERROR(__xludf.DUMMYFUNCTION("""COMPUTED_VALUE"""),6.27)</f>
        <v>6.27</v>
      </c>
      <c r="G180" s="5">
        <f>IFERROR(__xludf.DUMMYFUNCTION("""COMPUTED_VALUE"""),20273.0)</f>
        <v>20273</v>
      </c>
      <c r="H180" s="5">
        <f>IFERROR(__xludf.DUMMYFUNCTION("""COMPUTED_VALUE"""),3235.0)</f>
        <v>3235</v>
      </c>
    </row>
    <row r="181">
      <c r="A181" s="4">
        <f>IFERROR(__xludf.DUMMYFUNCTION("""COMPUTED_VALUE"""),42549.0)</f>
        <v>42549</v>
      </c>
      <c r="B181" s="5">
        <f>IFERROR(__xludf.DUMMYFUNCTION("""COMPUTED_VALUE"""),2569.0)</f>
        <v>2569</v>
      </c>
      <c r="C181" s="6">
        <f>IFERROR(__xludf.DUMMYFUNCTION("""COMPUTED_VALUE"""),0.4519)</f>
        <v>0.4519</v>
      </c>
      <c r="D181" s="2">
        <f>IFERROR(__xludf.DUMMYFUNCTION("""COMPUTED_VALUE"""),0.001388888888888889)</f>
        <v>0.001388888889</v>
      </c>
      <c r="E181" s="1">
        <f>IFERROR(__xludf.DUMMYFUNCTION("""COMPUTED_VALUE"""),1.06)</f>
        <v>1.06</v>
      </c>
      <c r="F181" s="1">
        <f>IFERROR(__xludf.DUMMYFUNCTION("""COMPUTED_VALUE"""),4.91)</f>
        <v>4.91</v>
      </c>
      <c r="G181" s="5">
        <f>IFERROR(__xludf.DUMMYFUNCTION("""COMPUTED_VALUE"""),13427.0)</f>
        <v>13427</v>
      </c>
      <c r="H181" s="5">
        <f>IFERROR(__xludf.DUMMYFUNCTION("""COMPUTED_VALUE"""),2735.0)</f>
        <v>2735</v>
      </c>
    </row>
    <row r="182">
      <c r="A182" s="4">
        <f>IFERROR(__xludf.DUMMYFUNCTION("""COMPUTED_VALUE"""),42550.0)</f>
        <v>42550</v>
      </c>
      <c r="B182" s="5">
        <f>IFERROR(__xludf.DUMMYFUNCTION("""COMPUTED_VALUE"""),1069.0)</f>
        <v>1069</v>
      </c>
      <c r="C182" s="6">
        <f>IFERROR(__xludf.DUMMYFUNCTION("""COMPUTED_VALUE"""),0.0)</f>
        <v>0</v>
      </c>
      <c r="D182" s="2">
        <f>IFERROR(__xludf.DUMMYFUNCTION("""COMPUTED_VALUE"""),0.002789351851851852)</f>
        <v>0.002789351852</v>
      </c>
      <c r="E182" s="1">
        <f>IFERROR(__xludf.DUMMYFUNCTION("""COMPUTED_VALUE"""),0.7)</f>
        <v>0.7</v>
      </c>
      <c r="F182" s="1">
        <f>IFERROR(__xludf.DUMMYFUNCTION("""COMPUTED_VALUE"""),0.43)</f>
        <v>0.43</v>
      </c>
      <c r="G182" s="1">
        <f>IFERROR(__xludf.DUMMYFUNCTION("""COMPUTED_VALUE"""),319.0)</f>
        <v>319</v>
      </c>
      <c r="H182" s="1">
        <f>IFERROR(__xludf.DUMMYFUNCTION("""COMPUTED_VALUE"""),750.0)</f>
        <v>750</v>
      </c>
    </row>
    <row r="183">
      <c r="A183" s="4">
        <f>IFERROR(__xludf.DUMMYFUNCTION("""COMPUTED_VALUE"""),42551.0)</f>
        <v>42551</v>
      </c>
      <c r="B183" s="5">
        <f>IFERROR(__xludf.DUMMYFUNCTION("""COMPUTED_VALUE"""),1514.0)</f>
        <v>1514</v>
      </c>
      <c r="C183" s="6">
        <f>IFERROR(__xludf.DUMMYFUNCTION("""COMPUTED_VALUE"""),0.2451)</f>
        <v>0.2451</v>
      </c>
      <c r="D183" s="2">
        <f>IFERROR(__xludf.DUMMYFUNCTION("""COMPUTED_VALUE"""),0.001412037037037037)</f>
        <v>0.001412037037</v>
      </c>
      <c r="E183" s="1">
        <f>IFERROR(__xludf.DUMMYFUNCTION("""COMPUTED_VALUE"""),0.94)</f>
        <v>0.94</v>
      </c>
      <c r="F183" s="1">
        <f>IFERROR(__xludf.DUMMYFUNCTION("""COMPUTED_VALUE"""),3.87)</f>
        <v>3.87</v>
      </c>
      <c r="G183" s="5">
        <f>IFERROR(__xludf.DUMMYFUNCTION("""COMPUTED_VALUE"""),5485.0)</f>
        <v>5485</v>
      </c>
      <c r="H183" s="5">
        <f>IFERROR(__xludf.DUMMYFUNCTION("""COMPUTED_VALUE"""),1416.0)</f>
        <v>1416</v>
      </c>
    </row>
    <row r="184">
      <c r="A184" s="4">
        <f>IFERROR(__xludf.DUMMYFUNCTION("""COMPUTED_VALUE"""),42552.0)</f>
        <v>42552</v>
      </c>
      <c r="B184" s="5">
        <f>IFERROR(__xludf.DUMMYFUNCTION("""COMPUTED_VALUE"""),2249.0)</f>
        <v>2249</v>
      </c>
      <c r="C184" s="6">
        <f>IFERROR(__xludf.DUMMYFUNCTION("""COMPUTED_VALUE"""),0.4706)</f>
        <v>0.4706</v>
      </c>
      <c r="D184" s="2">
        <f>IFERROR(__xludf.DUMMYFUNCTION("""COMPUTED_VALUE"""),0.0015393518518518519)</f>
        <v>0.001539351852</v>
      </c>
      <c r="E184" s="1">
        <f>IFERROR(__xludf.DUMMYFUNCTION("""COMPUTED_VALUE"""),1.05)</f>
        <v>1.05</v>
      </c>
      <c r="F184" s="1">
        <f>IFERROR(__xludf.DUMMYFUNCTION("""COMPUTED_VALUE"""),4.72)</f>
        <v>4.72</v>
      </c>
      <c r="G184" s="5">
        <f>IFERROR(__xludf.DUMMYFUNCTION("""COMPUTED_VALUE"""),11136.0)</f>
        <v>11136</v>
      </c>
      <c r="H184" s="5">
        <f>IFERROR(__xludf.DUMMYFUNCTION("""COMPUTED_VALUE"""),2361.0)</f>
        <v>2361</v>
      </c>
    </row>
    <row r="185">
      <c r="A185" s="4">
        <f>IFERROR(__xludf.DUMMYFUNCTION("""COMPUTED_VALUE"""),42553.0)</f>
        <v>42553</v>
      </c>
      <c r="B185" s="1">
        <f>IFERROR(__xludf.DUMMYFUNCTION("""COMPUTED_VALUE"""),597.0)</f>
        <v>597</v>
      </c>
      <c r="C185" s="6">
        <f>IFERROR(__xludf.DUMMYFUNCTION("""COMPUTED_VALUE"""),0.3471)</f>
        <v>0.3471</v>
      </c>
      <c r="D185" s="2">
        <f>IFERROR(__xludf.DUMMYFUNCTION("""COMPUTED_VALUE"""),0.0014930555555555556)</f>
        <v>0.001493055556</v>
      </c>
      <c r="E185" s="1">
        <f>IFERROR(__xludf.DUMMYFUNCTION("""COMPUTED_VALUE"""),1.14)</f>
        <v>1.14</v>
      </c>
      <c r="F185" s="1">
        <f>IFERROR(__xludf.DUMMYFUNCTION("""COMPUTED_VALUE"""),3.78)</f>
        <v>3.78</v>
      </c>
      <c r="G185" s="5">
        <f>IFERROR(__xludf.DUMMYFUNCTION("""COMPUTED_VALUE"""),2569.0)</f>
        <v>2569</v>
      </c>
      <c r="H185" s="1">
        <f>IFERROR(__xludf.DUMMYFUNCTION("""COMPUTED_VALUE"""),680.0)</f>
        <v>680</v>
      </c>
    </row>
    <row r="186">
      <c r="A186" s="4">
        <f>IFERROR(__xludf.DUMMYFUNCTION("""COMPUTED_VALUE"""),42554.0)</f>
        <v>42554</v>
      </c>
      <c r="B186" s="5">
        <f>IFERROR(__xludf.DUMMYFUNCTION("""COMPUTED_VALUE"""),1361.0)</f>
        <v>1361</v>
      </c>
      <c r="C186" s="6">
        <f>IFERROR(__xludf.DUMMYFUNCTION("""COMPUTED_VALUE"""),0.4568)</f>
        <v>0.4568</v>
      </c>
      <c r="D186" s="2">
        <f>IFERROR(__xludf.DUMMYFUNCTION("""COMPUTED_VALUE"""),0.0015277777777777779)</f>
        <v>0.001527777778</v>
      </c>
      <c r="E186" s="1">
        <f>IFERROR(__xludf.DUMMYFUNCTION("""COMPUTED_VALUE"""),1.07)</f>
        <v>1.07</v>
      </c>
      <c r="F186" s="1">
        <f>IFERROR(__xludf.DUMMYFUNCTION("""COMPUTED_VALUE"""),3.69)</f>
        <v>3.69</v>
      </c>
      <c r="G186" s="5">
        <f>IFERROR(__xludf.DUMMYFUNCTION("""COMPUTED_VALUE"""),5374.0)</f>
        <v>5374</v>
      </c>
      <c r="H186" s="5">
        <f>IFERROR(__xludf.DUMMYFUNCTION("""COMPUTED_VALUE"""),1458.0)</f>
        <v>1458</v>
      </c>
    </row>
    <row r="187">
      <c r="A187" s="4">
        <f>IFERROR(__xludf.DUMMYFUNCTION("""COMPUTED_VALUE"""),42555.0)</f>
        <v>42555</v>
      </c>
      <c r="B187" s="5">
        <f>IFERROR(__xludf.DUMMYFUNCTION("""COMPUTED_VALUE"""),1333.0)</f>
        <v>1333</v>
      </c>
      <c r="C187" s="6">
        <f>IFERROR(__xludf.DUMMYFUNCTION("""COMPUTED_VALUE"""),0.3829)</f>
        <v>0.3829</v>
      </c>
      <c r="D187" s="2">
        <f>IFERROR(__xludf.DUMMYFUNCTION("""COMPUTED_VALUE"""),0.0017476851851851852)</f>
        <v>0.001747685185</v>
      </c>
      <c r="E187" s="1">
        <f>IFERROR(__xludf.DUMMYFUNCTION("""COMPUTED_VALUE"""),1.11)</f>
        <v>1.11</v>
      </c>
      <c r="F187" s="1">
        <f>IFERROR(__xludf.DUMMYFUNCTION("""COMPUTED_VALUE"""),3.53)</f>
        <v>3.53</v>
      </c>
      <c r="G187" s="5">
        <f>IFERROR(__xludf.DUMMYFUNCTION("""COMPUTED_VALUE"""),5249.0)</f>
        <v>5249</v>
      </c>
      <c r="H187" s="5">
        <f>IFERROR(__xludf.DUMMYFUNCTION("""COMPUTED_VALUE"""),1486.0)</f>
        <v>1486</v>
      </c>
    </row>
    <row r="188">
      <c r="A188" s="4">
        <f>IFERROR(__xludf.DUMMYFUNCTION("""COMPUTED_VALUE"""),42556.0)</f>
        <v>42556</v>
      </c>
      <c r="B188" s="5">
        <f>IFERROR(__xludf.DUMMYFUNCTION("""COMPUTED_VALUE"""),1583.0)</f>
        <v>1583</v>
      </c>
      <c r="C188" s="6">
        <f>IFERROR(__xludf.DUMMYFUNCTION("""COMPUTED_VALUE"""),0.0323)</f>
        <v>0.0323</v>
      </c>
      <c r="D188" s="2">
        <f>IFERROR(__xludf.DUMMYFUNCTION("""COMPUTED_VALUE"""),0.0016782407407407408)</f>
        <v>0.001678240741</v>
      </c>
      <c r="E188" s="1">
        <f>IFERROR(__xludf.DUMMYFUNCTION("""COMPUTED_VALUE"""),1.1)</f>
        <v>1.1</v>
      </c>
      <c r="F188" s="1">
        <f>IFERROR(__xludf.DUMMYFUNCTION("""COMPUTED_VALUE"""),6.81)</f>
        <v>6.81</v>
      </c>
      <c r="G188" s="5">
        <f>IFERROR(__xludf.DUMMYFUNCTION("""COMPUTED_VALUE"""),11816.0)</f>
        <v>11816</v>
      </c>
      <c r="H188" s="5">
        <f>IFERROR(__xludf.DUMMYFUNCTION("""COMPUTED_VALUE"""),1736.0)</f>
        <v>1736</v>
      </c>
    </row>
    <row r="189">
      <c r="A189" s="4">
        <f>IFERROR(__xludf.DUMMYFUNCTION("""COMPUTED_VALUE"""),42557.0)</f>
        <v>42557</v>
      </c>
      <c r="B189" s="5">
        <f>IFERROR(__xludf.DUMMYFUNCTION("""COMPUTED_VALUE"""),1805.0)</f>
        <v>1805</v>
      </c>
      <c r="C189" s="6">
        <f>IFERROR(__xludf.DUMMYFUNCTION("""COMPUTED_VALUE"""),0.0134)</f>
        <v>0.0134</v>
      </c>
      <c r="D189" s="2">
        <f>IFERROR(__xludf.DUMMYFUNCTION("""COMPUTED_VALUE"""),0.0018981481481481482)</f>
        <v>0.001898148148</v>
      </c>
      <c r="E189" s="1">
        <f>IFERROR(__xludf.DUMMYFUNCTION("""COMPUTED_VALUE"""),1.15)</f>
        <v>1.15</v>
      </c>
      <c r="F189" s="1">
        <f>IFERROR(__xludf.DUMMYFUNCTION("""COMPUTED_VALUE"""),9.03)</f>
        <v>9.03</v>
      </c>
      <c r="G189" s="5">
        <f>IFERROR(__xludf.DUMMYFUNCTION("""COMPUTED_VALUE"""),18801.0)</f>
        <v>18801</v>
      </c>
      <c r="H189" s="5">
        <f>IFERROR(__xludf.DUMMYFUNCTION("""COMPUTED_VALUE"""),2083.0)</f>
        <v>2083</v>
      </c>
    </row>
    <row r="190">
      <c r="A190" s="4">
        <f>IFERROR(__xludf.DUMMYFUNCTION("""COMPUTED_VALUE"""),42558.0)</f>
        <v>42558</v>
      </c>
      <c r="B190" s="5">
        <f>IFERROR(__xludf.DUMMYFUNCTION("""COMPUTED_VALUE"""),1708.0)</f>
        <v>1708</v>
      </c>
      <c r="C190" s="6">
        <f>IFERROR(__xludf.DUMMYFUNCTION("""COMPUTED_VALUE"""),0.2241)</f>
        <v>0.2241</v>
      </c>
      <c r="D190" s="2">
        <f>IFERROR(__xludf.DUMMYFUNCTION("""COMPUTED_VALUE"""),0.0014351851851851852)</f>
        <v>0.001435185185</v>
      </c>
      <c r="E190" s="1">
        <f>IFERROR(__xludf.DUMMYFUNCTION("""COMPUTED_VALUE"""),1.09)</f>
        <v>1.09</v>
      </c>
      <c r="F190" s="1">
        <f>IFERROR(__xludf.DUMMYFUNCTION("""COMPUTED_VALUE"""),6.61)</f>
        <v>6.61</v>
      </c>
      <c r="G190" s="5">
        <f>IFERROR(__xludf.DUMMYFUNCTION("""COMPUTED_VALUE"""),12302.0)</f>
        <v>12302</v>
      </c>
      <c r="H190" s="5">
        <f>IFERROR(__xludf.DUMMYFUNCTION("""COMPUTED_VALUE"""),1861.0)</f>
        <v>1861</v>
      </c>
    </row>
    <row r="191">
      <c r="A191" s="4">
        <f>IFERROR(__xludf.DUMMYFUNCTION("""COMPUTED_VALUE"""),42559.0)</f>
        <v>42559</v>
      </c>
      <c r="B191" s="5">
        <f>IFERROR(__xludf.DUMMYFUNCTION("""COMPUTED_VALUE"""),1500.0)</f>
        <v>1500</v>
      </c>
      <c r="C191" s="6">
        <f>IFERROR(__xludf.DUMMYFUNCTION("""COMPUTED_VALUE"""),0.3771)</f>
        <v>0.3771</v>
      </c>
      <c r="D191" s="2">
        <f>IFERROR(__xludf.DUMMYFUNCTION("""COMPUTED_VALUE"""),0.0016435185185185185)</f>
        <v>0.001643518519</v>
      </c>
      <c r="E191" s="1">
        <f>IFERROR(__xludf.DUMMYFUNCTION("""COMPUTED_VALUE"""),1.06)</f>
        <v>1.06</v>
      </c>
      <c r="F191" s="1">
        <f>IFERROR(__xludf.DUMMYFUNCTION("""COMPUTED_VALUE"""),4.02)</f>
        <v>4.02</v>
      </c>
      <c r="G191" s="5">
        <f>IFERROR(__xludf.DUMMYFUNCTION("""COMPUTED_VALUE"""),6360.0)</f>
        <v>6360</v>
      </c>
      <c r="H191" s="5">
        <f>IFERROR(__xludf.DUMMYFUNCTION("""COMPUTED_VALUE"""),1583.0)</f>
        <v>1583</v>
      </c>
    </row>
    <row r="192">
      <c r="A192" s="4">
        <f>IFERROR(__xludf.DUMMYFUNCTION("""COMPUTED_VALUE"""),42560.0)</f>
        <v>42560</v>
      </c>
      <c r="B192" s="1">
        <f>IFERROR(__xludf.DUMMYFUNCTION("""COMPUTED_VALUE"""),847.0)</f>
        <v>847</v>
      </c>
      <c r="C192" s="6">
        <f>IFERROR(__xludf.DUMMYFUNCTION("""COMPUTED_VALUE"""),0.3528)</f>
        <v>0.3528</v>
      </c>
      <c r="D192" s="2">
        <f>IFERROR(__xludf.DUMMYFUNCTION("""COMPUTED_VALUE"""),0.0019560185185185184)</f>
        <v>0.001956018519</v>
      </c>
      <c r="E192" s="1">
        <f>IFERROR(__xludf.DUMMYFUNCTION("""COMPUTED_VALUE"""),1.11)</f>
        <v>1.11</v>
      </c>
      <c r="F192" s="1">
        <f>IFERROR(__xludf.DUMMYFUNCTION("""COMPUTED_VALUE"""),5.21)</f>
        <v>5.21</v>
      </c>
      <c r="G192" s="5">
        <f>IFERROR(__xludf.DUMMYFUNCTION("""COMPUTED_VALUE"""),4915.0)</f>
        <v>4915</v>
      </c>
      <c r="H192" s="1">
        <f>IFERROR(__xludf.DUMMYFUNCTION("""COMPUTED_VALUE"""),944.0)</f>
        <v>944</v>
      </c>
    </row>
    <row r="193">
      <c r="A193" s="4">
        <f>IFERROR(__xludf.DUMMYFUNCTION("""COMPUTED_VALUE"""),42561.0)</f>
        <v>42561</v>
      </c>
      <c r="B193" s="5">
        <f>IFERROR(__xludf.DUMMYFUNCTION("""COMPUTED_VALUE"""),1250.0)</f>
        <v>1250</v>
      </c>
      <c r="C193" s="6">
        <f>IFERROR(__xludf.DUMMYFUNCTION("""COMPUTED_VALUE"""),0.4198)</f>
        <v>0.4198</v>
      </c>
      <c r="D193" s="2">
        <f>IFERROR(__xludf.DUMMYFUNCTION("""COMPUTED_VALUE"""),0.0017824074074074075)</f>
        <v>0.001782407407</v>
      </c>
      <c r="E193" s="1">
        <f>IFERROR(__xludf.DUMMYFUNCTION("""COMPUTED_VALUE"""),1.03)</f>
        <v>1.03</v>
      </c>
      <c r="F193" s="1">
        <f>IFERROR(__xludf.DUMMYFUNCTION("""COMPUTED_VALUE"""),3.85)</f>
        <v>3.85</v>
      </c>
      <c r="G193" s="5">
        <f>IFERROR(__xludf.DUMMYFUNCTION("""COMPUTED_VALUE"""),4971.0)</f>
        <v>4971</v>
      </c>
      <c r="H193" s="5">
        <f>IFERROR(__xludf.DUMMYFUNCTION("""COMPUTED_VALUE"""),1291.0)</f>
        <v>1291</v>
      </c>
    </row>
    <row r="194">
      <c r="A194" s="4">
        <f>IFERROR(__xludf.DUMMYFUNCTION("""COMPUTED_VALUE"""),42562.0)</f>
        <v>42562</v>
      </c>
      <c r="B194" s="5">
        <f>IFERROR(__xludf.DUMMYFUNCTION("""COMPUTED_VALUE"""),1680.0)</f>
        <v>1680</v>
      </c>
      <c r="C194" s="6">
        <f>IFERROR(__xludf.DUMMYFUNCTION("""COMPUTED_VALUE"""),0.375)</f>
        <v>0.375</v>
      </c>
      <c r="D194" s="2">
        <f>IFERROR(__xludf.DUMMYFUNCTION("""COMPUTED_VALUE"""),0.0015393518518518519)</f>
        <v>0.001539351852</v>
      </c>
      <c r="E194" s="1">
        <f>IFERROR(__xludf.DUMMYFUNCTION("""COMPUTED_VALUE"""),1.12)</f>
        <v>1.12</v>
      </c>
      <c r="F194" s="1">
        <f>IFERROR(__xludf.DUMMYFUNCTION("""COMPUTED_VALUE"""),4.29)</f>
        <v>4.29</v>
      </c>
      <c r="G194" s="5">
        <f>IFERROR(__xludf.DUMMYFUNCTION("""COMPUTED_VALUE"""),8095.0)</f>
        <v>8095</v>
      </c>
      <c r="H194" s="5">
        <f>IFERROR(__xludf.DUMMYFUNCTION("""COMPUTED_VALUE"""),1888.0)</f>
        <v>1888</v>
      </c>
    </row>
    <row r="195">
      <c r="A195" s="4">
        <f>IFERROR(__xludf.DUMMYFUNCTION("""COMPUTED_VALUE"""),42563.0)</f>
        <v>42563</v>
      </c>
      <c r="B195" s="5">
        <f>IFERROR(__xludf.DUMMYFUNCTION("""COMPUTED_VALUE"""),1694.0)</f>
        <v>1694</v>
      </c>
      <c r="C195" s="6">
        <f>IFERROR(__xludf.DUMMYFUNCTION("""COMPUTED_VALUE"""),0.3757)</f>
        <v>0.3757</v>
      </c>
      <c r="D195" s="2">
        <f>IFERROR(__xludf.DUMMYFUNCTION("""COMPUTED_VALUE"""),0.0023148148148148147)</f>
        <v>0.002314814815</v>
      </c>
      <c r="E195" s="1">
        <f>IFERROR(__xludf.DUMMYFUNCTION("""COMPUTED_VALUE"""),1.09)</f>
        <v>1.09</v>
      </c>
      <c r="F195" s="1">
        <f>IFERROR(__xludf.DUMMYFUNCTION("""COMPUTED_VALUE"""),4.76)</f>
        <v>4.76</v>
      </c>
      <c r="G195" s="5">
        <f>IFERROR(__xludf.DUMMYFUNCTION("""COMPUTED_VALUE"""),8789.0)</f>
        <v>8789</v>
      </c>
      <c r="H195" s="5">
        <f>IFERROR(__xludf.DUMMYFUNCTION("""COMPUTED_VALUE"""),1847.0)</f>
        <v>1847</v>
      </c>
    </row>
    <row r="196">
      <c r="A196" s="4">
        <f>IFERROR(__xludf.DUMMYFUNCTION("""COMPUTED_VALUE"""),42564.0)</f>
        <v>42564</v>
      </c>
      <c r="B196" s="5">
        <f>IFERROR(__xludf.DUMMYFUNCTION("""COMPUTED_VALUE"""),1819.0)</f>
        <v>1819</v>
      </c>
      <c r="C196" s="6">
        <f>IFERROR(__xludf.DUMMYFUNCTION("""COMPUTED_VALUE"""),0.3422)</f>
        <v>0.3422</v>
      </c>
      <c r="D196" s="2">
        <f>IFERROR(__xludf.DUMMYFUNCTION("""COMPUTED_VALUE"""),0.0022569444444444442)</f>
        <v>0.002256944444</v>
      </c>
      <c r="E196" s="1">
        <f>IFERROR(__xludf.DUMMYFUNCTION("""COMPUTED_VALUE"""),1.14)</f>
        <v>1.14</v>
      </c>
      <c r="F196" s="1">
        <f>IFERROR(__xludf.DUMMYFUNCTION("""COMPUTED_VALUE"""),4.46)</f>
        <v>4.46</v>
      </c>
      <c r="G196" s="5">
        <f>IFERROR(__xludf.DUMMYFUNCTION("""COMPUTED_VALUE"""),9234.0)</f>
        <v>9234</v>
      </c>
      <c r="H196" s="5">
        <f>IFERROR(__xludf.DUMMYFUNCTION("""COMPUTED_VALUE"""),2069.0)</f>
        <v>2069</v>
      </c>
    </row>
    <row r="197">
      <c r="A197" s="4">
        <f>IFERROR(__xludf.DUMMYFUNCTION("""COMPUTED_VALUE"""),42565.0)</f>
        <v>42565</v>
      </c>
      <c r="B197" s="5">
        <f>IFERROR(__xludf.DUMMYFUNCTION("""COMPUTED_VALUE"""),2055.0)</f>
        <v>2055</v>
      </c>
      <c r="C197" s="6">
        <f>IFERROR(__xludf.DUMMYFUNCTION("""COMPUTED_VALUE"""),0.443)</f>
        <v>0.443</v>
      </c>
      <c r="D197" s="2">
        <f>IFERROR(__xludf.DUMMYFUNCTION("""COMPUTED_VALUE"""),0.002013888888888889)</f>
        <v>0.002013888889</v>
      </c>
      <c r="E197" s="1">
        <f>IFERROR(__xludf.DUMMYFUNCTION("""COMPUTED_VALUE"""),1.07)</f>
        <v>1.07</v>
      </c>
      <c r="F197" s="1">
        <f>IFERROR(__xludf.DUMMYFUNCTION("""COMPUTED_VALUE"""),4.54)</f>
        <v>4.54</v>
      </c>
      <c r="G197" s="5">
        <f>IFERROR(__xludf.DUMMYFUNCTION("""COMPUTED_VALUE"""),9956.0)</f>
        <v>9956</v>
      </c>
      <c r="H197" s="5">
        <f>IFERROR(__xludf.DUMMYFUNCTION("""COMPUTED_VALUE"""),2194.0)</f>
        <v>2194</v>
      </c>
    </row>
    <row r="198">
      <c r="A198" s="4">
        <f>IFERROR(__xludf.DUMMYFUNCTION("""COMPUTED_VALUE"""),42566.0)</f>
        <v>42566</v>
      </c>
      <c r="B198" s="5">
        <f>IFERROR(__xludf.DUMMYFUNCTION("""COMPUTED_VALUE"""),1777.0)</f>
        <v>1777</v>
      </c>
      <c r="C198" s="6">
        <f>IFERROR(__xludf.DUMMYFUNCTION("""COMPUTED_VALUE"""),0.4401)</f>
        <v>0.4401</v>
      </c>
      <c r="D198" s="2">
        <f>IFERROR(__xludf.DUMMYFUNCTION("""COMPUTED_VALUE"""),0.001412037037037037)</f>
        <v>0.001412037037</v>
      </c>
      <c r="E198" s="1">
        <f>IFERROR(__xludf.DUMMYFUNCTION("""COMPUTED_VALUE"""),1.05)</f>
        <v>1.05</v>
      </c>
      <c r="F198" s="1">
        <f>IFERROR(__xludf.DUMMYFUNCTION("""COMPUTED_VALUE"""),3.18)</f>
        <v>3.18</v>
      </c>
      <c r="G198" s="5">
        <f>IFERROR(__xludf.DUMMYFUNCTION("""COMPUTED_VALUE"""),5915.0)</f>
        <v>5915</v>
      </c>
      <c r="H198" s="5">
        <f>IFERROR(__xludf.DUMMYFUNCTION("""COMPUTED_VALUE"""),1861.0)</f>
        <v>1861</v>
      </c>
    </row>
    <row r="199">
      <c r="A199" s="4">
        <f>IFERROR(__xludf.DUMMYFUNCTION("""COMPUTED_VALUE"""),42567.0)</f>
        <v>42567</v>
      </c>
      <c r="B199" s="5">
        <f>IFERROR(__xludf.DUMMYFUNCTION("""COMPUTED_VALUE"""),1180.0)</f>
        <v>1180</v>
      </c>
      <c r="C199" s="6">
        <f>IFERROR(__xludf.DUMMYFUNCTION("""COMPUTED_VALUE"""),0.5368)</f>
        <v>0.5368</v>
      </c>
      <c r="D199" s="2">
        <f>IFERROR(__xludf.DUMMYFUNCTION("""COMPUTED_VALUE"""),9.143518518518518E-4)</f>
        <v>0.0009143518519</v>
      </c>
      <c r="E199" s="1">
        <f>IFERROR(__xludf.DUMMYFUNCTION("""COMPUTED_VALUE"""),1.12)</f>
        <v>1.12</v>
      </c>
      <c r="F199" s="1">
        <f>IFERROR(__xludf.DUMMYFUNCTION("""COMPUTED_VALUE"""),3.07)</f>
        <v>3.07</v>
      </c>
      <c r="G199" s="5">
        <f>IFERROR(__xludf.DUMMYFUNCTION("""COMPUTED_VALUE"""),4055.0)</f>
        <v>4055</v>
      </c>
      <c r="H199" s="5">
        <f>IFERROR(__xludf.DUMMYFUNCTION("""COMPUTED_VALUE"""),1319.0)</f>
        <v>1319</v>
      </c>
    </row>
    <row r="200">
      <c r="A200" s="4">
        <f>IFERROR(__xludf.DUMMYFUNCTION("""COMPUTED_VALUE"""),42568.0)</f>
        <v>42568</v>
      </c>
      <c r="B200" s="5">
        <f>IFERROR(__xludf.DUMMYFUNCTION("""COMPUTED_VALUE"""),1166.0)</f>
        <v>1166</v>
      </c>
      <c r="C200" s="6">
        <f>IFERROR(__xludf.DUMMYFUNCTION("""COMPUTED_VALUE"""),0.5474)</f>
        <v>0.5474</v>
      </c>
      <c r="D200" s="2">
        <f>IFERROR(__xludf.DUMMYFUNCTION("""COMPUTED_VALUE"""),0.0017592592592592592)</f>
        <v>0.001759259259</v>
      </c>
      <c r="E200" s="1">
        <f>IFERROR(__xludf.DUMMYFUNCTION("""COMPUTED_VALUE"""),1.13)</f>
        <v>1.13</v>
      </c>
      <c r="F200" s="1">
        <f>IFERROR(__xludf.DUMMYFUNCTION("""COMPUTED_VALUE"""),3.54)</f>
        <v>3.54</v>
      </c>
      <c r="G200" s="5">
        <f>IFERROR(__xludf.DUMMYFUNCTION("""COMPUTED_VALUE"""),4665.0)</f>
        <v>4665</v>
      </c>
      <c r="H200" s="5">
        <f>IFERROR(__xludf.DUMMYFUNCTION("""COMPUTED_VALUE"""),1319.0)</f>
        <v>1319</v>
      </c>
    </row>
    <row r="201">
      <c r="A201" s="4">
        <f>IFERROR(__xludf.DUMMYFUNCTION("""COMPUTED_VALUE"""),42569.0)</f>
        <v>42569</v>
      </c>
      <c r="B201" s="5">
        <f>IFERROR(__xludf.DUMMYFUNCTION("""COMPUTED_VALUE"""),1694.0)</f>
        <v>1694</v>
      </c>
      <c r="C201" s="6">
        <f>IFERROR(__xludf.DUMMYFUNCTION("""COMPUTED_VALUE"""),0.4787)</f>
        <v>0.4787</v>
      </c>
      <c r="D201" s="2">
        <f>IFERROR(__xludf.DUMMYFUNCTION("""COMPUTED_VALUE"""),0.0021412037037037038)</f>
        <v>0.002141203704</v>
      </c>
      <c r="E201" s="1">
        <f>IFERROR(__xludf.DUMMYFUNCTION("""COMPUTED_VALUE"""),1.16)</f>
        <v>1.16</v>
      </c>
      <c r="F201" s="1">
        <f>IFERROR(__xludf.DUMMYFUNCTION("""COMPUTED_VALUE"""),4.03)</f>
        <v>4.03</v>
      </c>
      <c r="G201" s="5">
        <f>IFERROR(__xludf.DUMMYFUNCTION("""COMPUTED_VALUE"""),7942.0)</f>
        <v>7942</v>
      </c>
      <c r="H201" s="5">
        <f>IFERROR(__xludf.DUMMYFUNCTION("""COMPUTED_VALUE"""),1972.0)</f>
        <v>1972</v>
      </c>
    </row>
    <row r="202">
      <c r="A202" s="4">
        <f>IFERROR(__xludf.DUMMYFUNCTION("""COMPUTED_VALUE"""),42570.0)</f>
        <v>42570</v>
      </c>
      <c r="B202" s="5">
        <f>IFERROR(__xludf.DUMMYFUNCTION("""COMPUTED_VALUE"""),1694.0)</f>
        <v>1694</v>
      </c>
      <c r="C202" s="6">
        <f>IFERROR(__xludf.DUMMYFUNCTION("""COMPUTED_VALUE"""),0.4069)</f>
        <v>0.4069</v>
      </c>
      <c r="D202" s="2">
        <f>IFERROR(__xludf.DUMMYFUNCTION("""COMPUTED_VALUE"""),0.0023032407407407407)</f>
        <v>0.002303240741</v>
      </c>
      <c r="E202" s="1">
        <f>IFERROR(__xludf.DUMMYFUNCTION("""COMPUTED_VALUE"""),1.19)</f>
        <v>1.19</v>
      </c>
      <c r="F202" s="1">
        <f>IFERROR(__xludf.DUMMYFUNCTION("""COMPUTED_VALUE"""),4.71)</f>
        <v>4.71</v>
      </c>
      <c r="G202" s="5">
        <f>IFERROR(__xludf.DUMMYFUNCTION("""COMPUTED_VALUE"""),9484.0)</f>
        <v>9484</v>
      </c>
      <c r="H202" s="5">
        <f>IFERROR(__xludf.DUMMYFUNCTION("""COMPUTED_VALUE"""),2013.0)</f>
        <v>2013</v>
      </c>
    </row>
    <row r="203">
      <c r="A203" s="4">
        <f>IFERROR(__xludf.DUMMYFUNCTION("""COMPUTED_VALUE"""),42571.0)</f>
        <v>42571</v>
      </c>
      <c r="B203" s="5">
        <f>IFERROR(__xludf.DUMMYFUNCTION("""COMPUTED_VALUE"""),1708.0)</f>
        <v>1708</v>
      </c>
      <c r="C203" s="6">
        <f>IFERROR(__xludf.DUMMYFUNCTION("""COMPUTED_VALUE"""),0.3886)</f>
        <v>0.3886</v>
      </c>
      <c r="D203" s="2">
        <f>IFERROR(__xludf.DUMMYFUNCTION("""COMPUTED_VALUE"""),0.002650462962962963)</f>
        <v>0.002650462963</v>
      </c>
      <c r="E203" s="1">
        <f>IFERROR(__xludf.DUMMYFUNCTION("""COMPUTED_VALUE"""),1.13)</f>
        <v>1.13</v>
      </c>
      <c r="F203" s="1">
        <f>IFERROR(__xludf.DUMMYFUNCTION("""COMPUTED_VALUE"""),5.37)</f>
        <v>5.37</v>
      </c>
      <c r="G203" s="5">
        <f>IFERROR(__xludf.DUMMYFUNCTION("""COMPUTED_VALUE"""),10372.0)</f>
        <v>10372</v>
      </c>
      <c r="H203" s="5">
        <f>IFERROR(__xludf.DUMMYFUNCTION("""COMPUTED_VALUE"""),1930.0)</f>
        <v>1930</v>
      </c>
    </row>
    <row r="204">
      <c r="A204" s="4">
        <f>IFERROR(__xludf.DUMMYFUNCTION("""COMPUTED_VALUE"""),42572.0)</f>
        <v>42572</v>
      </c>
      <c r="B204" s="5">
        <f>IFERROR(__xludf.DUMMYFUNCTION("""COMPUTED_VALUE"""),1819.0)</f>
        <v>1819</v>
      </c>
      <c r="C204" s="6">
        <f>IFERROR(__xludf.DUMMYFUNCTION("""COMPUTED_VALUE"""),0.4265)</f>
        <v>0.4265</v>
      </c>
      <c r="D204" s="2">
        <f>IFERROR(__xludf.DUMMYFUNCTION("""COMPUTED_VALUE"""),0.0018171296296296297)</f>
        <v>0.00181712963</v>
      </c>
      <c r="E204" s="1">
        <f>IFERROR(__xludf.DUMMYFUNCTION("""COMPUTED_VALUE"""),1.09)</f>
        <v>1.09</v>
      </c>
      <c r="F204" s="1">
        <f>IFERROR(__xludf.DUMMYFUNCTION("""COMPUTED_VALUE"""),4.33)</f>
        <v>4.33</v>
      </c>
      <c r="G204" s="5">
        <f>IFERROR(__xludf.DUMMYFUNCTION("""COMPUTED_VALUE"""),8595.0)</f>
        <v>8595</v>
      </c>
      <c r="H204" s="5">
        <f>IFERROR(__xludf.DUMMYFUNCTION("""COMPUTED_VALUE"""),1986.0)</f>
        <v>1986</v>
      </c>
    </row>
    <row r="205">
      <c r="A205" s="4">
        <f>IFERROR(__xludf.DUMMYFUNCTION("""COMPUTED_VALUE"""),42573.0)</f>
        <v>42573</v>
      </c>
      <c r="B205" s="5">
        <f>IFERROR(__xludf.DUMMYFUNCTION("""COMPUTED_VALUE"""),1541.0)</f>
        <v>1541</v>
      </c>
      <c r="C205" s="6">
        <f>IFERROR(__xludf.DUMMYFUNCTION("""COMPUTED_VALUE"""),0.4848)</f>
        <v>0.4848</v>
      </c>
      <c r="D205" s="2">
        <f>IFERROR(__xludf.DUMMYFUNCTION("""COMPUTED_VALUE"""),0.0013773148148148147)</f>
        <v>0.001377314815</v>
      </c>
      <c r="E205" s="1">
        <f>IFERROR(__xludf.DUMMYFUNCTION("""COMPUTED_VALUE"""),1.17)</f>
        <v>1.17</v>
      </c>
      <c r="F205" s="1">
        <f>IFERROR(__xludf.DUMMYFUNCTION("""COMPUTED_VALUE"""),3.94)</f>
        <v>3.94</v>
      </c>
      <c r="G205" s="5">
        <f>IFERROR(__xludf.DUMMYFUNCTION("""COMPUTED_VALUE"""),7109.0)</f>
        <v>7109</v>
      </c>
      <c r="H205" s="5">
        <f>IFERROR(__xludf.DUMMYFUNCTION("""COMPUTED_VALUE"""),1805.0)</f>
        <v>1805</v>
      </c>
    </row>
    <row r="206">
      <c r="A206" s="4">
        <f>IFERROR(__xludf.DUMMYFUNCTION("""COMPUTED_VALUE"""),42574.0)</f>
        <v>42574</v>
      </c>
      <c r="B206" s="5">
        <f>IFERROR(__xludf.DUMMYFUNCTION("""COMPUTED_VALUE"""),1264.0)</f>
        <v>1264</v>
      </c>
      <c r="C206" s="6">
        <f>IFERROR(__xludf.DUMMYFUNCTION("""COMPUTED_VALUE"""),0.5556)</f>
        <v>0.5556</v>
      </c>
      <c r="D206" s="2">
        <f>IFERROR(__xludf.DUMMYFUNCTION("""COMPUTED_VALUE"""),0.001388888888888889)</f>
        <v>0.001388888889</v>
      </c>
      <c r="E206" s="1">
        <f>IFERROR(__xludf.DUMMYFUNCTION("""COMPUTED_VALUE"""),1.09)</f>
        <v>1.09</v>
      </c>
      <c r="F206" s="1">
        <f>IFERROR(__xludf.DUMMYFUNCTION("""COMPUTED_VALUE"""),3.5)</f>
        <v>3.5</v>
      </c>
      <c r="G206" s="5">
        <f>IFERROR(__xludf.DUMMYFUNCTION("""COMPUTED_VALUE"""),4818.0)</f>
        <v>4818</v>
      </c>
      <c r="H206" s="5">
        <f>IFERROR(__xludf.DUMMYFUNCTION("""COMPUTED_VALUE"""),1375.0)</f>
        <v>1375</v>
      </c>
    </row>
    <row r="207">
      <c r="A207" s="4">
        <f>IFERROR(__xludf.DUMMYFUNCTION("""COMPUTED_VALUE"""),42575.0)</f>
        <v>42575</v>
      </c>
      <c r="B207" s="5">
        <f>IFERROR(__xludf.DUMMYFUNCTION("""COMPUTED_VALUE"""),1236.0)</f>
        <v>1236</v>
      </c>
      <c r="C207" s="6">
        <f>IFERROR(__xludf.DUMMYFUNCTION("""COMPUTED_VALUE"""),0.2083)</f>
        <v>0.2083</v>
      </c>
      <c r="D207" s="2">
        <f>IFERROR(__xludf.DUMMYFUNCTION("""COMPUTED_VALUE"""),0.0017824074074074075)</f>
        <v>0.001782407407</v>
      </c>
      <c r="E207" s="1">
        <f>IFERROR(__xludf.DUMMYFUNCTION("""COMPUTED_VALUE"""),1.13)</f>
        <v>1.13</v>
      </c>
      <c r="F207" s="1">
        <f>IFERROR(__xludf.DUMMYFUNCTION("""COMPUTED_VALUE"""),4.28)</f>
        <v>4.28</v>
      </c>
      <c r="G207" s="5">
        <f>IFERROR(__xludf.DUMMYFUNCTION("""COMPUTED_VALUE"""),5998.0)</f>
        <v>5998</v>
      </c>
      <c r="H207" s="5">
        <f>IFERROR(__xludf.DUMMYFUNCTION("""COMPUTED_VALUE"""),1402.0)</f>
        <v>1402</v>
      </c>
    </row>
    <row r="208">
      <c r="A208" s="4">
        <f>IFERROR(__xludf.DUMMYFUNCTION("""COMPUTED_VALUE"""),42576.0)</f>
        <v>42576</v>
      </c>
      <c r="B208" s="5">
        <f>IFERROR(__xludf.DUMMYFUNCTION("""COMPUTED_VALUE"""),2013.0)</f>
        <v>2013</v>
      </c>
      <c r="C208" s="6">
        <f>IFERROR(__xludf.DUMMYFUNCTION("""COMPUTED_VALUE"""),0.2762)</f>
        <v>0.2762</v>
      </c>
      <c r="D208" s="2">
        <f>IFERROR(__xludf.DUMMYFUNCTION("""COMPUTED_VALUE"""),0.0021064814814814813)</f>
        <v>0.002106481481</v>
      </c>
      <c r="E208" s="1">
        <f>IFERROR(__xludf.DUMMYFUNCTION("""COMPUTED_VALUE"""),1.12)</f>
        <v>1.12</v>
      </c>
      <c r="F208" s="1">
        <f>IFERROR(__xludf.DUMMYFUNCTION("""COMPUTED_VALUE"""),4.76)</f>
        <v>4.76</v>
      </c>
      <c r="G208" s="5">
        <f>IFERROR(__xludf.DUMMYFUNCTION("""COMPUTED_VALUE"""),10775.0)</f>
        <v>10775</v>
      </c>
      <c r="H208" s="5">
        <f>IFERROR(__xludf.DUMMYFUNCTION("""COMPUTED_VALUE"""),2263.0)</f>
        <v>2263</v>
      </c>
    </row>
    <row r="209">
      <c r="A209" s="4">
        <f>IFERROR(__xludf.DUMMYFUNCTION("""COMPUTED_VALUE"""),42577.0)</f>
        <v>42577</v>
      </c>
      <c r="B209" s="5">
        <f>IFERROR(__xludf.DUMMYFUNCTION("""COMPUTED_VALUE"""),1833.0)</f>
        <v>1833</v>
      </c>
      <c r="C209" s="6">
        <f>IFERROR(__xludf.DUMMYFUNCTION("""COMPUTED_VALUE"""),0.3093)</f>
        <v>0.3093</v>
      </c>
      <c r="D209" s="2">
        <f>IFERROR(__xludf.DUMMYFUNCTION("""COMPUTED_VALUE"""),0.0024305555555555556)</f>
        <v>0.002430555556</v>
      </c>
      <c r="E209" s="1">
        <f>IFERROR(__xludf.DUMMYFUNCTION("""COMPUTED_VALUE"""),1.15)</f>
        <v>1.15</v>
      </c>
      <c r="F209" s="1">
        <f>IFERROR(__xludf.DUMMYFUNCTION("""COMPUTED_VALUE"""),6.1)</f>
        <v>6.1</v>
      </c>
      <c r="G209" s="5">
        <f>IFERROR(__xludf.DUMMYFUNCTION("""COMPUTED_VALUE"""),12872.0)</f>
        <v>12872</v>
      </c>
      <c r="H209" s="5">
        <f>IFERROR(__xludf.DUMMYFUNCTION("""COMPUTED_VALUE"""),2111.0)</f>
        <v>2111</v>
      </c>
    </row>
    <row r="210">
      <c r="A210" s="4">
        <f>IFERROR(__xludf.DUMMYFUNCTION("""COMPUTED_VALUE"""),42578.0)</f>
        <v>42578</v>
      </c>
      <c r="B210" s="5">
        <f>IFERROR(__xludf.DUMMYFUNCTION("""COMPUTED_VALUE"""),1652.0)</f>
        <v>1652</v>
      </c>
      <c r="C210" s="6">
        <f>IFERROR(__xludf.DUMMYFUNCTION("""COMPUTED_VALUE"""),0.3925)</f>
        <v>0.3925</v>
      </c>
      <c r="D210" s="2">
        <f>IFERROR(__xludf.DUMMYFUNCTION("""COMPUTED_VALUE"""),0.002013888888888889)</f>
        <v>0.002013888889</v>
      </c>
      <c r="E210" s="1">
        <f>IFERROR(__xludf.DUMMYFUNCTION("""COMPUTED_VALUE"""),1.13)</f>
        <v>1.13</v>
      </c>
      <c r="F210" s="1">
        <f>IFERROR(__xludf.DUMMYFUNCTION("""COMPUTED_VALUE"""),6.38)</f>
        <v>6.38</v>
      </c>
      <c r="G210" s="5">
        <f>IFERROR(__xludf.DUMMYFUNCTION("""COMPUTED_VALUE"""),11955.0)</f>
        <v>11955</v>
      </c>
      <c r="H210" s="5">
        <f>IFERROR(__xludf.DUMMYFUNCTION("""COMPUTED_VALUE"""),1875.0)</f>
        <v>1875</v>
      </c>
    </row>
    <row r="211">
      <c r="A211" s="4">
        <f>IFERROR(__xludf.DUMMYFUNCTION("""COMPUTED_VALUE"""),42579.0)</f>
        <v>42579</v>
      </c>
      <c r="B211" s="5">
        <f>IFERROR(__xludf.DUMMYFUNCTION("""COMPUTED_VALUE"""),1694.0)</f>
        <v>1694</v>
      </c>
      <c r="C211" s="6">
        <f>IFERROR(__xludf.DUMMYFUNCTION("""COMPUTED_VALUE"""),0.4136)</f>
        <v>0.4136</v>
      </c>
      <c r="D211" s="2">
        <f>IFERROR(__xludf.DUMMYFUNCTION("""COMPUTED_VALUE"""),0.0021412037037037038)</f>
        <v>0.002141203704</v>
      </c>
      <c r="E211" s="1">
        <f>IFERROR(__xludf.DUMMYFUNCTION("""COMPUTED_VALUE"""),1.09)</f>
        <v>1.09</v>
      </c>
      <c r="F211" s="1">
        <f>IFERROR(__xludf.DUMMYFUNCTION("""COMPUTED_VALUE"""),7.56)</f>
        <v>7.56</v>
      </c>
      <c r="G211" s="5">
        <f>IFERROR(__xludf.DUMMYFUNCTION("""COMPUTED_VALUE"""),13969.0)</f>
        <v>13969</v>
      </c>
      <c r="H211" s="5">
        <f>IFERROR(__xludf.DUMMYFUNCTION("""COMPUTED_VALUE"""),1847.0)</f>
        <v>1847</v>
      </c>
    </row>
    <row r="212">
      <c r="A212" s="4">
        <f>IFERROR(__xludf.DUMMYFUNCTION("""COMPUTED_VALUE"""),42580.0)</f>
        <v>42580</v>
      </c>
      <c r="B212" s="5">
        <f>IFERROR(__xludf.DUMMYFUNCTION("""COMPUTED_VALUE"""),1555.0)</f>
        <v>1555</v>
      </c>
      <c r="C212" s="6">
        <f>IFERROR(__xludf.DUMMYFUNCTION("""COMPUTED_VALUE"""),0.4573)</f>
        <v>0.4573</v>
      </c>
      <c r="D212" s="2">
        <f>IFERROR(__xludf.DUMMYFUNCTION("""COMPUTED_VALUE"""),0.002372685185185185)</f>
        <v>0.002372685185</v>
      </c>
      <c r="E212" s="1">
        <f>IFERROR(__xludf.DUMMYFUNCTION("""COMPUTED_VALUE"""),1.15)</f>
        <v>1.15</v>
      </c>
      <c r="F212" s="1">
        <f>IFERROR(__xludf.DUMMYFUNCTION("""COMPUTED_VALUE"""),6.99)</f>
        <v>6.99</v>
      </c>
      <c r="G212" s="5">
        <f>IFERROR(__xludf.DUMMYFUNCTION("""COMPUTED_VALUE"""),12511.0)</f>
        <v>12511</v>
      </c>
      <c r="H212" s="5">
        <f>IFERROR(__xludf.DUMMYFUNCTION("""COMPUTED_VALUE"""),1791.0)</f>
        <v>1791</v>
      </c>
    </row>
    <row r="213">
      <c r="A213" s="4">
        <f>IFERROR(__xludf.DUMMYFUNCTION("""COMPUTED_VALUE"""),42581.0)</f>
        <v>42581</v>
      </c>
      <c r="B213" s="5">
        <f>IFERROR(__xludf.DUMMYFUNCTION("""COMPUTED_VALUE"""),1125.0)</f>
        <v>1125</v>
      </c>
      <c r="C213" s="6">
        <f>IFERROR(__xludf.DUMMYFUNCTION("""COMPUTED_VALUE"""),0.5318)</f>
        <v>0.5318</v>
      </c>
      <c r="D213" s="2">
        <f>IFERROR(__xludf.DUMMYFUNCTION("""COMPUTED_VALUE"""),0.0013541666666666667)</f>
        <v>0.001354166667</v>
      </c>
      <c r="E213" s="1">
        <f>IFERROR(__xludf.DUMMYFUNCTION("""COMPUTED_VALUE"""),1.16)</f>
        <v>1.16</v>
      </c>
      <c r="F213" s="1">
        <f>IFERROR(__xludf.DUMMYFUNCTION("""COMPUTED_VALUE"""),3.97)</f>
        <v>3.97</v>
      </c>
      <c r="G213" s="5">
        <f>IFERROR(__xludf.DUMMYFUNCTION("""COMPUTED_VALUE"""),5179.0)</f>
        <v>5179</v>
      </c>
      <c r="H213" s="5">
        <f>IFERROR(__xludf.DUMMYFUNCTION("""COMPUTED_VALUE"""),1305.0)</f>
        <v>1305</v>
      </c>
    </row>
    <row r="214">
      <c r="A214" s="4">
        <f>IFERROR(__xludf.DUMMYFUNCTION("""COMPUTED_VALUE"""),42582.0)</f>
        <v>42582</v>
      </c>
      <c r="B214" s="5">
        <f>IFERROR(__xludf.DUMMYFUNCTION("""COMPUTED_VALUE"""),1097.0)</f>
        <v>1097</v>
      </c>
      <c r="C214" s="6">
        <f>IFERROR(__xludf.DUMMYFUNCTION("""COMPUTED_VALUE"""),0.5629)</f>
        <v>0.5629</v>
      </c>
      <c r="D214" s="2">
        <f>IFERROR(__xludf.DUMMYFUNCTION("""COMPUTED_VALUE"""),0.0015046296296296296)</f>
        <v>0.00150462963</v>
      </c>
      <c r="E214" s="1">
        <f>IFERROR(__xludf.DUMMYFUNCTION("""COMPUTED_VALUE"""),1.1)</f>
        <v>1.1</v>
      </c>
      <c r="F214" s="1">
        <f>IFERROR(__xludf.DUMMYFUNCTION("""COMPUTED_VALUE"""),4.03)</f>
        <v>4.03</v>
      </c>
      <c r="G214" s="5">
        <f>IFERROR(__xludf.DUMMYFUNCTION("""COMPUTED_VALUE"""),4874.0)</f>
        <v>4874</v>
      </c>
      <c r="H214" s="5">
        <f>IFERROR(__xludf.DUMMYFUNCTION("""COMPUTED_VALUE"""),1208.0)</f>
        <v>1208</v>
      </c>
    </row>
    <row r="215">
      <c r="A215" s="4">
        <f>IFERROR(__xludf.DUMMYFUNCTION("""COMPUTED_VALUE"""),42583.0)</f>
        <v>42583</v>
      </c>
      <c r="B215" s="5">
        <f>IFERROR(__xludf.DUMMYFUNCTION("""COMPUTED_VALUE"""),1611.0)</f>
        <v>1611</v>
      </c>
      <c r="C215" s="6">
        <f>IFERROR(__xludf.DUMMYFUNCTION("""COMPUTED_VALUE"""),0.4518)</f>
        <v>0.4518</v>
      </c>
      <c r="D215" s="2">
        <f>IFERROR(__xludf.DUMMYFUNCTION("""COMPUTED_VALUE"""),0.0022569444444444442)</f>
        <v>0.002256944444</v>
      </c>
      <c r="E215" s="1">
        <f>IFERROR(__xludf.DUMMYFUNCTION("""COMPUTED_VALUE"""),1.07)</f>
        <v>1.07</v>
      </c>
      <c r="F215" s="1">
        <f>IFERROR(__xludf.DUMMYFUNCTION("""COMPUTED_VALUE"""),8.29)</f>
        <v>8.29</v>
      </c>
      <c r="G215" s="5">
        <f>IFERROR(__xludf.DUMMYFUNCTION("""COMPUTED_VALUE"""),14274.0)</f>
        <v>14274</v>
      </c>
      <c r="H215" s="5">
        <f>IFERROR(__xludf.DUMMYFUNCTION("""COMPUTED_VALUE"""),1722.0)</f>
        <v>1722</v>
      </c>
    </row>
    <row r="216">
      <c r="A216" s="4">
        <f>IFERROR(__xludf.DUMMYFUNCTION("""COMPUTED_VALUE"""),42584.0)</f>
        <v>42584</v>
      </c>
      <c r="B216" s="5">
        <f>IFERROR(__xludf.DUMMYFUNCTION("""COMPUTED_VALUE"""),2013.0)</f>
        <v>2013</v>
      </c>
      <c r="C216" s="6">
        <f>IFERROR(__xludf.DUMMYFUNCTION("""COMPUTED_VALUE"""),0.4093)</f>
        <v>0.4093</v>
      </c>
      <c r="D216" s="2">
        <f>IFERROR(__xludf.DUMMYFUNCTION("""COMPUTED_VALUE"""),0.0014814814814814814)</f>
        <v>0.001481481481</v>
      </c>
      <c r="E216" s="1">
        <f>IFERROR(__xludf.DUMMYFUNCTION("""COMPUTED_VALUE"""),1.06)</f>
        <v>1.06</v>
      </c>
      <c r="F216" s="1">
        <f>IFERROR(__xludf.DUMMYFUNCTION("""COMPUTED_VALUE"""),5.03)</f>
        <v>5.03</v>
      </c>
      <c r="G216" s="5">
        <f>IFERROR(__xludf.DUMMYFUNCTION("""COMPUTED_VALUE"""),10747.0)</f>
        <v>10747</v>
      </c>
      <c r="H216" s="5">
        <f>IFERROR(__xludf.DUMMYFUNCTION("""COMPUTED_VALUE"""),2138.0)</f>
        <v>2138</v>
      </c>
    </row>
    <row r="217">
      <c r="A217" s="4">
        <f>IFERROR(__xludf.DUMMYFUNCTION("""COMPUTED_VALUE"""),42585.0)</f>
        <v>42585</v>
      </c>
      <c r="B217" s="5">
        <f>IFERROR(__xludf.DUMMYFUNCTION("""COMPUTED_VALUE"""),2652.0)</f>
        <v>2652</v>
      </c>
      <c r="C217" s="6">
        <f>IFERROR(__xludf.DUMMYFUNCTION("""COMPUTED_VALUE"""),0.4356)</f>
        <v>0.4356</v>
      </c>
      <c r="D217" s="2">
        <f>IFERROR(__xludf.DUMMYFUNCTION("""COMPUTED_VALUE"""),0.0018055555555555555)</f>
        <v>0.001805555556</v>
      </c>
      <c r="E217" s="1">
        <f>IFERROR(__xludf.DUMMYFUNCTION("""COMPUTED_VALUE"""),1.09)</f>
        <v>1.09</v>
      </c>
      <c r="F217" s="1">
        <f>IFERROR(__xludf.DUMMYFUNCTION("""COMPUTED_VALUE"""),4.88)</f>
        <v>4.88</v>
      </c>
      <c r="G217" s="5">
        <f>IFERROR(__xludf.DUMMYFUNCTION("""COMPUTED_VALUE"""),14163.0)</f>
        <v>14163</v>
      </c>
      <c r="H217" s="5">
        <f>IFERROR(__xludf.DUMMYFUNCTION("""COMPUTED_VALUE"""),2902.0)</f>
        <v>2902</v>
      </c>
    </row>
    <row r="218">
      <c r="A218" s="4">
        <f>IFERROR(__xludf.DUMMYFUNCTION("""COMPUTED_VALUE"""),42586.0)</f>
        <v>42586</v>
      </c>
      <c r="B218" s="5">
        <f>IFERROR(__xludf.DUMMYFUNCTION("""COMPUTED_VALUE"""),2958.0)</f>
        <v>2958</v>
      </c>
      <c r="C218" s="6">
        <f>IFERROR(__xludf.DUMMYFUNCTION("""COMPUTED_VALUE"""),0.4933)</f>
        <v>0.4933</v>
      </c>
      <c r="D218" s="2">
        <f>IFERROR(__xludf.DUMMYFUNCTION("""COMPUTED_VALUE"""),0.0014814814814814814)</f>
        <v>0.001481481481</v>
      </c>
      <c r="E218" s="1">
        <f>IFERROR(__xludf.DUMMYFUNCTION("""COMPUTED_VALUE"""),1.07)</f>
        <v>1.07</v>
      </c>
      <c r="F218" s="1">
        <f>IFERROR(__xludf.DUMMYFUNCTION("""COMPUTED_VALUE"""),3.67)</f>
        <v>3.67</v>
      </c>
      <c r="G218" s="5">
        <f>IFERROR(__xludf.DUMMYFUNCTION("""COMPUTED_VALUE"""),11580.0)</f>
        <v>11580</v>
      </c>
      <c r="H218" s="5">
        <f>IFERROR(__xludf.DUMMYFUNCTION("""COMPUTED_VALUE"""),3152.0)</f>
        <v>3152</v>
      </c>
    </row>
    <row r="219">
      <c r="A219" s="4">
        <f>IFERROR(__xludf.DUMMYFUNCTION("""COMPUTED_VALUE"""),42587.0)</f>
        <v>42587</v>
      </c>
      <c r="B219" s="5">
        <f>IFERROR(__xludf.DUMMYFUNCTION("""COMPUTED_VALUE"""),2541.0)</f>
        <v>2541</v>
      </c>
      <c r="C219" s="6">
        <f>IFERROR(__xludf.DUMMYFUNCTION("""COMPUTED_VALUE"""),0.5202)</f>
        <v>0.5202</v>
      </c>
      <c r="D219" s="2">
        <f>IFERROR(__xludf.DUMMYFUNCTION("""COMPUTED_VALUE"""),0.001238425925925926)</f>
        <v>0.001238425926</v>
      </c>
      <c r="E219" s="1">
        <f>IFERROR(__xludf.DUMMYFUNCTION("""COMPUTED_VALUE"""),1.07)</f>
        <v>1.07</v>
      </c>
      <c r="F219" s="1">
        <f>IFERROR(__xludf.DUMMYFUNCTION("""COMPUTED_VALUE"""),4.75)</f>
        <v>4.75</v>
      </c>
      <c r="G219" s="5">
        <f>IFERROR(__xludf.DUMMYFUNCTION("""COMPUTED_VALUE"""),12941.0)</f>
        <v>12941</v>
      </c>
      <c r="H219" s="5">
        <f>IFERROR(__xludf.DUMMYFUNCTION("""COMPUTED_VALUE"""),2722.0)</f>
        <v>2722</v>
      </c>
    </row>
    <row r="220">
      <c r="A220" s="4">
        <f>IFERROR(__xludf.DUMMYFUNCTION("""COMPUTED_VALUE"""),42588.0)</f>
        <v>42588</v>
      </c>
      <c r="B220" s="5">
        <f>IFERROR(__xludf.DUMMYFUNCTION("""COMPUTED_VALUE"""),1514.0)</f>
        <v>1514</v>
      </c>
      <c r="C220" s="6">
        <f>IFERROR(__xludf.DUMMYFUNCTION("""COMPUTED_VALUE"""),0.5298)</f>
        <v>0.5298</v>
      </c>
      <c r="D220" s="2">
        <f>IFERROR(__xludf.DUMMYFUNCTION("""COMPUTED_VALUE"""),0.0010648148148148149)</f>
        <v>0.001064814815</v>
      </c>
      <c r="E220" s="1">
        <f>IFERROR(__xludf.DUMMYFUNCTION("""COMPUTED_VALUE"""),1.07)</f>
        <v>1.07</v>
      </c>
      <c r="F220" s="1">
        <f>IFERROR(__xludf.DUMMYFUNCTION("""COMPUTED_VALUE"""),4.23)</f>
        <v>4.23</v>
      </c>
      <c r="G220" s="5">
        <f>IFERROR(__xludf.DUMMYFUNCTION("""COMPUTED_VALUE"""),6873.0)</f>
        <v>6873</v>
      </c>
      <c r="H220" s="5">
        <f>IFERROR(__xludf.DUMMYFUNCTION("""COMPUTED_VALUE"""),1625.0)</f>
        <v>1625</v>
      </c>
    </row>
    <row r="221">
      <c r="A221" s="4">
        <f>IFERROR(__xludf.DUMMYFUNCTION("""COMPUTED_VALUE"""),42589.0)</f>
        <v>42589</v>
      </c>
      <c r="B221" s="5">
        <f>IFERROR(__xludf.DUMMYFUNCTION("""COMPUTED_VALUE"""),1541.0)</f>
        <v>1541</v>
      </c>
      <c r="C221" s="6">
        <f>IFERROR(__xludf.DUMMYFUNCTION("""COMPUTED_VALUE"""),0.5616)</f>
        <v>0.5616</v>
      </c>
      <c r="D221" s="2">
        <f>IFERROR(__xludf.DUMMYFUNCTION("""COMPUTED_VALUE"""),0.0013657407407407407)</f>
        <v>0.001365740741</v>
      </c>
      <c r="E221" s="1">
        <f>IFERROR(__xludf.DUMMYFUNCTION("""COMPUTED_VALUE"""),1.03)</f>
        <v>1.03</v>
      </c>
      <c r="F221" s="1">
        <f>IFERROR(__xludf.DUMMYFUNCTION("""COMPUTED_VALUE"""),4.82)</f>
        <v>4.82</v>
      </c>
      <c r="G221" s="5">
        <f>IFERROR(__xludf.DUMMYFUNCTION("""COMPUTED_VALUE"""),7637.0)</f>
        <v>7637</v>
      </c>
      <c r="H221" s="5">
        <f>IFERROR(__xludf.DUMMYFUNCTION("""COMPUTED_VALUE"""),1583.0)</f>
        <v>1583</v>
      </c>
    </row>
    <row r="222">
      <c r="A222" s="4">
        <f>IFERROR(__xludf.DUMMYFUNCTION("""COMPUTED_VALUE"""),42590.0)</f>
        <v>42590</v>
      </c>
      <c r="B222" s="5">
        <f>IFERROR(__xludf.DUMMYFUNCTION("""COMPUTED_VALUE"""),2583.0)</f>
        <v>2583</v>
      </c>
      <c r="C222" s="6">
        <f>IFERROR(__xludf.DUMMYFUNCTION("""COMPUTED_VALUE"""),0.4679)</f>
        <v>0.4679</v>
      </c>
      <c r="D222" s="2">
        <f>IFERROR(__xludf.DUMMYFUNCTION("""COMPUTED_VALUE"""),9.490740740740741E-4)</f>
        <v>0.0009490740741</v>
      </c>
      <c r="E222" s="1">
        <f>IFERROR(__xludf.DUMMYFUNCTION("""COMPUTED_VALUE"""),1.09)</f>
        <v>1.09</v>
      </c>
      <c r="F222" s="1">
        <f>IFERROR(__xludf.DUMMYFUNCTION("""COMPUTED_VALUE"""),3.97)</f>
        <v>3.97</v>
      </c>
      <c r="G222" s="5">
        <f>IFERROR(__xludf.DUMMYFUNCTION("""COMPUTED_VALUE"""),11178.0)</f>
        <v>11178</v>
      </c>
      <c r="H222" s="5">
        <f>IFERROR(__xludf.DUMMYFUNCTION("""COMPUTED_VALUE"""),2819.0)</f>
        <v>2819</v>
      </c>
    </row>
    <row r="223">
      <c r="A223" s="4">
        <f>IFERROR(__xludf.DUMMYFUNCTION("""COMPUTED_VALUE"""),42591.0)</f>
        <v>42591</v>
      </c>
      <c r="B223" s="5">
        <f>IFERROR(__xludf.DUMMYFUNCTION("""COMPUTED_VALUE"""),2638.0)</f>
        <v>2638</v>
      </c>
      <c r="C223" s="6">
        <f>IFERROR(__xludf.DUMMYFUNCTION("""COMPUTED_VALUE"""),0.4761)</f>
        <v>0.4761</v>
      </c>
      <c r="D223" s="2">
        <f>IFERROR(__xludf.DUMMYFUNCTION("""COMPUTED_VALUE"""),0.0014583333333333334)</f>
        <v>0.001458333333</v>
      </c>
      <c r="E223" s="1">
        <f>IFERROR(__xludf.DUMMYFUNCTION("""COMPUTED_VALUE"""),1.09)</f>
        <v>1.09</v>
      </c>
      <c r="F223" s="1">
        <f>IFERROR(__xludf.DUMMYFUNCTION("""COMPUTED_VALUE"""),4.25)</f>
        <v>4.25</v>
      </c>
      <c r="G223" s="5">
        <f>IFERROR(__xludf.DUMMYFUNCTION("""COMPUTED_VALUE"""),12261.0)</f>
        <v>12261</v>
      </c>
      <c r="H223" s="5">
        <f>IFERROR(__xludf.DUMMYFUNCTION("""COMPUTED_VALUE"""),2888.0)</f>
        <v>2888</v>
      </c>
    </row>
    <row r="224">
      <c r="A224" s="4">
        <f>IFERROR(__xludf.DUMMYFUNCTION("""COMPUTED_VALUE"""),42592.0)</f>
        <v>42592</v>
      </c>
      <c r="B224" s="5">
        <f>IFERROR(__xludf.DUMMYFUNCTION("""COMPUTED_VALUE"""),2472.0)</f>
        <v>2472</v>
      </c>
      <c r="C224" s="6">
        <f>IFERROR(__xludf.DUMMYFUNCTION("""COMPUTED_VALUE"""),0.4644)</f>
        <v>0.4644</v>
      </c>
      <c r="D224" s="2">
        <f>IFERROR(__xludf.DUMMYFUNCTION("""COMPUTED_VALUE"""),0.0017592592592592592)</f>
        <v>0.001759259259</v>
      </c>
      <c r="E224" s="1">
        <f>IFERROR(__xludf.DUMMYFUNCTION("""COMPUTED_VALUE"""),1.1)</f>
        <v>1.1</v>
      </c>
      <c r="F224" s="1">
        <f>IFERROR(__xludf.DUMMYFUNCTION("""COMPUTED_VALUE"""),5.48)</f>
        <v>5.48</v>
      </c>
      <c r="G224" s="5">
        <f>IFERROR(__xludf.DUMMYFUNCTION("""COMPUTED_VALUE"""),14927.0)</f>
        <v>14927</v>
      </c>
      <c r="H224" s="5">
        <f>IFERROR(__xludf.DUMMYFUNCTION("""COMPUTED_VALUE"""),2722.0)</f>
        <v>2722</v>
      </c>
    </row>
    <row r="225">
      <c r="A225" s="4">
        <f>IFERROR(__xludf.DUMMYFUNCTION("""COMPUTED_VALUE"""),42593.0)</f>
        <v>42593</v>
      </c>
      <c r="B225" s="5">
        <f>IFERROR(__xludf.DUMMYFUNCTION("""COMPUTED_VALUE"""),2485.0)</f>
        <v>2485</v>
      </c>
      <c r="C225" s="6">
        <f>IFERROR(__xludf.DUMMYFUNCTION("""COMPUTED_VALUE"""),0.4766)</f>
        <v>0.4766</v>
      </c>
      <c r="D225" s="2">
        <f>IFERROR(__xludf.DUMMYFUNCTION("""COMPUTED_VALUE"""),0.001724537037037037)</f>
        <v>0.001724537037</v>
      </c>
      <c r="E225" s="1">
        <f>IFERROR(__xludf.DUMMYFUNCTION("""COMPUTED_VALUE"""),1.07)</f>
        <v>1.07</v>
      </c>
      <c r="F225" s="1">
        <f>IFERROR(__xludf.DUMMYFUNCTION("""COMPUTED_VALUE"""),5.31)</f>
        <v>5.31</v>
      </c>
      <c r="G225" s="5">
        <f>IFERROR(__xludf.DUMMYFUNCTION("""COMPUTED_VALUE"""),14094.0)</f>
        <v>14094</v>
      </c>
      <c r="H225" s="5">
        <f>IFERROR(__xludf.DUMMYFUNCTION("""COMPUTED_VALUE"""),2652.0)</f>
        <v>2652</v>
      </c>
    </row>
    <row r="226">
      <c r="A226" s="4">
        <f>IFERROR(__xludf.DUMMYFUNCTION("""COMPUTED_VALUE"""),42594.0)</f>
        <v>42594</v>
      </c>
      <c r="B226" s="5">
        <f>IFERROR(__xludf.DUMMYFUNCTION("""COMPUTED_VALUE"""),2402.0)</f>
        <v>2402</v>
      </c>
      <c r="C226" s="6">
        <f>IFERROR(__xludf.DUMMYFUNCTION("""COMPUTED_VALUE"""),0.4364)</f>
        <v>0.4364</v>
      </c>
      <c r="D226" s="2">
        <f>IFERROR(__xludf.DUMMYFUNCTION("""COMPUTED_VALUE"""),0.002002314814814815)</f>
        <v>0.002002314815</v>
      </c>
      <c r="E226" s="1">
        <f>IFERROR(__xludf.DUMMYFUNCTION("""COMPUTED_VALUE"""),1.09)</f>
        <v>1.09</v>
      </c>
      <c r="F226" s="1">
        <f>IFERROR(__xludf.DUMMYFUNCTION("""COMPUTED_VALUE"""),5.96)</f>
        <v>5.96</v>
      </c>
      <c r="G226" s="5">
        <f>IFERROR(__xludf.DUMMYFUNCTION("""COMPUTED_VALUE"""),15552.0)</f>
        <v>15552</v>
      </c>
      <c r="H226" s="5">
        <f>IFERROR(__xludf.DUMMYFUNCTION("""COMPUTED_VALUE"""),2610.0)</f>
        <v>2610</v>
      </c>
    </row>
    <row r="227">
      <c r="A227" s="4">
        <f>IFERROR(__xludf.DUMMYFUNCTION("""COMPUTED_VALUE"""),42595.0)</f>
        <v>42595</v>
      </c>
      <c r="B227" s="5">
        <f>IFERROR(__xludf.DUMMYFUNCTION("""COMPUTED_VALUE"""),1527.0)</f>
        <v>1527</v>
      </c>
      <c r="C227" s="6">
        <f>IFERROR(__xludf.DUMMYFUNCTION("""COMPUTED_VALUE"""),0.5258)</f>
        <v>0.5258</v>
      </c>
      <c r="D227" s="2">
        <f>IFERROR(__xludf.DUMMYFUNCTION("""COMPUTED_VALUE"""),0.0011805555555555556)</f>
        <v>0.001180555556</v>
      </c>
      <c r="E227" s="1">
        <f>IFERROR(__xludf.DUMMYFUNCTION("""COMPUTED_VALUE"""),1.06)</f>
        <v>1.06</v>
      </c>
      <c r="F227" s="1">
        <f>IFERROR(__xludf.DUMMYFUNCTION("""COMPUTED_VALUE"""),3.65)</f>
        <v>3.65</v>
      </c>
      <c r="G227" s="5">
        <f>IFERROR(__xludf.DUMMYFUNCTION("""COMPUTED_VALUE"""),5887.0)</f>
        <v>5887</v>
      </c>
      <c r="H227" s="5">
        <f>IFERROR(__xludf.DUMMYFUNCTION("""COMPUTED_VALUE"""),1611.0)</f>
        <v>1611</v>
      </c>
    </row>
    <row r="228">
      <c r="A228" s="4">
        <f>IFERROR(__xludf.DUMMYFUNCTION("""COMPUTED_VALUE"""),42596.0)</f>
        <v>42596</v>
      </c>
      <c r="B228" s="5">
        <f>IFERROR(__xludf.DUMMYFUNCTION("""COMPUTED_VALUE"""),1638.0)</f>
        <v>1638</v>
      </c>
      <c r="C228" s="6">
        <f>IFERROR(__xludf.DUMMYFUNCTION("""COMPUTED_VALUE"""),0.5391)</f>
        <v>0.5391</v>
      </c>
      <c r="D228" s="2">
        <f>IFERROR(__xludf.DUMMYFUNCTION("""COMPUTED_VALUE"""),0.0010879629629629629)</f>
        <v>0.001087962963</v>
      </c>
      <c r="E228" s="1">
        <f>IFERROR(__xludf.DUMMYFUNCTION("""COMPUTED_VALUE"""),1.08)</f>
        <v>1.08</v>
      </c>
      <c r="F228" s="1">
        <f>IFERROR(__xludf.DUMMYFUNCTION("""COMPUTED_VALUE"""),3.34)</f>
        <v>3.34</v>
      </c>
      <c r="G228" s="5">
        <f>IFERROR(__xludf.DUMMYFUNCTION("""COMPUTED_VALUE"""),5943.0)</f>
        <v>5943</v>
      </c>
      <c r="H228" s="5">
        <f>IFERROR(__xludf.DUMMYFUNCTION("""COMPUTED_VALUE"""),1777.0)</f>
        <v>1777</v>
      </c>
    </row>
    <row r="229">
      <c r="A229" s="4">
        <f>IFERROR(__xludf.DUMMYFUNCTION("""COMPUTED_VALUE"""),42597.0)</f>
        <v>42597</v>
      </c>
      <c r="B229" s="5">
        <f>IFERROR(__xludf.DUMMYFUNCTION("""COMPUTED_VALUE"""),2666.0)</f>
        <v>2666</v>
      </c>
      <c r="C229" s="6">
        <f>IFERROR(__xludf.DUMMYFUNCTION("""COMPUTED_VALUE"""),0.3989)</f>
        <v>0.3989</v>
      </c>
      <c r="D229" s="2">
        <f>IFERROR(__xludf.DUMMYFUNCTION("""COMPUTED_VALUE"""),0.0018055555555555555)</f>
        <v>0.001805555556</v>
      </c>
      <c r="E229" s="1">
        <f>IFERROR(__xludf.DUMMYFUNCTION("""COMPUTED_VALUE"""),1.11)</f>
        <v>1.11</v>
      </c>
      <c r="F229" s="1">
        <f>IFERROR(__xludf.DUMMYFUNCTION("""COMPUTED_VALUE"""),4.59)</f>
        <v>4.59</v>
      </c>
      <c r="G229" s="5">
        <f>IFERROR(__xludf.DUMMYFUNCTION("""COMPUTED_VALUE"""),13566.0)</f>
        <v>13566</v>
      </c>
      <c r="H229" s="5">
        <f>IFERROR(__xludf.DUMMYFUNCTION("""COMPUTED_VALUE"""),2958.0)</f>
        <v>2958</v>
      </c>
    </row>
    <row r="230">
      <c r="A230" s="4">
        <f>IFERROR(__xludf.DUMMYFUNCTION("""COMPUTED_VALUE"""),42598.0)</f>
        <v>42598</v>
      </c>
      <c r="B230" s="5">
        <f>IFERROR(__xludf.DUMMYFUNCTION("""COMPUTED_VALUE"""),2624.0)</f>
        <v>2624</v>
      </c>
      <c r="C230" s="6">
        <f>IFERROR(__xludf.DUMMYFUNCTION("""COMPUTED_VALUE"""),0.453)</f>
        <v>0.453</v>
      </c>
      <c r="D230" s="2">
        <f>IFERROR(__xludf.DUMMYFUNCTION("""COMPUTED_VALUE"""),0.0023032407407407407)</f>
        <v>0.002303240741</v>
      </c>
      <c r="E230" s="1">
        <f>IFERROR(__xludf.DUMMYFUNCTION("""COMPUTED_VALUE"""),1.07)</f>
        <v>1.07</v>
      </c>
      <c r="F230" s="1">
        <f>IFERROR(__xludf.DUMMYFUNCTION("""COMPUTED_VALUE"""),6.24)</f>
        <v>6.24</v>
      </c>
      <c r="G230" s="5">
        <f>IFERROR(__xludf.DUMMYFUNCTION("""COMPUTED_VALUE"""),17579.0)</f>
        <v>17579</v>
      </c>
      <c r="H230" s="5">
        <f>IFERROR(__xludf.DUMMYFUNCTION("""COMPUTED_VALUE"""),2819.0)</f>
        <v>2819</v>
      </c>
    </row>
    <row r="231">
      <c r="A231" s="4">
        <f>IFERROR(__xludf.DUMMYFUNCTION("""COMPUTED_VALUE"""),42599.0)</f>
        <v>42599</v>
      </c>
      <c r="B231" s="5">
        <f>IFERROR(__xludf.DUMMYFUNCTION("""COMPUTED_VALUE"""),2555.0)</f>
        <v>2555</v>
      </c>
      <c r="C231" s="6">
        <f>IFERROR(__xludf.DUMMYFUNCTION("""COMPUTED_VALUE"""),0.5374)</f>
        <v>0.5374</v>
      </c>
      <c r="D231" s="2">
        <f>IFERROR(__xludf.DUMMYFUNCTION("""COMPUTED_VALUE"""),0.0015046296296296296)</f>
        <v>0.00150462963</v>
      </c>
      <c r="E231" s="1">
        <f>IFERROR(__xludf.DUMMYFUNCTION("""COMPUTED_VALUE"""),1.09)</f>
        <v>1.09</v>
      </c>
      <c r="F231" s="1">
        <f>IFERROR(__xludf.DUMMYFUNCTION("""COMPUTED_VALUE"""),4.77)</f>
        <v>4.77</v>
      </c>
      <c r="G231" s="5">
        <f>IFERROR(__xludf.DUMMYFUNCTION("""COMPUTED_VALUE"""),13302.0)</f>
        <v>13302</v>
      </c>
      <c r="H231" s="5">
        <f>IFERROR(__xludf.DUMMYFUNCTION("""COMPUTED_VALUE"""),2791.0)</f>
        <v>2791</v>
      </c>
    </row>
    <row r="232">
      <c r="A232" s="4">
        <f>IFERROR(__xludf.DUMMYFUNCTION("""COMPUTED_VALUE"""),42600.0)</f>
        <v>42600</v>
      </c>
      <c r="B232" s="5">
        <f>IFERROR(__xludf.DUMMYFUNCTION("""COMPUTED_VALUE"""),2569.0)</f>
        <v>2569</v>
      </c>
      <c r="C232" s="6">
        <f>IFERROR(__xludf.DUMMYFUNCTION("""COMPUTED_VALUE"""),0.4669)</f>
        <v>0.4669</v>
      </c>
      <c r="D232" s="2">
        <f>IFERROR(__xludf.DUMMYFUNCTION("""COMPUTED_VALUE"""),0.0019444444444444444)</f>
        <v>0.001944444444</v>
      </c>
      <c r="E232" s="1">
        <f>IFERROR(__xludf.DUMMYFUNCTION("""COMPUTED_VALUE"""),1.06)</f>
        <v>1.06</v>
      </c>
      <c r="F232" s="1">
        <f>IFERROR(__xludf.DUMMYFUNCTION("""COMPUTED_VALUE"""),5.16)</f>
        <v>5.16</v>
      </c>
      <c r="G232" s="5">
        <f>IFERROR(__xludf.DUMMYFUNCTION("""COMPUTED_VALUE"""),14108.0)</f>
        <v>14108</v>
      </c>
      <c r="H232" s="5">
        <f>IFERROR(__xludf.DUMMYFUNCTION("""COMPUTED_VALUE"""),2735.0)</f>
        <v>2735</v>
      </c>
    </row>
    <row r="233">
      <c r="A233" s="4">
        <f>IFERROR(__xludf.DUMMYFUNCTION("""COMPUTED_VALUE"""),42601.0)</f>
        <v>42601</v>
      </c>
      <c r="B233" s="5">
        <f>IFERROR(__xludf.DUMMYFUNCTION("""COMPUTED_VALUE"""),2111.0)</f>
        <v>2111</v>
      </c>
      <c r="C233" s="6">
        <f>IFERROR(__xludf.DUMMYFUNCTION("""COMPUTED_VALUE"""),0.4912)</f>
        <v>0.4912</v>
      </c>
      <c r="D233" s="2">
        <f>IFERROR(__xludf.DUMMYFUNCTION("""COMPUTED_VALUE"""),0.0017592592592592592)</f>
        <v>0.001759259259</v>
      </c>
      <c r="E233" s="1">
        <f>IFERROR(__xludf.DUMMYFUNCTION("""COMPUTED_VALUE"""),1.1)</f>
        <v>1.1</v>
      </c>
      <c r="F233" s="1">
        <f>IFERROR(__xludf.DUMMYFUNCTION("""COMPUTED_VALUE"""),5.35)</f>
        <v>5.35</v>
      </c>
      <c r="G233" s="5">
        <f>IFERROR(__xludf.DUMMYFUNCTION("""COMPUTED_VALUE"""),12400.0)</f>
        <v>12400</v>
      </c>
      <c r="H233" s="5">
        <f>IFERROR(__xludf.DUMMYFUNCTION("""COMPUTED_VALUE"""),2319.0)</f>
        <v>2319</v>
      </c>
    </row>
    <row r="234">
      <c r="A234" s="4">
        <f>IFERROR(__xludf.DUMMYFUNCTION("""COMPUTED_VALUE"""),42602.0)</f>
        <v>42602</v>
      </c>
      <c r="B234" s="5">
        <f>IFERROR(__xludf.DUMMYFUNCTION("""COMPUTED_VALUE"""),1555.0)</f>
        <v>1555</v>
      </c>
      <c r="C234" s="6">
        <f>IFERROR(__xludf.DUMMYFUNCTION("""COMPUTED_VALUE"""),0.5714)</f>
        <v>0.5714</v>
      </c>
      <c r="D234" s="2">
        <f>IFERROR(__xludf.DUMMYFUNCTION("""COMPUTED_VALUE"""),0.0011574074074074073)</f>
        <v>0.001157407407</v>
      </c>
      <c r="E234" s="1">
        <f>IFERROR(__xludf.DUMMYFUNCTION("""COMPUTED_VALUE"""),1.06)</f>
        <v>1.06</v>
      </c>
      <c r="F234" s="1">
        <f>IFERROR(__xludf.DUMMYFUNCTION("""COMPUTED_VALUE"""),4.08)</f>
        <v>4.08</v>
      </c>
      <c r="G234" s="5">
        <f>IFERROR(__xludf.DUMMYFUNCTION("""COMPUTED_VALUE"""),6748.0)</f>
        <v>6748</v>
      </c>
      <c r="H234" s="5">
        <f>IFERROR(__xludf.DUMMYFUNCTION("""COMPUTED_VALUE"""),1652.0)</f>
        <v>1652</v>
      </c>
    </row>
    <row r="235">
      <c r="A235" s="4">
        <f>IFERROR(__xludf.DUMMYFUNCTION("""COMPUTED_VALUE"""),42603.0)</f>
        <v>42603</v>
      </c>
      <c r="B235" s="5">
        <f>IFERROR(__xludf.DUMMYFUNCTION("""COMPUTED_VALUE"""),1722.0)</f>
        <v>1722</v>
      </c>
      <c r="C235" s="6">
        <f>IFERROR(__xludf.DUMMYFUNCTION("""COMPUTED_VALUE"""),0.5276)</f>
        <v>0.5276</v>
      </c>
      <c r="D235" s="2">
        <f>IFERROR(__xludf.DUMMYFUNCTION("""COMPUTED_VALUE"""),0.0012731481481481483)</f>
        <v>0.001273148148</v>
      </c>
      <c r="E235" s="1">
        <f>IFERROR(__xludf.DUMMYFUNCTION("""COMPUTED_VALUE"""),1.01)</f>
        <v>1.01</v>
      </c>
      <c r="F235" s="1">
        <f>IFERROR(__xludf.DUMMYFUNCTION("""COMPUTED_VALUE"""),3.92)</f>
        <v>3.92</v>
      </c>
      <c r="G235" s="5">
        <f>IFERROR(__xludf.DUMMYFUNCTION("""COMPUTED_VALUE"""),6804.0)</f>
        <v>6804</v>
      </c>
      <c r="H235" s="5">
        <f>IFERROR(__xludf.DUMMYFUNCTION("""COMPUTED_VALUE"""),1736.0)</f>
        <v>1736</v>
      </c>
    </row>
    <row r="236">
      <c r="A236" s="4">
        <f>IFERROR(__xludf.DUMMYFUNCTION("""COMPUTED_VALUE"""),42604.0)</f>
        <v>42604</v>
      </c>
      <c r="B236" s="5">
        <f>IFERROR(__xludf.DUMMYFUNCTION("""COMPUTED_VALUE"""),2430.0)</f>
        <v>2430</v>
      </c>
      <c r="C236" s="6">
        <f>IFERROR(__xludf.DUMMYFUNCTION("""COMPUTED_VALUE"""),0.4866)</f>
        <v>0.4866</v>
      </c>
      <c r="D236" s="2">
        <f>IFERROR(__xludf.DUMMYFUNCTION("""COMPUTED_VALUE"""),0.0011805555555555556)</f>
        <v>0.001180555556</v>
      </c>
      <c r="E236" s="1">
        <f>IFERROR(__xludf.DUMMYFUNCTION("""COMPUTED_VALUE"""),1.06)</f>
        <v>1.06</v>
      </c>
      <c r="F236" s="1">
        <f>IFERROR(__xludf.DUMMYFUNCTION("""COMPUTED_VALUE"""),3.9)</f>
        <v>3.9</v>
      </c>
      <c r="G236" s="5">
        <f>IFERROR(__xludf.DUMMYFUNCTION("""COMPUTED_VALUE"""),10011.0)</f>
        <v>10011</v>
      </c>
      <c r="H236" s="5">
        <f>IFERROR(__xludf.DUMMYFUNCTION("""COMPUTED_VALUE"""),2569.0)</f>
        <v>2569</v>
      </c>
    </row>
    <row r="237">
      <c r="A237" s="4">
        <f>IFERROR(__xludf.DUMMYFUNCTION("""COMPUTED_VALUE"""),42605.0)</f>
        <v>42605</v>
      </c>
      <c r="B237" s="5">
        <f>IFERROR(__xludf.DUMMYFUNCTION("""COMPUTED_VALUE"""),2597.0)</f>
        <v>2597</v>
      </c>
      <c r="C237" s="6">
        <f>IFERROR(__xludf.DUMMYFUNCTION("""COMPUTED_VALUE"""),0.5027)</f>
        <v>0.5027</v>
      </c>
      <c r="D237" s="2">
        <f>IFERROR(__xludf.DUMMYFUNCTION("""COMPUTED_VALUE"""),0.001574074074074074)</f>
        <v>0.001574074074</v>
      </c>
      <c r="E237" s="1">
        <f>IFERROR(__xludf.DUMMYFUNCTION("""COMPUTED_VALUE"""),1.06)</f>
        <v>1.06</v>
      </c>
      <c r="F237" s="1">
        <f>IFERROR(__xludf.DUMMYFUNCTION("""COMPUTED_VALUE"""),3.71)</f>
        <v>3.71</v>
      </c>
      <c r="G237" s="5">
        <f>IFERROR(__xludf.DUMMYFUNCTION("""COMPUTED_VALUE"""),10247.0)</f>
        <v>10247</v>
      </c>
      <c r="H237" s="5">
        <f>IFERROR(__xludf.DUMMYFUNCTION("""COMPUTED_VALUE"""),2763.0)</f>
        <v>2763</v>
      </c>
    </row>
    <row r="238">
      <c r="A238" s="4">
        <f>IFERROR(__xludf.DUMMYFUNCTION("""COMPUTED_VALUE"""),42606.0)</f>
        <v>42606</v>
      </c>
      <c r="B238" s="5">
        <f>IFERROR(__xludf.DUMMYFUNCTION("""COMPUTED_VALUE"""),2388.0)</f>
        <v>2388</v>
      </c>
      <c r="C238" s="6">
        <f>IFERROR(__xludf.DUMMYFUNCTION("""COMPUTED_VALUE"""),0.4579)</f>
        <v>0.4579</v>
      </c>
      <c r="D238" s="2">
        <f>IFERROR(__xludf.DUMMYFUNCTION("""COMPUTED_VALUE"""),0.001875)</f>
        <v>0.001875</v>
      </c>
      <c r="E238" s="1">
        <f>IFERROR(__xludf.DUMMYFUNCTION("""COMPUTED_VALUE"""),1.1)</f>
        <v>1.1</v>
      </c>
      <c r="F238" s="1">
        <f>IFERROR(__xludf.DUMMYFUNCTION("""COMPUTED_VALUE"""),5.47)</f>
        <v>5.47</v>
      </c>
      <c r="G238" s="5">
        <f>IFERROR(__xludf.DUMMYFUNCTION("""COMPUTED_VALUE"""),14427.0)</f>
        <v>14427</v>
      </c>
      <c r="H238" s="5">
        <f>IFERROR(__xludf.DUMMYFUNCTION("""COMPUTED_VALUE"""),2638.0)</f>
        <v>2638</v>
      </c>
    </row>
    <row r="239">
      <c r="A239" s="4">
        <f>IFERROR(__xludf.DUMMYFUNCTION("""COMPUTED_VALUE"""),42607.0)</f>
        <v>42607</v>
      </c>
      <c r="B239" s="5">
        <f>IFERROR(__xludf.DUMMYFUNCTION("""COMPUTED_VALUE"""),2319.0)</f>
        <v>2319</v>
      </c>
      <c r="C239" s="6">
        <f>IFERROR(__xludf.DUMMYFUNCTION("""COMPUTED_VALUE"""),0.4097)</f>
        <v>0.4097</v>
      </c>
      <c r="D239" s="2">
        <f>IFERROR(__xludf.DUMMYFUNCTION("""COMPUTED_VALUE"""),0.0016782407407407408)</f>
        <v>0.001678240741</v>
      </c>
      <c r="E239" s="1">
        <f>IFERROR(__xludf.DUMMYFUNCTION("""COMPUTED_VALUE"""),1.1)</f>
        <v>1.1</v>
      </c>
      <c r="F239" s="1">
        <f>IFERROR(__xludf.DUMMYFUNCTION("""COMPUTED_VALUE"""),5.18)</f>
        <v>5.18</v>
      </c>
      <c r="G239" s="5">
        <f>IFERROR(__xludf.DUMMYFUNCTION("""COMPUTED_VALUE"""),13163.0)</f>
        <v>13163</v>
      </c>
      <c r="H239" s="5">
        <f>IFERROR(__xludf.DUMMYFUNCTION("""COMPUTED_VALUE"""),2541.0)</f>
        <v>2541</v>
      </c>
    </row>
    <row r="240">
      <c r="A240" s="4">
        <f>IFERROR(__xludf.DUMMYFUNCTION("""COMPUTED_VALUE"""),42608.0)</f>
        <v>42608</v>
      </c>
      <c r="B240" s="5">
        <f>IFERROR(__xludf.DUMMYFUNCTION("""COMPUTED_VALUE"""),2166.0)</f>
        <v>2166</v>
      </c>
      <c r="C240" s="6">
        <f>IFERROR(__xludf.DUMMYFUNCTION("""COMPUTED_VALUE"""),0.3691)</f>
        <v>0.3691</v>
      </c>
      <c r="D240" s="2">
        <f>IFERROR(__xludf.DUMMYFUNCTION("""COMPUTED_VALUE"""),0.0021643518518518518)</f>
        <v>0.002164351852</v>
      </c>
      <c r="E240" s="1">
        <f>IFERROR(__xludf.DUMMYFUNCTION("""COMPUTED_VALUE"""),1.08)</f>
        <v>1.08</v>
      </c>
      <c r="F240" s="1">
        <f>IFERROR(__xludf.DUMMYFUNCTION("""COMPUTED_VALUE"""),7.94)</f>
        <v>7.94</v>
      </c>
      <c r="G240" s="5">
        <f>IFERROR(__xludf.DUMMYFUNCTION("""COMPUTED_VALUE"""),18523.0)</f>
        <v>18523</v>
      </c>
      <c r="H240" s="5">
        <f>IFERROR(__xludf.DUMMYFUNCTION("""COMPUTED_VALUE"""),2333.0)</f>
        <v>2333</v>
      </c>
    </row>
    <row r="241">
      <c r="A241" s="4">
        <f>IFERROR(__xludf.DUMMYFUNCTION("""COMPUTED_VALUE"""),42609.0)</f>
        <v>42609</v>
      </c>
      <c r="B241" s="5">
        <f>IFERROR(__xludf.DUMMYFUNCTION("""COMPUTED_VALUE"""),1583.0)</f>
        <v>1583</v>
      </c>
      <c r="C241" s="6">
        <f>IFERROR(__xludf.DUMMYFUNCTION("""COMPUTED_VALUE"""),0.5918)</f>
        <v>0.5918</v>
      </c>
      <c r="D241" s="2">
        <f>IFERROR(__xludf.DUMMYFUNCTION("""COMPUTED_VALUE"""),0.0013194444444444445)</f>
        <v>0.001319444444</v>
      </c>
      <c r="E241" s="1">
        <f>IFERROR(__xludf.DUMMYFUNCTION("""COMPUTED_VALUE"""),1.05)</f>
        <v>1.05</v>
      </c>
      <c r="F241" s="1">
        <f>IFERROR(__xludf.DUMMYFUNCTION("""COMPUTED_VALUE"""),4.15)</f>
        <v>4.15</v>
      </c>
      <c r="G241" s="5">
        <f>IFERROR(__xludf.DUMMYFUNCTION("""COMPUTED_VALUE"""),6915.0)</f>
        <v>6915</v>
      </c>
      <c r="H241" s="5">
        <f>IFERROR(__xludf.DUMMYFUNCTION("""COMPUTED_VALUE"""),1666.0)</f>
        <v>1666</v>
      </c>
    </row>
    <row r="242">
      <c r="A242" s="4">
        <f>IFERROR(__xludf.DUMMYFUNCTION("""COMPUTED_VALUE"""),42610.0)</f>
        <v>42610</v>
      </c>
      <c r="B242" s="5">
        <f>IFERROR(__xludf.DUMMYFUNCTION("""COMPUTED_VALUE"""),1583.0)</f>
        <v>1583</v>
      </c>
      <c r="C242" s="6">
        <f>IFERROR(__xludf.DUMMYFUNCTION("""COMPUTED_VALUE"""),0.5513)</f>
        <v>0.5513</v>
      </c>
      <c r="D242" s="2">
        <f>IFERROR(__xludf.DUMMYFUNCTION("""COMPUTED_VALUE"""),0.001851851851851852)</f>
        <v>0.001851851852</v>
      </c>
      <c r="E242" s="1">
        <f>IFERROR(__xludf.DUMMYFUNCTION("""COMPUTED_VALUE"""),1.03)</f>
        <v>1.03</v>
      </c>
      <c r="F242" s="1">
        <f>IFERROR(__xludf.DUMMYFUNCTION("""COMPUTED_VALUE"""),4.55)</f>
        <v>4.55</v>
      </c>
      <c r="G242" s="5">
        <f>IFERROR(__xludf.DUMMYFUNCTION("""COMPUTED_VALUE"""),7456.0)</f>
        <v>7456</v>
      </c>
      <c r="H242" s="5">
        <f>IFERROR(__xludf.DUMMYFUNCTION("""COMPUTED_VALUE"""),1638.0)</f>
        <v>1638</v>
      </c>
    </row>
    <row r="243">
      <c r="A243" s="4">
        <f>IFERROR(__xludf.DUMMYFUNCTION("""COMPUTED_VALUE"""),42611.0)</f>
        <v>42611</v>
      </c>
      <c r="B243" s="5">
        <f>IFERROR(__xludf.DUMMYFUNCTION("""COMPUTED_VALUE"""),2347.0)</f>
        <v>2347</v>
      </c>
      <c r="C243" s="6">
        <f>IFERROR(__xludf.DUMMYFUNCTION("""COMPUTED_VALUE"""),0.5172)</f>
        <v>0.5172</v>
      </c>
      <c r="D243" s="2">
        <f>IFERROR(__xludf.DUMMYFUNCTION("""COMPUTED_VALUE"""),0.0018287037037037037)</f>
        <v>0.001828703704</v>
      </c>
      <c r="E243" s="1">
        <f>IFERROR(__xludf.DUMMYFUNCTION("""COMPUTED_VALUE"""),1.04)</f>
        <v>1.04</v>
      </c>
      <c r="F243" s="1">
        <f>IFERROR(__xludf.DUMMYFUNCTION("""COMPUTED_VALUE"""),5.44)</f>
        <v>5.44</v>
      </c>
      <c r="G243" s="5">
        <f>IFERROR(__xludf.DUMMYFUNCTION("""COMPUTED_VALUE"""),13302.0)</f>
        <v>13302</v>
      </c>
      <c r="H243" s="5">
        <f>IFERROR(__xludf.DUMMYFUNCTION("""COMPUTED_VALUE"""),2444.0)</f>
        <v>2444</v>
      </c>
    </row>
    <row r="244">
      <c r="A244" s="4">
        <f>IFERROR(__xludf.DUMMYFUNCTION("""COMPUTED_VALUE"""),42612.0)</f>
        <v>42612</v>
      </c>
      <c r="B244" s="5">
        <f>IFERROR(__xludf.DUMMYFUNCTION("""COMPUTED_VALUE"""),2541.0)</f>
        <v>2541</v>
      </c>
      <c r="C244" s="6">
        <f>IFERROR(__xludf.DUMMYFUNCTION("""COMPUTED_VALUE"""),0.4685)</f>
        <v>0.4685</v>
      </c>
      <c r="D244" s="2">
        <f>IFERROR(__xludf.DUMMYFUNCTION("""COMPUTED_VALUE"""),0.0019444444444444444)</f>
        <v>0.001944444444</v>
      </c>
      <c r="E244" s="1">
        <f>IFERROR(__xludf.DUMMYFUNCTION("""COMPUTED_VALUE"""),1.04)</f>
        <v>1.04</v>
      </c>
      <c r="F244" s="1">
        <f>IFERROR(__xludf.DUMMYFUNCTION("""COMPUTED_VALUE"""),4.42)</f>
        <v>4.42</v>
      </c>
      <c r="G244" s="5">
        <f>IFERROR(__xludf.DUMMYFUNCTION("""COMPUTED_VALUE"""),11664.0)</f>
        <v>11664</v>
      </c>
      <c r="H244" s="5">
        <f>IFERROR(__xludf.DUMMYFUNCTION("""COMPUTED_VALUE"""),2638.0)</f>
        <v>2638</v>
      </c>
    </row>
    <row r="245">
      <c r="A245" s="4">
        <f>IFERROR(__xludf.DUMMYFUNCTION("""COMPUTED_VALUE"""),42613.0)</f>
        <v>42613</v>
      </c>
      <c r="B245" s="5">
        <f>IFERROR(__xludf.DUMMYFUNCTION("""COMPUTED_VALUE"""),3041.0)</f>
        <v>3041</v>
      </c>
      <c r="C245" s="6">
        <f>IFERROR(__xludf.DUMMYFUNCTION("""COMPUTED_VALUE"""),0.47)</f>
        <v>0.47</v>
      </c>
      <c r="D245" s="2">
        <f>IFERROR(__xludf.DUMMYFUNCTION("""COMPUTED_VALUE"""),0.0013541666666666667)</f>
        <v>0.001354166667</v>
      </c>
      <c r="E245" s="1">
        <f>IFERROR(__xludf.DUMMYFUNCTION("""COMPUTED_VALUE"""),1.07)</f>
        <v>1.07</v>
      </c>
      <c r="F245" s="1">
        <f>IFERROR(__xludf.DUMMYFUNCTION("""COMPUTED_VALUE"""),4.1)</f>
        <v>4.1</v>
      </c>
      <c r="G245" s="5">
        <f>IFERROR(__xludf.DUMMYFUNCTION("""COMPUTED_VALUE"""),13316.0)</f>
        <v>13316</v>
      </c>
      <c r="H245" s="5">
        <f>IFERROR(__xludf.DUMMYFUNCTION("""COMPUTED_VALUE"""),3249.0)</f>
        <v>3249</v>
      </c>
    </row>
    <row r="246">
      <c r="A246" s="4">
        <f>IFERROR(__xludf.DUMMYFUNCTION("""COMPUTED_VALUE"""),42614.0)</f>
        <v>42614</v>
      </c>
      <c r="B246" s="5">
        <f>IFERROR(__xludf.DUMMYFUNCTION("""COMPUTED_VALUE"""),2485.0)</f>
        <v>2485</v>
      </c>
      <c r="C246" s="6">
        <f>IFERROR(__xludf.DUMMYFUNCTION("""COMPUTED_VALUE"""),0.4409)</f>
        <v>0.4409</v>
      </c>
      <c r="D246" s="2">
        <f>IFERROR(__xludf.DUMMYFUNCTION("""COMPUTED_VALUE"""),0.001712962962962963)</f>
        <v>0.001712962963</v>
      </c>
      <c r="E246" s="1">
        <f>IFERROR(__xludf.DUMMYFUNCTION("""COMPUTED_VALUE"""),1.09)</f>
        <v>1.09</v>
      </c>
      <c r="F246" s="1">
        <f>IFERROR(__xludf.DUMMYFUNCTION("""COMPUTED_VALUE"""),4.93)</f>
        <v>4.93</v>
      </c>
      <c r="G246" s="5">
        <f>IFERROR(__xludf.DUMMYFUNCTION("""COMPUTED_VALUE"""),13344.0)</f>
        <v>13344</v>
      </c>
      <c r="H246" s="5">
        <f>IFERROR(__xludf.DUMMYFUNCTION("""COMPUTED_VALUE"""),2708.0)</f>
        <v>2708</v>
      </c>
    </row>
    <row r="247">
      <c r="A247" s="4">
        <f>IFERROR(__xludf.DUMMYFUNCTION("""COMPUTED_VALUE"""),42615.0)</f>
        <v>42615</v>
      </c>
      <c r="B247" s="5">
        <f>IFERROR(__xludf.DUMMYFUNCTION("""COMPUTED_VALUE"""),2444.0)</f>
        <v>2444</v>
      </c>
      <c r="C247" s="6">
        <f>IFERROR(__xludf.DUMMYFUNCTION("""COMPUTED_VALUE"""),0.5966)</f>
        <v>0.5966</v>
      </c>
      <c r="D247" s="2">
        <f>IFERROR(__xludf.DUMMYFUNCTION("""COMPUTED_VALUE"""),8.680555555555555E-4)</f>
        <v>0.0008680555556</v>
      </c>
      <c r="E247" s="1">
        <f>IFERROR(__xludf.DUMMYFUNCTION("""COMPUTED_VALUE"""),1.06)</f>
        <v>1.06</v>
      </c>
      <c r="F247" s="1">
        <f>IFERROR(__xludf.DUMMYFUNCTION("""COMPUTED_VALUE"""),3.2)</f>
        <v>3.2</v>
      </c>
      <c r="G247" s="5">
        <f>IFERROR(__xludf.DUMMYFUNCTION("""COMPUTED_VALUE"""),8262.0)</f>
        <v>8262</v>
      </c>
      <c r="H247" s="5">
        <f>IFERROR(__xludf.DUMMYFUNCTION("""COMPUTED_VALUE"""),2583.0)</f>
        <v>2583</v>
      </c>
    </row>
    <row r="248">
      <c r="A248" s="4">
        <f>IFERROR(__xludf.DUMMYFUNCTION("""COMPUTED_VALUE"""),42616.0)</f>
        <v>42616</v>
      </c>
      <c r="B248" s="5">
        <f>IFERROR(__xludf.DUMMYFUNCTION("""COMPUTED_VALUE"""),1694.0)</f>
        <v>1694</v>
      </c>
      <c r="C248" s="6">
        <f>IFERROR(__xludf.DUMMYFUNCTION("""COMPUTED_VALUE"""),0.5634)</f>
        <v>0.5634</v>
      </c>
      <c r="D248" s="2">
        <f>IFERROR(__xludf.DUMMYFUNCTION("""COMPUTED_VALUE"""),9.490740740740741E-4)</f>
        <v>0.0009490740741</v>
      </c>
      <c r="E248" s="1">
        <f>IFERROR(__xludf.DUMMYFUNCTION("""COMPUTED_VALUE"""),1.03)</f>
        <v>1.03</v>
      </c>
      <c r="F248" s="1">
        <f>IFERROR(__xludf.DUMMYFUNCTION("""COMPUTED_VALUE"""),4.24)</f>
        <v>4.24</v>
      </c>
      <c r="G248" s="5">
        <f>IFERROR(__xludf.DUMMYFUNCTION("""COMPUTED_VALUE"""),7415.0)</f>
        <v>7415</v>
      </c>
      <c r="H248" s="5">
        <f>IFERROR(__xludf.DUMMYFUNCTION("""COMPUTED_VALUE"""),1750.0)</f>
        <v>1750</v>
      </c>
    </row>
    <row r="249">
      <c r="A249" s="4">
        <f>IFERROR(__xludf.DUMMYFUNCTION("""COMPUTED_VALUE"""),42617.0)</f>
        <v>42617</v>
      </c>
      <c r="B249" s="5">
        <f>IFERROR(__xludf.DUMMYFUNCTION("""COMPUTED_VALUE"""),1638.0)</f>
        <v>1638</v>
      </c>
      <c r="C249" s="6">
        <f>IFERROR(__xludf.DUMMYFUNCTION("""COMPUTED_VALUE"""),0.4959)</f>
        <v>0.4959</v>
      </c>
      <c r="D249" s="2">
        <f>IFERROR(__xludf.DUMMYFUNCTION("""COMPUTED_VALUE"""),0.001574074074074074)</f>
        <v>0.001574074074</v>
      </c>
      <c r="E249" s="1">
        <f>IFERROR(__xludf.DUMMYFUNCTION("""COMPUTED_VALUE"""),1.04)</f>
        <v>1.04</v>
      </c>
      <c r="F249" s="1">
        <f>IFERROR(__xludf.DUMMYFUNCTION("""COMPUTED_VALUE"""),4.34)</f>
        <v>4.34</v>
      </c>
      <c r="G249" s="5">
        <f>IFERROR(__xludf.DUMMYFUNCTION("""COMPUTED_VALUE"""),7415.0)</f>
        <v>7415</v>
      </c>
      <c r="H249" s="5">
        <f>IFERROR(__xludf.DUMMYFUNCTION("""COMPUTED_VALUE"""),1708.0)</f>
        <v>1708</v>
      </c>
    </row>
    <row r="250">
      <c r="A250" s="4">
        <f>IFERROR(__xludf.DUMMYFUNCTION("""COMPUTED_VALUE"""),42618.0)</f>
        <v>42618</v>
      </c>
      <c r="B250" s="5">
        <f>IFERROR(__xludf.DUMMYFUNCTION("""COMPUTED_VALUE"""),1999.0)</f>
        <v>1999</v>
      </c>
      <c r="C250" s="6">
        <f>IFERROR(__xludf.DUMMYFUNCTION("""COMPUTED_VALUE"""),0.5694)</f>
        <v>0.5694</v>
      </c>
      <c r="D250" s="2">
        <f>IFERROR(__xludf.DUMMYFUNCTION("""COMPUTED_VALUE"""),0.0015509259259259259)</f>
        <v>0.001550925926</v>
      </c>
      <c r="E250" s="1">
        <f>IFERROR(__xludf.DUMMYFUNCTION("""COMPUTED_VALUE"""),1.05)</f>
        <v>1.05</v>
      </c>
      <c r="F250" s="1">
        <f>IFERROR(__xludf.DUMMYFUNCTION("""COMPUTED_VALUE"""),3.82)</f>
        <v>3.82</v>
      </c>
      <c r="G250" s="5">
        <f>IFERROR(__xludf.DUMMYFUNCTION("""COMPUTED_VALUE"""),8012.0)</f>
        <v>8012</v>
      </c>
      <c r="H250" s="5">
        <f>IFERROR(__xludf.DUMMYFUNCTION("""COMPUTED_VALUE"""),2097.0)</f>
        <v>2097</v>
      </c>
    </row>
    <row r="251">
      <c r="A251" s="4">
        <f>IFERROR(__xludf.DUMMYFUNCTION("""COMPUTED_VALUE"""),42619.0)</f>
        <v>42619</v>
      </c>
      <c r="B251" s="5">
        <f>IFERROR(__xludf.DUMMYFUNCTION("""COMPUTED_VALUE"""),2388.0)</f>
        <v>2388</v>
      </c>
      <c r="C251" s="6">
        <f>IFERROR(__xludf.DUMMYFUNCTION("""COMPUTED_VALUE"""),0.5246)</f>
        <v>0.5246</v>
      </c>
      <c r="D251" s="2">
        <f>IFERROR(__xludf.DUMMYFUNCTION("""COMPUTED_VALUE"""),0.001412037037037037)</f>
        <v>0.001412037037</v>
      </c>
      <c r="E251" s="1">
        <f>IFERROR(__xludf.DUMMYFUNCTION("""COMPUTED_VALUE"""),1.06)</f>
        <v>1.06</v>
      </c>
      <c r="F251" s="1">
        <f>IFERROR(__xludf.DUMMYFUNCTION("""COMPUTED_VALUE"""),3.98)</f>
        <v>3.98</v>
      </c>
      <c r="G251" s="5">
        <f>IFERROR(__xludf.DUMMYFUNCTION("""COMPUTED_VALUE"""),10122.0)</f>
        <v>10122</v>
      </c>
      <c r="H251" s="5">
        <f>IFERROR(__xludf.DUMMYFUNCTION("""COMPUTED_VALUE"""),2541.0)</f>
        <v>2541</v>
      </c>
    </row>
    <row r="252">
      <c r="A252" s="4">
        <f>IFERROR(__xludf.DUMMYFUNCTION("""COMPUTED_VALUE"""),42620.0)</f>
        <v>42620</v>
      </c>
      <c r="B252" s="5">
        <f>IFERROR(__xludf.DUMMYFUNCTION("""COMPUTED_VALUE"""),2485.0)</f>
        <v>2485</v>
      </c>
      <c r="C252" s="6">
        <f>IFERROR(__xludf.DUMMYFUNCTION("""COMPUTED_VALUE"""),0.5052)</f>
        <v>0.5052</v>
      </c>
      <c r="D252" s="2">
        <f>IFERROR(__xludf.DUMMYFUNCTION("""COMPUTED_VALUE"""),0.0012962962962962963)</f>
        <v>0.001296296296</v>
      </c>
      <c r="E252" s="1">
        <f>IFERROR(__xludf.DUMMYFUNCTION("""COMPUTED_VALUE"""),1.04)</f>
        <v>1.04</v>
      </c>
      <c r="F252" s="1">
        <f>IFERROR(__xludf.DUMMYFUNCTION("""COMPUTED_VALUE"""),3.63)</f>
        <v>3.63</v>
      </c>
      <c r="G252" s="5">
        <f>IFERROR(__xludf.DUMMYFUNCTION("""COMPUTED_VALUE"""),9387.0)</f>
        <v>9387</v>
      </c>
      <c r="H252" s="5">
        <f>IFERROR(__xludf.DUMMYFUNCTION("""COMPUTED_VALUE"""),2583.0)</f>
        <v>2583</v>
      </c>
    </row>
    <row r="253">
      <c r="A253" s="4">
        <f>IFERROR(__xludf.DUMMYFUNCTION("""COMPUTED_VALUE"""),42621.0)</f>
        <v>42621</v>
      </c>
      <c r="B253" s="5">
        <f>IFERROR(__xludf.DUMMYFUNCTION("""COMPUTED_VALUE"""),2458.0)</f>
        <v>2458</v>
      </c>
      <c r="C253" s="6">
        <f>IFERROR(__xludf.DUMMYFUNCTION("""COMPUTED_VALUE"""),0.4189)</f>
        <v>0.4189</v>
      </c>
      <c r="D253" s="2">
        <f>IFERROR(__xludf.DUMMYFUNCTION("""COMPUTED_VALUE"""),0.0019675925925925924)</f>
        <v>0.001967592593</v>
      </c>
      <c r="E253" s="1">
        <f>IFERROR(__xludf.DUMMYFUNCTION("""COMPUTED_VALUE"""),1.08)</f>
        <v>1.08</v>
      </c>
      <c r="F253" s="1">
        <f>IFERROR(__xludf.DUMMYFUNCTION("""COMPUTED_VALUE"""),6.45)</f>
        <v>6.45</v>
      </c>
      <c r="G253" s="5">
        <f>IFERROR(__xludf.DUMMYFUNCTION("""COMPUTED_VALUE"""),17107.0)</f>
        <v>17107</v>
      </c>
      <c r="H253" s="5">
        <f>IFERROR(__xludf.DUMMYFUNCTION("""COMPUTED_VALUE"""),2652.0)</f>
        <v>2652</v>
      </c>
    </row>
    <row r="254">
      <c r="A254" s="4">
        <f>IFERROR(__xludf.DUMMYFUNCTION("""COMPUTED_VALUE"""),42622.0)</f>
        <v>42622</v>
      </c>
      <c r="B254" s="5">
        <f>IFERROR(__xludf.DUMMYFUNCTION("""COMPUTED_VALUE"""),2361.0)</f>
        <v>2361</v>
      </c>
      <c r="C254" s="6">
        <f>IFERROR(__xludf.DUMMYFUNCTION("""COMPUTED_VALUE"""),0.5189)</f>
        <v>0.5189</v>
      </c>
      <c r="D254" s="2">
        <f>IFERROR(__xludf.DUMMYFUNCTION("""COMPUTED_VALUE"""),8.564814814814815E-4)</f>
        <v>0.0008564814815</v>
      </c>
      <c r="E254" s="1">
        <f>IFERROR(__xludf.DUMMYFUNCTION("""COMPUTED_VALUE"""),1.09)</f>
        <v>1.09</v>
      </c>
      <c r="F254" s="1">
        <f>IFERROR(__xludf.DUMMYFUNCTION("""COMPUTED_VALUE"""),3.77)</f>
        <v>3.77</v>
      </c>
      <c r="G254" s="5">
        <f>IFERROR(__xludf.DUMMYFUNCTION("""COMPUTED_VALUE"""),9678.0)</f>
        <v>9678</v>
      </c>
      <c r="H254" s="5">
        <f>IFERROR(__xludf.DUMMYFUNCTION("""COMPUTED_VALUE"""),2569.0)</f>
        <v>2569</v>
      </c>
    </row>
    <row r="255">
      <c r="A255" s="4">
        <f>IFERROR(__xludf.DUMMYFUNCTION("""COMPUTED_VALUE"""),42623.0)</f>
        <v>42623</v>
      </c>
      <c r="B255" s="5">
        <f>IFERROR(__xludf.DUMMYFUNCTION("""COMPUTED_VALUE"""),1611.0)</f>
        <v>1611</v>
      </c>
      <c r="C255" s="6">
        <f>IFERROR(__xludf.DUMMYFUNCTION("""COMPUTED_VALUE"""),0.5042)</f>
        <v>0.5042</v>
      </c>
      <c r="D255" s="2">
        <f>IFERROR(__xludf.DUMMYFUNCTION("""COMPUTED_VALUE"""),0.0011921296296296296)</f>
        <v>0.00119212963</v>
      </c>
      <c r="E255" s="1">
        <f>IFERROR(__xludf.DUMMYFUNCTION("""COMPUTED_VALUE"""),1.04)</f>
        <v>1.04</v>
      </c>
      <c r="F255" s="1">
        <f>IFERROR(__xludf.DUMMYFUNCTION("""COMPUTED_VALUE"""),3.76)</f>
        <v>3.76</v>
      </c>
      <c r="G255" s="5">
        <f>IFERROR(__xludf.DUMMYFUNCTION("""COMPUTED_VALUE"""),6318.0)</f>
        <v>6318</v>
      </c>
      <c r="H255" s="5">
        <f>IFERROR(__xludf.DUMMYFUNCTION("""COMPUTED_VALUE"""),1680.0)</f>
        <v>1680</v>
      </c>
    </row>
    <row r="256">
      <c r="A256" s="4">
        <f>IFERROR(__xludf.DUMMYFUNCTION("""COMPUTED_VALUE"""),42624.0)</f>
        <v>42624</v>
      </c>
      <c r="B256" s="5">
        <f>IFERROR(__xludf.DUMMYFUNCTION("""COMPUTED_VALUE"""),1625.0)</f>
        <v>1625</v>
      </c>
      <c r="C256" s="6">
        <f>IFERROR(__xludf.DUMMYFUNCTION("""COMPUTED_VALUE"""),0.5573)</f>
        <v>0.5573</v>
      </c>
      <c r="D256" s="2">
        <f>IFERROR(__xludf.DUMMYFUNCTION("""COMPUTED_VALUE"""),8.449074074074074E-4)</f>
        <v>0.0008449074074</v>
      </c>
      <c r="E256" s="1">
        <f>IFERROR(__xludf.DUMMYFUNCTION("""COMPUTED_VALUE"""),1.04)</f>
        <v>1.04</v>
      </c>
      <c r="F256" s="1">
        <f>IFERROR(__xludf.DUMMYFUNCTION("""COMPUTED_VALUE"""),3.46)</f>
        <v>3.46</v>
      </c>
      <c r="G256" s="5">
        <f>IFERROR(__xludf.DUMMYFUNCTION("""COMPUTED_VALUE"""),5860.0)</f>
        <v>5860</v>
      </c>
      <c r="H256" s="5">
        <f>IFERROR(__xludf.DUMMYFUNCTION("""COMPUTED_VALUE"""),1694.0)</f>
        <v>1694</v>
      </c>
    </row>
    <row r="257">
      <c r="A257" s="4">
        <f>IFERROR(__xludf.DUMMYFUNCTION("""COMPUTED_VALUE"""),42625.0)</f>
        <v>42625</v>
      </c>
      <c r="B257" s="5">
        <f>IFERROR(__xludf.DUMMYFUNCTION("""COMPUTED_VALUE"""),2319.0)</f>
        <v>2319</v>
      </c>
      <c r="C257" s="6">
        <f>IFERROR(__xludf.DUMMYFUNCTION("""COMPUTED_VALUE"""),0.503)</f>
        <v>0.503</v>
      </c>
      <c r="D257" s="2">
        <f>IFERROR(__xludf.DUMMYFUNCTION("""COMPUTED_VALUE"""),0.0011226851851851851)</f>
        <v>0.001122685185</v>
      </c>
      <c r="E257" s="1">
        <f>IFERROR(__xludf.DUMMYFUNCTION("""COMPUTED_VALUE"""),1.07)</f>
        <v>1.07</v>
      </c>
      <c r="F257" s="1">
        <f>IFERROR(__xludf.DUMMYFUNCTION("""COMPUTED_VALUE"""),3.84)</f>
        <v>3.84</v>
      </c>
      <c r="G257" s="5">
        <f>IFERROR(__xludf.DUMMYFUNCTION("""COMPUTED_VALUE"""),9539.0)</f>
        <v>9539</v>
      </c>
      <c r="H257" s="5">
        <f>IFERROR(__xludf.DUMMYFUNCTION("""COMPUTED_VALUE"""),2485.0)</f>
        <v>2485</v>
      </c>
    </row>
    <row r="258">
      <c r="A258" s="4">
        <f>IFERROR(__xludf.DUMMYFUNCTION("""COMPUTED_VALUE"""),42626.0)</f>
        <v>42626</v>
      </c>
      <c r="B258" s="5">
        <f>IFERROR(__xludf.DUMMYFUNCTION("""COMPUTED_VALUE"""),2222.0)</f>
        <v>2222</v>
      </c>
      <c r="C258" s="6">
        <f>IFERROR(__xludf.DUMMYFUNCTION("""COMPUTED_VALUE"""),0.4562)</f>
        <v>0.4562</v>
      </c>
      <c r="D258" s="2">
        <f>IFERROR(__xludf.DUMMYFUNCTION("""COMPUTED_VALUE"""),0.0015277777777777779)</f>
        <v>0.001527777778</v>
      </c>
      <c r="E258" s="1">
        <f>IFERROR(__xludf.DUMMYFUNCTION("""COMPUTED_VALUE"""),1.07)</f>
        <v>1.07</v>
      </c>
      <c r="F258" s="1">
        <f>IFERROR(__xludf.DUMMYFUNCTION("""COMPUTED_VALUE"""),4.08)</f>
        <v>4.08</v>
      </c>
      <c r="G258" s="5">
        <f>IFERROR(__xludf.DUMMYFUNCTION("""COMPUTED_VALUE"""),9678.0)</f>
        <v>9678</v>
      </c>
      <c r="H258" s="5">
        <f>IFERROR(__xludf.DUMMYFUNCTION("""COMPUTED_VALUE"""),2374.0)</f>
        <v>2374</v>
      </c>
    </row>
    <row r="259">
      <c r="A259" s="4">
        <f>IFERROR(__xludf.DUMMYFUNCTION("""COMPUTED_VALUE"""),42627.0)</f>
        <v>42627</v>
      </c>
      <c r="B259" s="5">
        <f>IFERROR(__xludf.DUMMYFUNCTION("""COMPUTED_VALUE"""),2374.0)</f>
        <v>2374</v>
      </c>
      <c r="C259" s="6">
        <f>IFERROR(__xludf.DUMMYFUNCTION("""COMPUTED_VALUE"""),0.4579)</f>
        <v>0.4579</v>
      </c>
      <c r="D259" s="2">
        <f>IFERROR(__xludf.DUMMYFUNCTION("""COMPUTED_VALUE"""),0.0019097222222222222)</f>
        <v>0.001909722222</v>
      </c>
      <c r="E259" s="1">
        <f>IFERROR(__xludf.DUMMYFUNCTION("""COMPUTED_VALUE"""),1.11)</f>
        <v>1.11</v>
      </c>
      <c r="F259" s="1">
        <f>IFERROR(__xludf.DUMMYFUNCTION("""COMPUTED_VALUE"""),5.21)</f>
        <v>5.21</v>
      </c>
      <c r="G259" s="5">
        <f>IFERROR(__xludf.DUMMYFUNCTION("""COMPUTED_VALUE"""),13733.0)</f>
        <v>13733</v>
      </c>
      <c r="H259" s="5">
        <f>IFERROR(__xludf.DUMMYFUNCTION("""COMPUTED_VALUE"""),2638.0)</f>
        <v>2638</v>
      </c>
    </row>
    <row r="260">
      <c r="A260" s="4">
        <f>IFERROR(__xludf.DUMMYFUNCTION("""COMPUTED_VALUE"""),42628.0)</f>
        <v>42628</v>
      </c>
      <c r="B260" s="5">
        <f>IFERROR(__xludf.DUMMYFUNCTION("""COMPUTED_VALUE"""),2722.0)</f>
        <v>2722</v>
      </c>
      <c r="C260" s="6">
        <f>IFERROR(__xludf.DUMMYFUNCTION("""COMPUTED_VALUE"""),0.4207)</f>
        <v>0.4207</v>
      </c>
      <c r="D260" s="2">
        <f>IFERROR(__xludf.DUMMYFUNCTION("""COMPUTED_VALUE"""),0.002476851851851852)</f>
        <v>0.002476851852</v>
      </c>
      <c r="E260" s="1">
        <f>IFERROR(__xludf.DUMMYFUNCTION("""COMPUTED_VALUE"""),1.09)</f>
        <v>1.09</v>
      </c>
      <c r="F260" s="1">
        <f>IFERROR(__xludf.DUMMYFUNCTION("""COMPUTED_VALUE"""),4.9)</f>
        <v>4.9</v>
      </c>
      <c r="G260" s="5">
        <f>IFERROR(__xludf.DUMMYFUNCTION("""COMPUTED_VALUE"""),14566.0)</f>
        <v>14566</v>
      </c>
      <c r="H260" s="5">
        <f>IFERROR(__xludf.DUMMYFUNCTION("""COMPUTED_VALUE"""),2971.0)</f>
        <v>2971</v>
      </c>
    </row>
    <row r="261">
      <c r="A261" s="4">
        <f>IFERROR(__xludf.DUMMYFUNCTION("""COMPUTED_VALUE"""),42629.0)</f>
        <v>42629</v>
      </c>
      <c r="B261" s="5">
        <f>IFERROR(__xludf.DUMMYFUNCTION("""COMPUTED_VALUE"""),2499.0)</f>
        <v>2499</v>
      </c>
      <c r="C261" s="6">
        <f>IFERROR(__xludf.DUMMYFUNCTION("""COMPUTED_VALUE"""),0.471)</f>
        <v>0.471</v>
      </c>
      <c r="D261" s="2">
        <f>IFERROR(__xludf.DUMMYFUNCTION("""COMPUTED_VALUE"""),0.0016435185185185185)</f>
        <v>0.001643518519</v>
      </c>
      <c r="E261" s="1">
        <f>IFERROR(__xludf.DUMMYFUNCTION("""COMPUTED_VALUE"""),1.05)</f>
        <v>1.05</v>
      </c>
      <c r="F261" s="1">
        <f>IFERROR(__xludf.DUMMYFUNCTION("""COMPUTED_VALUE"""),4.38)</f>
        <v>4.38</v>
      </c>
      <c r="G261" s="5">
        <f>IFERROR(__xludf.DUMMYFUNCTION("""COMPUTED_VALUE"""),11483.0)</f>
        <v>11483</v>
      </c>
      <c r="H261" s="5">
        <f>IFERROR(__xludf.DUMMYFUNCTION("""COMPUTED_VALUE"""),2624.0)</f>
        <v>2624</v>
      </c>
    </row>
    <row r="262">
      <c r="A262" s="4">
        <f>IFERROR(__xludf.DUMMYFUNCTION("""COMPUTED_VALUE"""),42630.0)</f>
        <v>42630</v>
      </c>
      <c r="B262" s="5">
        <f>IFERROR(__xludf.DUMMYFUNCTION("""COMPUTED_VALUE"""),1680.0)</f>
        <v>1680</v>
      </c>
      <c r="C262" s="6">
        <f>IFERROR(__xludf.DUMMYFUNCTION("""COMPUTED_VALUE"""),0.4885)</f>
        <v>0.4885</v>
      </c>
      <c r="D262" s="2">
        <f>IFERROR(__xludf.DUMMYFUNCTION("""COMPUTED_VALUE"""),0.0027199074074074074)</f>
        <v>0.002719907407</v>
      </c>
      <c r="E262" s="1">
        <f>IFERROR(__xludf.DUMMYFUNCTION("""COMPUTED_VALUE"""),1.12)</f>
        <v>1.12</v>
      </c>
      <c r="F262" s="1">
        <f>IFERROR(__xludf.DUMMYFUNCTION("""COMPUTED_VALUE"""),5.1)</f>
        <v>5.1</v>
      </c>
      <c r="G262" s="5">
        <f>IFERROR(__xludf.DUMMYFUNCTION("""COMPUTED_VALUE"""),9567.0)</f>
        <v>9567</v>
      </c>
      <c r="H262" s="5">
        <f>IFERROR(__xludf.DUMMYFUNCTION("""COMPUTED_VALUE"""),1875.0)</f>
        <v>1875</v>
      </c>
    </row>
    <row r="263">
      <c r="A263" s="4">
        <f>IFERROR(__xludf.DUMMYFUNCTION("""COMPUTED_VALUE"""),42631.0)</f>
        <v>42631</v>
      </c>
      <c r="B263" s="5">
        <f>IFERROR(__xludf.DUMMYFUNCTION("""COMPUTED_VALUE"""),1694.0)</f>
        <v>1694</v>
      </c>
      <c r="C263" s="6">
        <f>IFERROR(__xludf.DUMMYFUNCTION("""COMPUTED_VALUE"""),0.5187)</f>
        <v>0.5187</v>
      </c>
      <c r="D263" s="2">
        <f>IFERROR(__xludf.DUMMYFUNCTION("""COMPUTED_VALUE"""),0.0022222222222222222)</f>
        <v>0.002222222222</v>
      </c>
      <c r="E263" s="1">
        <f>IFERROR(__xludf.DUMMYFUNCTION("""COMPUTED_VALUE"""),1.09)</f>
        <v>1.09</v>
      </c>
      <c r="F263" s="1">
        <f>IFERROR(__xludf.DUMMYFUNCTION("""COMPUTED_VALUE"""),4.11)</f>
        <v>4.11</v>
      </c>
      <c r="G263" s="5">
        <f>IFERROR(__xludf.DUMMYFUNCTION("""COMPUTED_VALUE"""),7595.0)</f>
        <v>7595</v>
      </c>
      <c r="H263" s="5">
        <f>IFERROR(__xludf.DUMMYFUNCTION("""COMPUTED_VALUE"""),1847.0)</f>
        <v>1847</v>
      </c>
    </row>
    <row r="264">
      <c r="A264" s="4">
        <f>IFERROR(__xludf.DUMMYFUNCTION("""COMPUTED_VALUE"""),42632.0)</f>
        <v>42632</v>
      </c>
      <c r="B264" s="5">
        <f>IFERROR(__xludf.DUMMYFUNCTION("""COMPUTED_VALUE"""),2527.0)</f>
        <v>2527</v>
      </c>
      <c r="C264" s="6">
        <f>IFERROR(__xludf.DUMMYFUNCTION("""COMPUTED_VALUE"""),0.5)</f>
        <v>0.5</v>
      </c>
      <c r="D264" s="2">
        <f>IFERROR(__xludf.DUMMYFUNCTION("""COMPUTED_VALUE"""),0.0010648148148148149)</f>
        <v>0.001064814815</v>
      </c>
      <c r="E264" s="1">
        <f>IFERROR(__xludf.DUMMYFUNCTION("""COMPUTED_VALUE"""),1.07)</f>
        <v>1.07</v>
      </c>
      <c r="F264" s="1">
        <f>IFERROR(__xludf.DUMMYFUNCTION("""COMPUTED_VALUE"""),3.48)</f>
        <v>3.48</v>
      </c>
      <c r="G264" s="5">
        <f>IFERROR(__xludf.DUMMYFUNCTION("""COMPUTED_VALUE"""),9373.0)</f>
        <v>9373</v>
      </c>
      <c r="H264" s="5">
        <f>IFERROR(__xludf.DUMMYFUNCTION("""COMPUTED_VALUE"""),2694.0)</f>
        <v>2694</v>
      </c>
    </row>
    <row r="265">
      <c r="A265" s="4">
        <f>IFERROR(__xludf.DUMMYFUNCTION("""COMPUTED_VALUE"""),42633.0)</f>
        <v>42633</v>
      </c>
      <c r="B265" s="5">
        <f>IFERROR(__xludf.DUMMYFUNCTION("""COMPUTED_VALUE"""),2444.0)</f>
        <v>2444</v>
      </c>
      <c r="C265" s="6">
        <f>IFERROR(__xludf.DUMMYFUNCTION("""COMPUTED_VALUE"""),0.4951)</f>
        <v>0.4951</v>
      </c>
      <c r="D265" s="2">
        <f>IFERROR(__xludf.DUMMYFUNCTION("""COMPUTED_VALUE"""),0.0021527777777777778)</f>
        <v>0.002152777778</v>
      </c>
      <c r="E265" s="1">
        <f>IFERROR(__xludf.DUMMYFUNCTION("""COMPUTED_VALUE"""),1.12)</f>
        <v>1.12</v>
      </c>
      <c r="F265" s="1">
        <f>IFERROR(__xludf.DUMMYFUNCTION("""COMPUTED_VALUE"""),5.37)</f>
        <v>5.37</v>
      </c>
      <c r="G265" s="5">
        <f>IFERROR(__xludf.DUMMYFUNCTION("""COMPUTED_VALUE"""),14774.0)</f>
        <v>14774</v>
      </c>
      <c r="H265" s="5">
        <f>IFERROR(__xludf.DUMMYFUNCTION("""COMPUTED_VALUE"""),2749.0)</f>
        <v>2749</v>
      </c>
    </row>
    <row r="266">
      <c r="A266" s="4">
        <f>IFERROR(__xludf.DUMMYFUNCTION("""COMPUTED_VALUE"""),42634.0)</f>
        <v>42634</v>
      </c>
      <c r="B266" s="5">
        <f>IFERROR(__xludf.DUMMYFUNCTION("""COMPUTED_VALUE"""),2444.0)</f>
        <v>2444</v>
      </c>
      <c r="C266" s="6">
        <f>IFERROR(__xludf.DUMMYFUNCTION("""COMPUTED_VALUE"""),0.4644)</f>
        <v>0.4644</v>
      </c>
      <c r="D266" s="2">
        <f>IFERROR(__xludf.DUMMYFUNCTION("""COMPUTED_VALUE"""),0.0018402777777777777)</f>
        <v>0.001840277778</v>
      </c>
      <c r="E266" s="1">
        <f>IFERROR(__xludf.DUMMYFUNCTION("""COMPUTED_VALUE"""),1.11)</f>
        <v>1.11</v>
      </c>
      <c r="F266" s="1">
        <f>IFERROR(__xludf.DUMMYFUNCTION("""COMPUTED_VALUE"""),5.33)</f>
        <v>5.33</v>
      </c>
      <c r="G266" s="5">
        <f>IFERROR(__xludf.DUMMYFUNCTION("""COMPUTED_VALUE"""),14510.0)</f>
        <v>14510</v>
      </c>
      <c r="H266" s="5">
        <f>IFERROR(__xludf.DUMMYFUNCTION("""COMPUTED_VALUE"""),2722.0)</f>
        <v>2722</v>
      </c>
    </row>
    <row r="267">
      <c r="A267" s="4">
        <f>IFERROR(__xludf.DUMMYFUNCTION("""COMPUTED_VALUE"""),42635.0)</f>
        <v>42635</v>
      </c>
      <c r="B267" s="5">
        <f>IFERROR(__xludf.DUMMYFUNCTION("""COMPUTED_VALUE"""),2458.0)</f>
        <v>2458</v>
      </c>
      <c r="C267" s="6">
        <f>IFERROR(__xludf.DUMMYFUNCTION("""COMPUTED_VALUE"""),0.4843)</f>
        <v>0.4843</v>
      </c>
      <c r="D267" s="2">
        <f>IFERROR(__xludf.DUMMYFUNCTION("""COMPUTED_VALUE"""),0.0014699074074074074)</f>
        <v>0.001469907407</v>
      </c>
      <c r="E267" s="1">
        <f>IFERROR(__xludf.DUMMYFUNCTION("""COMPUTED_VALUE"""),1.06)</f>
        <v>1.06</v>
      </c>
      <c r="F267" s="1">
        <f>IFERROR(__xludf.DUMMYFUNCTION("""COMPUTED_VALUE"""),4.15)</f>
        <v>4.15</v>
      </c>
      <c r="G267" s="5">
        <f>IFERROR(__xludf.DUMMYFUNCTION("""COMPUTED_VALUE"""),10831.0)</f>
        <v>10831</v>
      </c>
      <c r="H267" s="5">
        <f>IFERROR(__xludf.DUMMYFUNCTION("""COMPUTED_VALUE"""),2610.0)</f>
        <v>2610</v>
      </c>
    </row>
    <row r="268">
      <c r="A268" s="4">
        <f>IFERROR(__xludf.DUMMYFUNCTION("""COMPUTED_VALUE"""),42636.0)</f>
        <v>42636</v>
      </c>
      <c r="B268" s="5">
        <f>IFERROR(__xludf.DUMMYFUNCTION("""COMPUTED_VALUE"""),2263.0)</f>
        <v>2263</v>
      </c>
      <c r="C268" s="6">
        <f>IFERROR(__xludf.DUMMYFUNCTION("""COMPUTED_VALUE"""),0.5406)</f>
        <v>0.5406</v>
      </c>
      <c r="D268" s="2">
        <f>IFERROR(__xludf.DUMMYFUNCTION("""COMPUTED_VALUE"""),8.912037037037037E-4)</f>
        <v>0.0008912037037</v>
      </c>
      <c r="E268" s="1">
        <f>IFERROR(__xludf.DUMMYFUNCTION("""COMPUTED_VALUE"""),1.06)</f>
        <v>1.06</v>
      </c>
      <c r="F268" s="1">
        <f>IFERROR(__xludf.DUMMYFUNCTION("""COMPUTED_VALUE"""),3.0)</f>
        <v>3</v>
      </c>
      <c r="G268" s="5">
        <f>IFERROR(__xludf.DUMMYFUNCTION("""COMPUTED_VALUE"""),7165.0)</f>
        <v>7165</v>
      </c>
      <c r="H268" s="5">
        <f>IFERROR(__xludf.DUMMYFUNCTION("""COMPUTED_VALUE"""),2388.0)</f>
        <v>2388</v>
      </c>
    </row>
    <row r="269">
      <c r="A269" s="4">
        <f>IFERROR(__xludf.DUMMYFUNCTION("""COMPUTED_VALUE"""),42637.0)</f>
        <v>42637</v>
      </c>
      <c r="B269" s="5">
        <f>IFERROR(__xludf.DUMMYFUNCTION("""COMPUTED_VALUE"""),1819.0)</f>
        <v>1819</v>
      </c>
      <c r="C269" s="6">
        <f>IFERROR(__xludf.DUMMYFUNCTION("""COMPUTED_VALUE"""),0.5414)</f>
        <v>0.5414</v>
      </c>
      <c r="D269" s="2">
        <f>IFERROR(__xludf.DUMMYFUNCTION("""COMPUTED_VALUE"""),0.0013425925925925925)</f>
        <v>0.001342592593</v>
      </c>
      <c r="E269" s="1">
        <f>IFERROR(__xludf.DUMMYFUNCTION("""COMPUTED_VALUE"""),1.02)</f>
        <v>1.02</v>
      </c>
      <c r="F269" s="1">
        <f>IFERROR(__xludf.DUMMYFUNCTION("""COMPUTED_VALUE"""),3.86)</f>
        <v>3.86</v>
      </c>
      <c r="G269" s="5">
        <f>IFERROR(__xludf.DUMMYFUNCTION("""COMPUTED_VALUE"""),7137.0)</f>
        <v>7137</v>
      </c>
      <c r="H269" s="5">
        <f>IFERROR(__xludf.DUMMYFUNCTION("""COMPUTED_VALUE"""),1847.0)</f>
        <v>1847</v>
      </c>
    </row>
    <row r="270">
      <c r="A270" s="4">
        <f>IFERROR(__xludf.DUMMYFUNCTION("""COMPUTED_VALUE"""),42638.0)</f>
        <v>42638</v>
      </c>
      <c r="B270" s="5">
        <f>IFERROR(__xludf.DUMMYFUNCTION("""COMPUTED_VALUE"""),1805.0)</f>
        <v>1805</v>
      </c>
      <c r="C270" s="6">
        <f>IFERROR(__xludf.DUMMYFUNCTION("""COMPUTED_VALUE"""),0.5258)</f>
        <v>0.5258</v>
      </c>
      <c r="D270" s="2">
        <f>IFERROR(__xludf.DUMMYFUNCTION("""COMPUTED_VALUE"""),9.953703703703704E-4)</f>
        <v>0.0009953703704</v>
      </c>
      <c r="E270" s="1">
        <f>IFERROR(__xludf.DUMMYFUNCTION("""COMPUTED_VALUE"""),1.05)</f>
        <v>1.05</v>
      </c>
      <c r="F270" s="1">
        <f>IFERROR(__xludf.DUMMYFUNCTION("""COMPUTED_VALUE"""),3.63)</f>
        <v>3.63</v>
      </c>
      <c r="G270" s="5">
        <f>IFERROR(__xludf.DUMMYFUNCTION("""COMPUTED_VALUE"""),6901.0)</f>
        <v>6901</v>
      </c>
      <c r="H270" s="5">
        <f>IFERROR(__xludf.DUMMYFUNCTION("""COMPUTED_VALUE"""),1902.0)</f>
        <v>1902</v>
      </c>
    </row>
    <row r="271">
      <c r="A271" s="4">
        <f>IFERROR(__xludf.DUMMYFUNCTION("""COMPUTED_VALUE"""),42639.0)</f>
        <v>42639</v>
      </c>
      <c r="B271" s="5">
        <f>IFERROR(__xludf.DUMMYFUNCTION("""COMPUTED_VALUE"""),2485.0)</f>
        <v>2485</v>
      </c>
      <c r="C271" s="6">
        <f>IFERROR(__xludf.DUMMYFUNCTION("""COMPUTED_VALUE"""),0.5002)</f>
        <v>0.5002</v>
      </c>
      <c r="D271" s="2">
        <f>IFERROR(__xludf.DUMMYFUNCTION("""COMPUTED_VALUE"""),0.0019328703703703704)</f>
        <v>0.00193287037</v>
      </c>
      <c r="E271" s="1">
        <f>IFERROR(__xludf.DUMMYFUNCTION("""COMPUTED_VALUE"""),1.12)</f>
        <v>1.12</v>
      </c>
      <c r="F271" s="1">
        <f>IFERROR(__xludf.DUMMYFUNCTION("""COMPUTED_VALUE"""),5.05)</f>
        <v>5.05</v>
      </c>
      <c r="G271" s="5">
        <f>IFERROR(__xludf.DUMMYFUNCTION("""COMPUTED_VALUE"""),14010.0)</f>
        <v>14010</v>
      </c>
      <c r="H271" s="5">
        <f>IFERROR(__xludf.DUMMYFUNCTION("""COMPUTED_VALUE"""),2777.0)</f>
        <v>2777</v>
      </c>
    </row>
    <row r="272">
      <c r="A272" s="4">
        <f>IFERROR(__xludf.DUMMYFUNCTION("""COMPUTED_VALUE"""),42640.0)</f>
        <v>42640</v>
      </c>
      <c r="B272" s="5">
        <f>IFERROR(__xludf.DUMMYFUNCTION("""COMPUTED_VALUE"""),2541.0)</f>
        <v>2541</v>
      </c>
      <c r="C272" s="6">
        <f>IFERROR(__xludf.DUMMYFUNCTION("""COMPUTED_VALUE"""),0.4489)</f>
        <v>0.4489</v>
      </c>
      <c r="D272" s="2">
        <f>IFERROR(__xludf.DUMMYFUNCTION("""COMPUTED_VALUE"""),0.0022916666666666667)</f>
        <v>0.002291666667</v>
      </c>
      <c r="E272" s="1">
        <f>IFERROR(__xludf.DUMMYFUNCTION("""COMPUTED_VALUE"""),1.07)</f>
        <v>1.07</v>
      </c>
      <c r="F272" s="1">
        <f>IFERROR(__xludf.DUMMYFUNCTION("""COMPUTED_VALUE"""),4.81)</f>
        <v>4.81</v>
      </c>
      <c r="G272" s="5">
        <f>IFERROR(__xludf.DUMMYFUNCTION("""COMPUTED_VALUE"""),13080.0)</f>
        <v>13080</v>
      </c>
      <c r="H272" s="5">
        <f>IFERROR(__xludf.DUMMYFUNCTION("""COMPUTED_VALUE"""),2722.0)</f>
        <v>2722</v>
      </c>
    </row>
    <row r="273">
      <c r="A273" s="4">
        <f>IFERROR(__xludf.DUMMYFUNCTION("""COMPUTED_VALUE"""),42641.0)</f>
        <v>42641</v>
      </c>
      <c r="B273" s="5">
        <f>IFERROR(__xludf.DUMMYFUNCTION("""COMPUTED_VALUE"""),2236.0)</f>
        <v>2236</v>
      </c>
      <c r="C273" s="6">
        <f>IFERROR(__xludf.DUMMYFUNCTION("""COMPUTED_VALUE"""),0.4589)</f>
        <v>0.4589</v>
      </c>
      <c r="D273" s="2">
        <f>IFERROR(__xludf.DUMMYFUNCTION("""COMPUTED_VALUE"""),0.002638888888888889)</f>
        <v>0.002638888889</v>
      </c>
      <c r="E273" s="1">
        <f>IFERROR(__xludf.DUMMYFUNCTION("""COMPUTED_VALUE"""),1.14)</f>
        <v>1.14</v>
      </c>
      <c r="F273" s="1">
        <f>IFERROR(__xludf.DUMMYFUNCTION("""COMPUTED_VALUE"""),5.49)</f>
        <v>5.49</v>
      </c>
      <c r="G273" s="5">
        <f>IFERROR(__xludf.DUMMYFUNCTION("""COMPUTED_VALUE"""),13941.0)</f>
        <v>13941</v>
      </c>
      <c r="H273" s="5">
        <f>IFERROR(__xludf.DUMMYFUNCTION("""COMPUTED_VALUE"""),2541.0)</f>
        <v>2541</v>
      </c>
    </row>
    <row r="274">
      <c r="A274" s="4">
        <f>IFERROR(__xludf.DUMMYFUNCTION("""COMPUTED_VALUE"""),42642.0)</f>
        <v>42642</v>
      </c>
      <c r="B274" s="5">
        <f>IFERROR(__xludf.DUMMYFUNCTION("""COMPUTED_VALUE"""),2485.0)</f>
        <v>2485</v>
      </c>
      <c r="C274" s="6">
        <f>IFERROR(__xludf.DUMMYFUNCTION("""COMPUTED_VALUE"""),0.4657)</f>
        <v>0.4657</v>
      </c>
      <c r="D274" s="2">
        <f>IFERROR(__xludf.DUMMYFUNCTION("""COMPUTED_VALUE"""),0.0017013888888888888)</f>
        <v>0.001701388889</v>
      </c>
      <c r="E274" s="1">
        <f>IFERROR(__xludf.DUMMYFUNCTION("""COMPUTED_VALUE"""),1.06)</f>
        <v>1.06</v>
      </c>
      <c r="F274" s="1">
        <f>IFERROR(__xludf.DUMMYFUNCTION("""COMPUTED_VALUE"""),5.51)</f>
        <v>5.51</v>
      </c>
      <c r="G274" s="5">
        <f>IFERROR(__xludf.DUMMYFUNCTION("""COMPUTED_VALUE"""),14469.0)</f>
        <v>14469</v>
      </c>
      <c r="H274" s="5">
        <f>IFERROR(__xludf.DUMMYFUNCTION("""COMPUTED_VALUE"""),2624.0)</f>
        <v>2624</v>
      </c>
    </row>
    <row r="275">
      <c r="A275" s="4">
        <f>IFERROR(__xludf.DUMMYFUNCTION("""COMPUTED_VALUE"""),42643.0)</f>
        <v>42643</v>
      </c>
      <c r="B275" s="5">
        <f>IFERROR(__xludf.DUMMYFUNCTION("""COMPUTED_VALUE"""),2194.0)</f>
        <v>2194</v>
      </c>
      <c r="C275" s="6">
        <f>IFERROR(__xludf.DUMMYFUNCTION("""COMPUTED_VALUE"""),0.4941)</f>
        <v>0.4941</v>
      </c>
      <c r="D275" s="2">
        <f>IFERROR(__xludf.DUMMYFUNCTION("""COMPUTED_VALUE"""),0.0015509259259259259)</f>
        <v>0.001550925926</v>
      </c>
      <c r="E275" s="1">
        <f>IFERROR(__xludf.DUMMYFUNCTION("""COMPUTED_VALUE"""),1.05)</f>
        <v>1.05</v>
      </c>
      <c r="F275" s="1">
        <f>IFERROR(__xludf.DUMMYFUNCTION("""COMPUTED_VALUE"""),4.54)</f>
        <v>4.54</v>
      </c>
      <c r="G275" s="5">
        <f>IFERROR(__xludf.DUMMYFUNCTION("""COMPUTED_VALUE"""),10470.0)</f>
        <v>10470</v>
      </c>
      <c r="H275" s="5">
        <f>IFERROR(__xludf.DUMMYFUNCTION("""COMPUTED_VALUE"""),2305.0)</f>
        <v>2305</v>
      </c>
    </row>
    <row r="276">
      <c r="A276" s="4">
        <f>IFERROR(__xludf.DUMMYFUNCTION("""COMPUTED_VALUE"""),42644.0)</f>
        <v>42644</v>
      </c>
      <c r="B276" s="5">
        <f>IFERROR(__xludf.DUMMYFUNCTION("""COMPUTED_VALUE"""),1514.0)</f>
        <v>1514</v>
      </c>
      <c r="C276" s="6">
        <f>IFERROR(__xludf.DUMMYFUNCTION("""COMPUTED_VALUE"""),0.386)</f>
        <v>0.386</v>
      </c>
      <c r="D276" s="2">
        <f>IFERROR(__xludf.DUMMYFUNCTION("""COMPUTED_VALUE"""),0.0019212962962962964)</f>
        <v>0.001921296296</v>
      </c>
      <c r="E276" s="1">
        <f>IFERROR(__xludf.DUMMYFUNCTION("""COMPUTED_VALUE"""),1.05)</f>
        <v>1.05</v>
      </c>
      <c r="F276" s="1">
        <f>IFERROR(__xludf.DUMMYFUNCTION("""COMPUTED_VALUE"""),4.02)</f>
        <v>4.02</v>
      </c>
      <c r="G276" s="5">
        <f>IFERROR(__xludf.DUMMYFUNCTION("""COMPUTED_VALUE"""),6360.0)</f>
        <v>6360</v>
      </c>
      <c r="H276" s="5">
        <f>IFERROR(__xludf.DUMMYFUNCTION("""COMPUTED_VALUE"""),1583.0)</f>
        <v>1583</v>
      </c>
    </row>
    <row r="277">
      <c r="A277" s="4">
        <f>IFERROR(__xludf.DUMMYFUNCTION("""COMPUTED_VALUE"""),42645.0)</f>
        <v>42645</v>
      </c>
      <c r="B277" s="5">
        <f>IFERROR(__xludf.DUMMYFUNCTION("""COMPUTED_VALUE"""),1583.0)</f>
        <v>1583</v>
      </c>
      <c r="C277" s="6">
        <f>IFERROR(__xludf.DUMMYFUNCTION("""COMPUTED_VALUE"""),0.504)</f>
        <v>0.504</v>
      </c>
      <c r="D277" s="2">
        <f>IFERROR(__xludf.DUMMYFUNCTION("""COMPUTED_VALUE"""),0.002002314814814815)</f>
        <v>0.002002314815</v>
      </c>
      <c r="E277" s="1">
        <f>IFERROR(__xludf.DUMMYFUNCTION("""COMPUTED_VALUE"""),1.1)</f>
        <v>1.1</v>
      </c>
      <c r="F277" s="1">
        <f>IFERROR(__xludf.DUMMYFUNCTION("""COMPUTED_VALUE"""),3.85)</f>
        <v>3.85</v>
      </c>
      <c r="G277" s="5">
        <f>IFERROR(__xludf.DUMMYFUNCTION("""COMPUTED_VALUE"""),6679.0)</f>
        <v>6679</v>
      </c>
      <c r="H277" s="5">
        <f>IFERROR(__xludf.DUMMYFUNCTION("""COMPUTED_VALUE"""),1736.0)</f>
        <v>1736</v>
      </c>
    </row>
    <row r="278">
      <c r="A278" s="4">
        <f>IFERROR(__xludf.DUMMYFUNCTION("""COMPUTED_VALUE"""),42646.0)</f>
        <v>42646</v>
      </c>
      <c r="B278" s="5">
        <f>IFERROR(__xludf.DUMMYFUNCTION("""COMPUTED_VALUE"""),2291.0)</f>
        <v>2291</v>
      </c>
      <c r="C278" s="6">
        <f>IFERROR(__xludf.DUMMYFUNCTION("""COMPUTED_VALUE"""),0.4584)</f>
        <v>0.4584</v>
      </c>
      <c r="D278" s="2">
        <f>IFERROR(__xludf.DUMMYFUNCTION("""COMPUTED_VALUE"""),0.0019560185185185184)</f>
        <v>0.001956018519</v>
      </c>
      <c r="E278" s="1">
        <f>IFERROR(__xludf.DUMMYFUNCTION("""COMPUTED_VALUE"""),1.1)</f>
        <v>1.1</v>
      </c>
      <c r="F278" s="1">
        <f>IFERROR(__xludf.DUMMYFUNCTION("""COMPUTED_VALUE"""),4.62)</f>
        <v>4.62</v>
      </c>
      <c r="G278" s="5">
        <f>IFERROR(__xludf.DUMMYFUNCTION("""COMPUTED_VALUE"""),11608.0)</f>
        <v>11608</v>
      </c>
      <c r="H278" s="5">
        <f>IFERROR(__xludf.DUMMYFUNCTION("""COMPUTED_VALUE"""),2513.0)</f>
        <v>2513</v>
      </c>
    </row>
    <row r="279">
      <c r="A279" s="4">
        <f>IFERROR(__xludf.DUMMYFUNCTION("""COMPUTED_VALUE"""),42647.0)</f>
        <v>42647</v>
      </c>
      <c r="B279" s="5">
        <f>IFERROR(__xludf.DUMMYFUNCTION("""COMPUTED_VALUE"""),3985.0)</f>
        <v>3985</v>
      </c>
      <c r="C279" s="6">
        <f>IFERROR(__xludf.DUMMYFUNCTION("""COMPUTED_VALUE"""),0.4376)</f>
        <v>0.4376</v>
      </c>
      <c r="D279" s="2">
        <f>IFERROR(__xludf.DUMMYFUNCTION("""COMPUTED_VALUE"""),0.0018402777777777777)</f>
        <v>0.001840277778</v>
      </c>
      <c r="E279" s="1">
        <f>IFERROR(__xludf.DUMMYFUNCTION("""COMPUTED_VALUE"""),1.09)</f>
        <v>1.09</v>
      </c>
      <c r="F279" s="1">
        <f>IFERROR(__xludf.DUMMYFUNCTION("""COMPUTED_VALUE"""),4.28)</f>
        <v>4.28</v>
      </c>
      <c r="G279" s="5">
        <f>IFERROR(__xludf.DUMMYFUNCTION("""COMPUTED_VALUE"""),18593.0)</f>
        <v>18593</v>
      </c>
      <c r="H279" s="5">
        <f>IFERROR(__xludf.DUMMYFUNCTION("""COMPUTED_VALUE"""),4346.0)</f>
        <v>4346</v>
      </c>
    </row>
    <row r="280">
      <c r="A280" s="4">
        <f>IFERROR(__xludf.DUMMYFUNCTION("""COMPUTED_VALUE"""),42648.0)</f>
        <v>42648</v>
      </c>
      <c r="B280" s="5">
        <f>IFERROR(__xludf.DUMMYFUNCTION("""COMPUTED_VALUE"""),3582.0)</f>
        <v>3582</v>
      </c>
      <c r="C280" s="6">
        <f>IFERROR(__xludf.DUMMYFUNCTION("""COMPUTED_VALUE"""),0.4633)</f>
        <v>0.4633</v>
      </c>
      <c r="D280" s="2">
        <f>IFERROR(__xludf.DUMMYFUNCTION("""COMPUTED_VALUE"""),0.0013657407407407407)</f>
        <v>0.001365740741</v>
      </c>
      <c r="E280" s="1">
        <f>IFERROR(__xludf.DUMMYFUNCTION("""COMPUTED_VALUE"""),1.05)</f>
        <v>1.05</v>
      </c>
      <c r="F280" s="1">
        <f>IFERROR(__xludf.DUMMYFUNCTION("""COMPUTED_VALUE"""),4.18)</f>
        <v>4.18</v>
      </c>
      <c r="G280" s="5">
        <f>IFERROR(__xludf.DUMMYFUNCTION("""COMPUTED_VALUE"""),15774.0)</f>
        <v>15774</v>
      </c>
      <c r="H280" s="5">
        <f>IFERROR(__xludf.DUMMYFUNCTION("""COMPUTED_VALUE"""),3777.0)</f>
        <v>3777</v>
      </c>
    </row>
    <row r="281">
      <c r="A281" s="4">
        <f>IFERROR(__xludf.DUMMYFUNCTION("""COMPUTED_VALUE"""),42649.0)</f>
        <v>42649</v>
      </c>
      <c r="B281" s="5">
        <f>IFERROR(__xludf.DUMMYFUNCTION("""COMPUTED_VALUE"""),2791.0)</f>
        <v>2791</v>
      </c>
      <c r="C281" s="6">
        <f>IFERROR(__xludf.DUMMYFUNCTION("""COMPUTED_VALUE"""),0.4476)</f>
        <v>0.4476</v>
      </c>
      <c r="D281" s="2">
        <f>IFERROR(__xludf.DUMMYFUNCTION("""COMPUTED_VALUE"""),0.0022916666666666667)</f>
        <v>0.002291666667</v>
      </c>
      <c r="E281" s="1">
        <f>IFERROR(__xludf.DUMMYFUNCTION("""COMPUTED_VALUE"""),1.09)</f>
        <v>1.09</v>
      </c>
      <c r="F281" s="1">
        <f>IFERROR(__xludf.DUMMYFUNCTION("""COMPUTED_VALUE"""),5.5)</f>
        <v>5.5</v>
      </c>
      <c r="G281" s="5">
        <f>IFERROR(__xludf.DUMMYFUNCTION("""COMPUTED_VALUE"""),16718.0)</f>
        <v>16718</v>
      </c>
      <c r="H281" s="5">
        <f>IFERROR(__xludf.DUMMYFUNCTION("""COMPUTED_VALUE"""),3041.0)</f>
        <v>3041</v>
      </c>
    </row>
    <row r="282">
      <c r="A282" s="4">
        <f>IFERROR(__xludf.DUMMYFUNCTION("""COMPUTED_VALUE"""),42650.0)</f>
        <v>42650</v>
      </c>
      <c r="B282" s="5">
        <f>IFERROR(__xludf.DUMMYFUNCTION("""COMPUTED_VALUE"""),2749.0)</f>
        <v>2749</v>
      </c>
      <c r="C282" s="6">
        <f>IFERROR(__xludf.DUMMYFUNCTION("""COMPUTED_VALUE"""),0.4785)</f>
        <v>0.4785</v>
      </c>
      <c r="D282" s="2">
        <f>IFERROR(__xludf.DUMMYFUNCTION("""COMPUTED_VALUE"""),0.0018402777777777777)</f>
        <v>0.001840277778</v>
      </c>
      <c r="E282" s="1">
        <f>IFERROR(__xludf.DUMMYFUNCTION("""COMPUTED_VALUE"""),1.07)</f>
        <v>1.07</v>
      </c>
      <c r="F282" s="1">
        <f>IFERROR(__xludf.DUMMYFUNCTION("""COMPUTED_VALUE"""),3.99)</f>
        <v>3.99</v>
      </c>
      <c r="G282" s="5">
        <f>IFERROR(__xludf.DUMMYFUNCTION("""COMPUTED_VALUE"""),11705.0)</f>
        <v>11705</v>
      </c>
      <c r="H282" s="5">
        <f>IFERROR(__xludf.DUMMYFUNCTION("""COMPUTED_VALUE"""),2930.0)</f>
        <v>2930</v>
      </c>
    </row>
    <row r="283">
      <c r="A283" s="4">
        <f>IFERROR(__xludf.DUMMYFUNCTION("""COMPUTED_VALUE"""),42651.0)</f>
        <v>42651</v>
      </c>
      <c r="B283" s="5">
        <f>IFERROR(__xludf.DUMMYFUNCTION("""COMPUTED_VALUE"""),1930.0)</f>
        <v>1930</v>
      </c>
      <c r="C283" s="6">
        <f>IFERROR(__xludf.DUMMYFUNCTION("""COMPUTED_VALUE"""),0.5064)</f>
        <v>0.5064</v>
      </c>
      <c r="D283" s="2">
        <f>IFERROR(__xludf.DUMMYFUNCTION("""COMPUTED_VALUE"""),0.0014236111111111112)</f>
        <v>0.001423611111</v>
      </c>
      <c r="E283" s="1">
        <f>IFERROR(__xludf.DUMMYFUNCTION("""COMPUTED_VALUE"""),1.09)</f>
        <v>1.09</v>
      </c>
      <c r="F283" s="1">
        <f>IFERROR(__xludf.DUMMYFUNCTION("""COMPUTED_VALUE"""),3.31)</f>
        <v>3.31</v>
      </c>
      <c r="G283" s="5">
        <f>IFERROR(__xludf.DUMMYFUNCTION("""COMPUTED_VALUE"""),6984.0)</f>
        <v>6984</v>
      </c>
      <c r="H283" s="5">
        <f>IFERROR(__xludf.DUMMYFUNCTION("""COMPUTED_VALUE"""),2111.0)</f>
        <v>2111</v>
      </c>
    </row>
    <row r="284">
      <c r="A284" s="4">
        <f>IFERROR(__xludf.DUMMYFUNCTION("""COMPUTED_VALUE"""),42652.0)</f>
        <v>42652</v>
      </c>
      <c r="B284" s="5">
        <f>IFERROR(__xludf.DUMMYFUNCTION("""COMPUTED_VALUE"""),2083.0)</f>
        <v>2083</v>
      </c>
      <c r="C284" s="6">
        <f>IFERROR(__xludf.DUMMYFUNCTION("""COMPUTED_VALUE"""),0.5131)</f>
        <v>0.5131</v>
      </c>
      <c r="D284" s="2">
        <f>IFERROR(__xludf.DUMMYFUNCTION("""COMPUTED_VALUE"""),0.0013078703703703703)</f>
        <v>0.00130787037</v>
      </c>
      <c r="E284" s="1">
        <f>IFERROR(__xludf.DUMMYFUNCTION("""COMPUTED_VALUE"""),1.03)</f>
        <v>1.03</v>
      </c>
      <c r="F284" s="1">
        <f>IFERROR(__xludf.DUMMYFUNCTION("""COMPUTED_VALUE"""),3.64)</f>
        <v>3.64</v>
      </c>
      <c r="G284" s="5">
        <f>IFERROR(__xludf.DUMMYFUNCTION("""COMPUTED_VALUE"""),7790.0)</f>
        <v>7790</v>
      </c>
      <c r="H284" s="5">
        <f>IFERROR(__xludf.DUMMYFUNCTION("""COMPUTED_VALUE"""),2138.0)</f>
        <v>2138</v>
      </c>
    </row>
    <row r="285">
      <c r="A285" s="4">
        <f>IFERROR(__xludf.DUMMYFUNCTION("""COMPUTED_VALUE"""),42653.0)</f>
        <v>42653</v>
      </c>
      <c r="B285" s="5">
        <f>IFERROR(__xludf.DUMMYFUNCTION("""COMPUTED_VALUE"""),2888.0)</f>
        <v>2888</v>
      </c>
      <c r="C285" s="6">
        <f>IFERROR(__xludf.DUMMYFUNCTION("""COMPUTED_VALUE"""),0.445)</f>
        <v>0.445</v>
      </c>
      <c r="D285" s="2">
        <f>IFERROR(__xludf.DUMMYFUNCTION("""COMPUTED_VALUE"""),0.001712962962962963)</f>
        <v>0.001712962963</v>
      </c>
      <c r="E285" s="1">
        <f>IFERROR(__xludf.DUMMYFUNCTION("""COMPUTED_VALUE"""),1.05)</f>
        <v>1.05</v>
      </c>
      <c r="F285" s="1">
        <f>IFERROR(__xludf.DUMMYFUNCTION("""COMPUTED_VALUE"""),4.62)</f>
        <v>4.62</v>
      </c>
      <c r="G285" s="5">
        <f>IFERROR(__xludf.DUMMYFUNCTION("""COMPUTED_VALUE"""),13996.0)</f>
        <v>13996</v>
      </c>
      <c r="H285" s="5">
        <f>IFERROR(__xludf.DUMMYFUNCTION("""COMPUTED_VALUE"""),3027.0)</f>
        <v>3027</v>
      </c>
    </row>
    <row r="286">
      <c r="A286" s="4">
        <f>IFERROR(__xludf.DUMMYFUNCTION("""COMPUTED_VALUE"""),42654.0)</f>
        <v>42654</v>
      </c>
      <c r="B286" s="5">
        <f>IFERROR(__xludf.DUMMYFUNCTION("""COMPUTED_VALUE"""),2819.0)</f>
        <v>2819</v>
      </c>
      <c r="C286" s="6">
        <f>IFERROR(__xludf.DUMMYFUNCTION("""COMPUTED_VALUE"""),0.4476)</f>
        <v>0.4476</v>
      </c>
      <c r="D286" s="2">
        <f>IFERROR(__xludf.DUMMYFUNCTION("""COMPUTED_VALUE"""),0.0018402777777777777)</f>
        <v>0.001840277778</v>
      </c>
      <c r="E286" s="1">
        <f>IFERROR(__xludf.DUMMYFUNCTION("""COMPUTED_VALUE"""),1.08)</f>
        <v>1.08</v>
      </c>
      <c r="F286" s="1">
        <f>IFERROR(__xludf.DUMMYFUNCTION("""COMPUTED_VALUE"""),4.52)</f>
        <v>4.52</v>
      </c>
      <c r="G286" s="5">
        <f>IFERROR(__xludf.DUMMYFUNCTION("""COMPUTED_VALUE"""),13760.0)</f>
        <v>13760</v>
      </c>
      <c r="H286" s="5">
        <f>IFERROR(__xludf.DUMMYFUNCTION("""COMPUTED_VALUE"""),3041.0)</f>
        <v>3041</v>
      </c>
    </row>
    <row r="287">
      <c r="A287" s="4">
        <f>IFERROR(__xludf.DUMMYFUNCTION("""COMPUTED_VALUE"""),42655.0)</f>
        <v>42655</v>
      </c>
      <c r="B287" s="5">
        <f>IFERROR(__xludf.DUMMYFUNCTION("""COMPUTED_VALUE"""),2847.0)</f>
        <v>2847</v>
      </c>
      <c r="C287" s="6">
        <f>IFERROR(__xludf.DUMMYFUNCTION("""COMPUTED_VALUE"""),0.4009)</f>
        <v>0.4009</v>
      </c>
      <c r="D287" s="2">
        <f>IFERROR(__xludf.DUMMYFUNCTION("""COMPUTED_VALUE"""),0.0018402777777777777)</f>
        <v>0.001840277778</v>
      </c>
      <c r="E287" s="1">
        <f>IFERROR(__xludf.DUMMYFUNCTION("""COMPUTED_VALUE"""),1.06)</f>
        <v>1.06</v>
      </c>
      <c r="F287" s="1">
        <f>IFERROR(__xludf.DUMMYFUNCTION("""COMPUTED_VALUE"""),4.96)</f>
        <v>4.96</v>
      </c>
      <c r="G287" s="5">
        <f>IFERROR(__xludf.DUMMYFUNCTION("""COMPUTED_VALUE"""),14941.0)</f>
        <v>14941</v>
      </c>
      <c r="H287" s="5">
        <f>IFERROR(__xludf.DUMMYFUNCTION("""COMPUTED_VALUE"""),3013.0)</f>
        <v>3013</v>
      </c>
    </row>
    <row r="288">
      <c r="A288" s="4">
        <f>IFERROR(__xludf.DUMMYFUNCTION("""COMPUTED_VALUE"""),42656.0)</f>
        <v>42656</v>
      </c>
      <c r="B288" s="5">
        <f>IFERROR(__xludf.DUMMYFUNCTION("""COMPUTED_VALUE"""),2874.0)</f>
        <v>2874</v>
      </c>
      <c r="C288" s="6">
        <f>IFERROR(__xludf.DUMMYFUNCTION("""COMPUTED_VALUE"""),0.5225)</f>
        <v>0.5225</v>
      </c>
      <c r="D288" s="2">
        <f>IFERROR(__xludf.DUMMYFUNCTION("""COMPUTED_VALUE"""),0.0020486111111111113)</f>
        <v>0.002048611111</v>
      </c>
      <c r="E288" s="1">
        <f>IFERROR(__xludf.DUMMYFUNCTION("""COMPUTED_VALUE"""),1.08)</f>
        <v>1.08</v>
      </c>
      <c r="F288" s="1">
        <f>IFERROR(__xludf.DUMMYFUNCTION("""COMPUTED_VALUE"""),5.09)</f>
        <v>5.09</v>
      </c>
      <c r="G288" s="5">
        <f>IFERROR(__xludf.DUMMYFUNCTION("""COMPUTED_VALUE"""),15829.0)</f>
        <v>15829</v>
      </c>
      <c r="H288" s="5">
        <f>IFERROR(__xludf.DUMMYFUNCTION("""COMPUTED_VALUE"""),3110.0)</f>
        <v>3110</v>
      </c>
    </row>
    <row r="289">
      <c r="A289" s="4">
        <f>IFERROR(__xludf.DUMMYFUNCTION("""COMPUTED_VALUE"""),42657.0)</f>
        <v>42657</v>
      </c>
      <c r="B289" s="5">
        <f>IFERROR(__xludf.DUMMYFUNCTION("""COMPUTED_VALUE"""),2833.0)</f>
        <v>2833</v>
      </c>
      <c r="C289" s="6">
        <f>IFERROR(__xludf.DUMMYFUNCTION("""COMPUTED_VALUE"""),0.5422)</f>
        <v>0.5422</v>
      </c>
      <c r="D289" s="2">
        <f>IFERROR(__xludf.DUMMYFUNCTION("""COMPUTED_VALUE"""),0.0014351851851851852)</f>
        <v>0.001435185185</v>
      </c>
      <c r="E289" s="1">
        <f>IFERROR(__xludf.DUMMYFUNCTION("""COMPUTED_VALUE"""),1.05)</f>
        <v>1.05</v>
      </c>
      <c r="F289" s="1">
        <f>IFERROR(__xludf.DUMMYFUNCTION("""COMPUTED_VALUE"""),3.87)</f>
        <v>3.87</v>
      </c>
      <c r="G289" s="5">
        <f>IFERROR(__xludf.DUMMYFUNCTION("""COMPUTED_VALUE"""),11511.0)</f>
        <v>11511</v>
      </c>
      <c r="H289" s="5">
        <f>IFERROR(__xludf.DUMMYFUNCTION("""COMPUTED_VALUE"""),2971.0)</f>
        <v>2971</v>
      </c>
    </row>
    <row r="290">
      <c r="A290" s="4">
        <f>IFERROR(__xludf.DUMMYFUNCTION("""COMPUTED_VALUE"""),42658.0)</f>
        <v>42658</v>
      </c>
      <c r="B290" s="5">
        <f>IFERROR(__xludf.DUMMYFUNCTION("""COMPUTED_VALUE"""),2458.0)</f>
        <v>2458</v>
      </c>
      <c r="C290" s="6">
        <f>IFERROR(__xludf.DUMMYFUNCTION("""COMPUTED_VALUE"""),0.5699)</f>
        <v>0.5699</v>
      </c>
      <c r="D290" s="2">
        <f>IFERROR(__xludf.DUMMYFUNCTION("""COMPUTED_VALUE"""),8.912037037037037E-4)</f>
        <v>0.0008912037037</v>
      </c>
      <c r="E290" s="1">
        <f>IFERROR(__xludf.DUMMYFUNCTION("""COMPUTED_VALUE"""),1.05)</f>
        <v>1.05</v>
      </c>
      <c r="F290" s="1">
        <f>IFERROR(__xludf.DUMMYFUNCTION("""COMPUTED_VALUE"""),3.07)</f>
        <v>3.07</v>
      </c>
      <c r="G290" s="5">
        <f>IFERROR(__xludf.DUMMYFUNCTION("""COMPUTED_VALUE"""),7929.0)</f>
        <v>7929</v>
      </c>
      <c r="H290" s="5">
        <f>IFERROR(__xludf.DUMMYFUNCTION("""COMPUTED_VALUE"""),2583.0)</f>
        <v>2583</v>
      </c>
    </row>
    <row r="291">
      <c r="A291" s="4">
        <f>IFERROR(__xludf.DUMMYFUNCTION("""COMPUTED_VALUE"""),42659.0)</f>
        <v>42659</v>
      </c>
      <c r="B291" s="5">
        <f>IFERROR(__xludf.DUMMYFUNCTION("""COMPUTED_VALUE"""),2638.0)</f>
        <v>2638</v>
      </c>
      <c r="C291" s="6">
        <f>IFERROR(__xludf.DUMMYFUNCTION("""COMPUTED_VALUE"""),0.6009)</f>
        <v>0.6009</v>
      </c>
      <c r="D291" s="2">
        <f>IFERROR(__xludf.DUMMYFUNCTION("""COMPUTED_VALUE"""),0.0012962962962962963)</f>
        <v>0.001296296296</v>
      </c>
      <c r="E291" s="1">
        <f>IFERROR(__xludf.DUMMYFUNCTION("""COMPUTED_VALUE"""),1.04)</f>
        <v>1.04</v>
      </c>
      <c r="F291" s="1">
        <f>IFERROR(__xludf.DUMMYFUNCTION("""COMPUTED_VALUE"""),3.22)</f>
        <v>3.22</v>
      </c>
      <c r="G291" s="5">
        <f>IFERROR(__xludf.DUMMYFUNCTION("""COMPUTED_VALUE"""),8859.0)</f>
        <v>8859</v>
      </c>
      <c r="H291" s="5">
        <f>IFERROR(__xludf.DUMMYFUNCTION("""COMPUTED_VALUE"""),2749.0)</f>
        <v>2749</v>
      </c>
    </row>
    <row r="292">
      <c r="A292" s="4">
        <f>IFERROR(__xludf.DUMMYFUNCTION("""COMPUTED_VALUE"""),42660.0)</f>
        <v>42660</v>
      </c>
      <c r="B292" s="5">
        <f>IFERROR(__xludf.DUMMYFUNCTION("""COMPUTED_VALUE"""),3346.0)</f>
        <v>3346</v>
      </c>
      <c r="C292" s="6">
        <f>IFERROR(__xludf.DUMMYFUNCTION("""COMPUTED_VALUE"""),0.5951)</f>
        <v>0.5951</v>
      </c>
      <c r="D292" s="2">
        <f>IFERROR(__xludf.DUMMYFUNCTION("""COMPUTED_VALUE"""),0.0012847222222222223)</f>
        <v>0.001284722222</v>
      </c>
      <c r="E292" s="1">
        <f>IFERROR(__xludf.DUMMYFUNCTION("""COMPUTED_VALUE"""),1.07)</f>
        <v>1.07</v>
      </c>
      <c r="F292" s="1">
        <f>IFERROR(__xludf.DUMMYFUNCTION("""COMPUTED_VALUE"""),3.31)</f>
        <v>3.31</v>
      </c>
      <c r="G292" s="5">
        <f>IFERROR(__xludf.DUMMYFUNCTION("""COMPUTED_VALUE"""),11816.0)</f>
        <v>11816</v>
      </c>
      <c r="H292" s="5">
        <f>IFERROR(__xludf.DUMMYFUNCTION("""COMPUTED_VALUE"""),3569.0)</f>
        <v>3569</v>
      </c>
    </row>
    <row r="293">
      <c r="A293" s="4">
        <f>IFERROR(__xludf.DUMMYFUNCTION("""COMPUTED_VALUE"""),42661.0)</f>
        <v>42661</v>
      </c>
      <c r="B293" s="5">
        <f>IFERROR(__xludf.DUMMYFUNCTION("""COMPUTED_VALUE"""),3444.0)</f>
        <v>3444</v>
      </c>
      <c r="C293" s="6">
        <f>IFERROR(__xludf.DUMMYFUNCTION("""COMPUTED_VALUE"""),0.5719)</f>
        <v>0.5719</v>
      </c>
      <c r="D293" s="2">
        <f>IFERROR(__xludf.DUMMYFUNCTION("""COMPUTED_VALUE"""),0.002002314814814815)</f>
        <v>0.002002314815</v>
      </c>
      <c r="E293" s="1">
        <f>IFERROR(__xludf.DUMMYFUNCTION("""COMPUTED_VALUE"""),1.09)</f>
        <v>1.09</v>
      </c>
      <c r="F293" s="1">
        <f>IFERROR(__xludf.DUMMYFUNCTION("""COMPUTED_VALUE"""),4.79)</f>
        <v>4.79</v>
      </c>
      <c r="G293" s="5">
        <f>IFERROR(__xludf.DUMMYFUNCTION("""COMPUTED_VALUE"""),18037.0)</f>
        <v>18037</v>
      </c>
      <c r="H293" s="5">
        <f>IFERROR(__xludf.DUMMYFUNCTION("""COMPUTED_VALUE"""),3763.0)</f>
        <v>3763</v>
      </c>
    </row>
    <row r="294">
      <c r="A294" s="4">
        <f>IFERROR(__xludf.DUMMYFUNCTION("""COMPUTED_VALUE"""),42662.0)</f>
        <v>42662</v>
      </c>
      <c r="B294" s="5">
        <f>IFERROR(__xludf.DUMMYFUNCTION("""COMPUTED_VALUE"""),3430.0)</f>
        <v>3430</v>
      </c>
      <c r="C294" s="6">
        <f>IFERROR(__xludf.DUMMYFUNCTION("""COMPUTED_VALUE"""),0.517)</f>
        <v>0.517</v>
      </c>
      <c r="D294" s="2">
        <f>IFERROR(__xludf.DUMMYFUNCTION("""COMPUTED_VALUE"""),0.0020949074074074073)</f>
        <v>0.002094907407</v>
      </c>
      <c r="E294" s="1">
        <f>IFERROR(__xludf.DUMMYFUNCTION("""COMPUTED_VALUE"""),1.06)</f>
        <v>1.06</v>
      </c>
      <c r="F294" s="1">
        <f>IFERROR(__xludf.DUMMYFUNCTION("""COMPUTED_VALUE"""),4.12)</f>
        <v>4.12</v>
      </c>
      <c r="G294" s="5">
        <f>IFERROR(__xludf.DUMMYFUNCTION("""COMPUTED_VALUE"""),15052.0)</f>
        <v>15052</v>
      </c>
      <c r="H294" s="5">
        <f>IFERROR(__xludf.DUMMYFUNCTION("""COMPUTED_VALUE"""),3652.0)</f>
        <v>3652</v>
      </c>
    </row>
    <row r="295">
      <c r="A295" s="4">
        <f>IFERROR(__xludf.DUMMYFUNCTION("""COMPUTED_VALUE"""),42663.0)</f>
        <v>42663</v>
      </c>
      <c r="B295" s="5">
        <f>IFERROR(__xludf.DUMMYFUNCTION("""COMPUTED_VALUE"""),3638.0)</f>
        <v>3638</v>
      </c>
      <c r="C295" s="6">
        <f>IFERROR(__xludf.DUMMYFUNCTION("""COMPUTED_VALUE"""),0.5603)</f>
        <v>0.5603</v>
      </c>
      <c r="D295" s="2">
        <f>IFERROR(__xludf.DUMMYFUNCTION("""COMPUTED_VALUE"""),0.001875)</f>
        <v>0.001875</v>
      </c>
      <c r="E295" s="1">
        <f>IFERROR(__xludf.DUMMYFUNCTION("""COMPUTED_VALUE"""),1.08)</f>
        <v>1.08</v>
      </c>
      <c r="F295" s="1">
        <f>IFERROR(__xludf.DUMMYFUNCTION("""COMPUTED_VALUE"""),4.21)</f>
        <v>4.21</v>
      </c>
      <c r="G295" s="5">
        <f>IFERROR(__xludf.DUMMYFUNCTION("""COMPUTED_VALUE"""),16496.0)</f>
        <v>16496</v>
      </c>
      <c r="H295" s="5">
        <f>IFERROR(__xludf.DUMMYFUNCTION("""COMPUTED_VALUE"""),3916.0)</f>
        <v>3916</v>
      </c>
    </row>
    <row r="296">
      <c r="A296" s="4">
        <f>IFERROR(__xludf.DUMMYFUNCTION("""COMPUTED_VALUE"""),42664.0)</f>
        <v>42664</v>
      </c>
      <c r="B296" s="5">
        <f>IFERROR(__xludf.DUMMYFUNCTION("""COMPUTED_VALUE"""),3360.0)</f>
        <v>3360</v>
      </c>
      <c r="C296" s="6">
        <f>IFERROR(__xludf.DUMMYFUNCTION("""COMPUTED_VALUE"""),0.5329)</f>
        <v>0.5329</v>
      </c>
      <c r="D296" s="2">
        <f>IFERROR(__xludf.DUMMYFUNCTION("""COMPUTED_VALUE"""),0.0016782407407407408)</f>
        <v>0.001678240741</v>
      </c>
      <c r="E296" s="1">
        <f>IFERROR(__xludf.DUMMYFUNCTION("""COMPUTED_VALUE"""),1.06)</f>
        <v>1.06</v>
      </c>
      <c r="F296" s="1">
        <f>IFERROR(__xludf.DUMMYFUNCTION("""COMPUTED_VALUE"""),3.96)</f>
        <v>3.96</v>
      </c>
      <c r="G296" s="5">
        <f>IFERROR(__xludf.DUMMYFUNCTION("""COMPUTED_VALUE"""),14135.0)</f>
        <v>14135</v>
      </c>
      <c r="H296" s="5">
        <f>IFERROR(__xludf.DUMMYFUNCTION("""COMPUTED_VALUE"""),3569.0)</f>
        <v>3569</v>
      </c>
    </row>
    <row r="297">
      <c r="A297" s="4">
        <f>IFERROR(__xludf.DUMMYFUNCTION("""COMPUTED_VALUE"""),42665.0)</f>
        <v>42665</v>
      </c>
      <c r="B297" s="5">
        <f>IFERROR(__xludf.DUMMYFUNCTION("""COMPUTED_VALUE"""),3027.0)</f>
        <v>3027</v>
      </c>
      <c r="C297" s="6">
        <f>IFERROR(__xludf.DUMMYFUNCTION("""COMPUTED_VALUE"""),0.5823)</f>
        <v>0.5823</v>
      </c>
      <c r="D297" s="2">
        <f>IFERROR(__xludf.DUMMYFUNCTION("""COMPUTED_VALUE"""),0.0010648148148148149)</f>
        <v>0.001064814815</v>
      </c>
      <c r="E297" s="1">
        <f>IFERROR(__xludf.DUMMYFUNCTION("""COMPUTED_VALUE"""),1.03)</f>
        <v>1.03</v>
      </c>
      <c r="F297" s="1">
        <f>IFERROR(__xludf.DUMMYFUNCTION("""COMPUTED_VALUE"""),3.21)</f>
        <v>3.21</v>
      </c>
      <c r="G297" s="5">
        <f>IFERROR(__xludf.DUMMYFUNCTION("""COMPUTED_VALUE"""),10039.0)</f>
        <v>10039</v>
      </c>
      <c r="H297" s="5">
        <f>IFERROR(__xludf.DUMMYFUNCTION("""COMPUTED_VALUE"""),3124.0)</f>
        <v>3124</v>
      </c>
    </row>
    <row r="298">
      <c r="A298" s="4">
        <f>IFERROR(__xludf.DUMMYFUNCTION("""COMPUTED_VALUE"""),42666.0)</f>
        <v>42666</v>
      </c>
      <c r="B298" s="5">
        <f>IFERROR(__xludf.DUMMYFUNCTION("""COMPUTED_VALUE"""),3013.0)</f>
        <v>3013</v>
      </c>
      <c r="C298" s="6">
        <f>IFERROR(__xludf.DUMMYFUNCTION("""COMPUTED_VALUE"""),0.5358)</f>
        <v>0.5358</v>
      </c>
      <c r="D298" s="2">
        <f>IFERROR(__xludf.DUMMYFUNCTION("""COMPUTED_VALUE"""),0.0011458333333333333)</f>
        <v>0.001145833333</v>
      </c>
      <c r="E298" s="1">
        <f>IFERROR(__xludf.DUMMYFUNCTION("""COMPUTED_VALUE"""),1.02)</f>
        <v>1.02</v>
      </c>
      <c r="F298" s="1">
        <f>IFERROR(__xludf.DUMMYFUNCTION("""COMPUTED_VALUE"""),3.22)</f>
        <v>3.22</v>
      </c>
      <c r="G298" s="5">
        <f>IFERROR(__xludf.DUMMYFUNCTION("""COMPUTED_VALUE"""),9942.0)</f>
        <v>9942</v>
      </c>
      <c r="H298" s="5">
        <f>IFERROR(__xludf.DUMMYFUNCTION("""COMPUTED_VALUE"""),3083.0)</f>
        <v>3083</v>
      </c>
    </row>
    <row r="299">
      <c r="A299" s="4">
        <f>IFERROR(__xludf.DUMMYFUNCTION("""COMPUTED_VALUE"""),42667.0)</f>
        <v>42667</v>
      </c>
      <c r="B299" s="5">
        <f>IFERROR(__xludf.DUMMYFUNCTION("""COMPUTED_VALUE"""),3943.0)</f>
        <v>3943</v>
      </c>
      <c r="C299" s="6">
        <f>IFERROR(__xludf.DUMMYFUNCTION("""COMPUTED_VALUE"""),0.5346)</f>
        <v>0.5346</v>
      </c>
      <c r="D299" s="2">
        <f>IFERROR(__xludf.DUMMYFUNCTION("""COMPUTED_VALUE"""),0.0010069444444444444)</f>
        <v>0.001006944444</v>
      </c>
      <c r="E299" s="1">
        <f>IFERROR(__xludf.DUMMYFUNCTION("""COMPUTED_VALUE"""),1.07)</f>
        <v>1.07</v>
      </c>
      <c r="F299" s="1">
        <f>IFERROR(__xludf.DUMMYFUNCTION("""COMPUTED_VALUE"""),2.95)</f>
        <v>2.95</v>
      </c>
      <c r="G299" s="5">
        <f>IFERROR(__xludf.DUMMYFUNCTION("""COMPUTED_VALUE"""),12427.0)</f>
        <v>12427</v>
      </c>
      <c r="H299" s="5">
        <f>IFERROR(__xludf.DUMMYFUNCTION("""COMPUTED_VALUE"""),4207.0)</f>
        <v>4207</v>
      </c>
    </row>
    <row r="300">
      <c r="A300" s="4">
        <f>IFERROR(__xludf.DUMMYFUNCTION("""COMPUTED_VALUE"""),42668.0)</f>
        <v>42668</v>
      </c>
      <c r="B300" s="5">
        <f>IFERROR(__xludf.DUMMYFUNCTION("""COMPUTED_VALUE"""),3916.0)</f>
        <v>3916</v>
      </c>
      <c r="C300" s="6">
        <f>IFERROR(__xludf.DUMMYFUNCTION("""COMPUTED_VALUE"""),0.5556)</f>
        <v>0.5556</v>
      </c>
      <c r="D300" s="2">
        <f>IFERROR(__xludf.DUMMYFUNCTION("""COMPUTED_VALUE"""),0.0020601851851851853)</f>
        <v>0.002060185185</v>
      </c>
      <c r="E300" s="1">
        <f>IFERROR(__xludf.DUMMYFUNCTION("""COMPUTED_VALUE"""),1.02)</f>
        <v>1.02</v>
      </c>
      <c r="F300" s="1">
        <f>IFERROR(__xludf.DUMMYFUNCTION("""COMPUTED_VALUE"""),4.11)</f>
        <v>4.11</v>
      </c>
      <c r="G300" s="5">
        <f>IFERROR(__xludf.DUMMYFUNCTION("""COMPUTED_VALUE"""),16454.0)</f>
        <v>16454</v>
      </c>
      <c r="H300" s="5">
        <f>IFERROR(__xludf.DUMMYFUNCTION("""COMPUTED_VALUE"""),3999.0)</f>
        <v>3999</v>
      </c>
    </row>
    <row r="301">
      <c r="A301" s="4">
        <f>IFERROR(__xludf.DUMMYFUNCTION("""COMPUTED_VALUE"""),42669.0)</f>
        <v>42669</v>
      </c>
      <c r="B301" s="5">
        <f>IFERROR(__xludf.DUMMYFUNCTION("""COMPUTED_VALUE"""),4332.0)</f>
        <v>4332</v>
      </c>
      <c r="C301" s="6">
        <f>IFERROR(__xludf.DUMMYFUNCTION("""COMPUTED_VALUE"""),0.5778)</f>
        <v>0.5778</v>
      </c>
      <c r="D301" s="2">
        <f>IFERROR(__xludf.DUMMYFUNCTION("""COMPUTED_VALUE"""),0.001261574074074074)</f>
        <v>0.001261574074</v>
      </c>
      <c r="E301" s="1">
        <f>IFERROR(__xludf.DUMMYFUNCTION("""COMPUTED_VALUE"""),1.05)</f>
        <v>1.05</v>
      </c>
      <c r="F301" s="1">
        <f>IFERROR(__xludf.DUMMYFUNCTION("""COMPUTED_VALUE"""),3.31)</f>
        <v>3.31</v>
      </c>
      <c r="G301" s="5">
        <f>IFERROR(__xludf.DUMMYFUNCTION("""COMPUTED_VALUE"""),15038.0)</f>
        <v>15038</v>
      </c>
      <c r="H301" s="5">
        <f>IFERROR(__xludf.DUMMYFUNCTION("""COMPUTED_VALUE"""),4541.0)</f>
        <v>4541</v>
      </c>
    </row>
    <row r="302">
      <c r="A302" s="4">
        <f>IFERROR(__xludf.DUMMYFUNCTION("""COMPUTED_VALUE"""),42670.0)</f>
        <v>42670</v>
      </c>
      <c r="B302" s="5">
        <f>IFERROR(__xludf.DUMMYFUNCTION("""COMPUTED_VALUE"""),4152.0)</f>
        <v>4152</v>
      </c>
      <c r="C302" s="6">
        <f>IFERROR(__xludf.DUMMYFUNCTION("""COMPUTED_VALUE"""),0.575)</f>
        <v>0.575</v>
      </c>
      <c r="D302" s="2">
        <f>IFERROR(__xludf.DUMMYFUNCTION("""COMPUTED_VALUE"""),0.0014351851851851852)</f>
        <v>0.001435185185</v>
      </c>
      <c r="E302" s="1">
        <f>IFERROR(__xludf.DUMMYFUNCTION("""COMPUTED_VALUE"""),1.05)</f>
        <v>1.05</v>
      </c>
      <c r="F302" s="1">
        <f>IFERROR(__xludf.DUMMYFUNCTION("""COMPUTED_VALUE"""),3.85)</f>
        <v>3.85</v>
      </c>
      <c r="G302" s="5">
        <f>IFERROR(__xludf.DUMMYFUNCTION("""COMPUTED_VALUE"""),16746.0)</f>
        <v>16746</v>
      </c>
      <c r="H302" s="5">
        <f>IFERROR(__xludf.DUMMYFUNCTION("""COMPUTED_VALUE"""),4346.0)</f>
        <v>4346</v>
      </c>
    </row>
    <row r="303">
      <c r="A303" s="4">
        <f>IFERROR(__xludf.DUMMYFUNCTION("""COMPUTED_VALUE"""),42671.0)</f>
        <v>42671</v>
      </c>
      <c r="B303" s="5">
        <f>IFERROR(__xludf.DUMMYFUNCTION("""COMPUTED_VALUE"""),3818.0)</f>
        <v>3818</v>
      </c>
      <c r="C303" s="6">
        <f>IFERROR(__xludf.DUMMYFUNCTION("""COMPUTED_VALUE"""),0.5946)</f>
        <v>0.5946</v>
      </c>
      <c r="D303" s="2">
        <f>IFERROR(__xludf.DUMMYFUNCTION("""COMPUTED_VALUE"""),0.0013310185185185185)</f>
        <v>0.001331018519</v>
      </c>
      <c r="E303" s="1">
        <f>IFERROR(__xludf.DUMMYFUNCTION("""COMPUTED_VALUE"""),1.04)</f>
        <v>1.04</v>
      </c>
      <c r="F303" s="1">
        <f>IFERROR(__xludf.DUMMYFUNCTION("""COMPUTED_VALUE"""),3.06)</f>
        <v>3.06</v>
      </c>
      <c r="G303" s="5">
        <f>IFERROR(__xludf.DUMMYFUNCTION("""COMPUTED_VALUE"""),12150.0)</f>
        <v>12150</v>
      </c>
      <c r="H303" s="5">
        <f>IFERROR(__xludf.DUMMYFUNCTION("""COMPUTED_VALUE"""),3971.0)</f>
        <v>3971</v>
      </c>
    </row>
    <row r="304">
      <c r="A304" s="4">
        <f>IFERROR(__xludf.DUMMYFUNCTION("""COMPUTED_VALUE"""),42672.0)</f>
        <v>42672</v>
      </c>
      <c r="B304" s="5">
        <f>IFERROR(__xludf.DUMMYFUNCTION("""COMPUTED_VALUE"""),3013.0)</f>
        <v>3013</v>
      </c>
      <c r="C304" s="6">
        <f>IFERROR(__xludf.DUMMYFUNCTION("""COMPUTED_VALUE"""),0.6529)</f>
        <v>0.6529</v>
      </c>
      <c r="D304" s="2">
        <f>IFERROR(__xludf.DUMMYFUNCTION("""COMPUTED_VALUE"""),5.092592592592592E-4)</f>
        <v>0.0005092592593</v>
      </c>
      <c r="E304" s="1">
        <f>IFERROR(__xludf.DUMMYFUNCTION("""COMPUTED_VALUE"""),1.02)</f>
        <v>1.02</v>
      </c>
      <c r="F304" s="1">
        <f>IFERROR(__xludf.DUMMYFUNCTION("""COMPUTED_VALUE"""),2.18)</f>
        <v>2.18</v>
      </c>
      <c r="G304" s="5">
        <f>IFERROR(__xludf.DUMMYFUNCTION("""COMPUTED_VALUE"""),6734.0)</f>
        <v>6734</v>
      </c>
      <c r="H304" s="5">
        <f>IFERROR(__xludf.DUMMYFUNCTION("""COMPUTED_VALUE"""),3083.0)</f>
        <v>3083</v>
      </c>
    </row>
    <row r="305">
      <c r="A305" s="4">
        <f>IFERROR(__xludf.DUMMYFUNCTION("""COMPUTED_VALUE"""),42673.0)</f>
        <v>42673</v>
      </c>
      <c r="B305" s="5">
        <f>IFERROR(__xludf.DUMMYFUNCTION("""COMPUTED_VALUE"""),3138.0)</f>
        <v>3138</v>
      </c>
      <c r="C305" s="6">
        <f>IFERROR(__xludf.DUMMYFUNCTION("""COMPUTED_VALUE"""),0.6122)</f>
        <v>0.6122</v>
      </c>
      <c r="D305" s="2">
        <f>IFERROR(__xludf.DUMMYFUNCTION("""COMPUTED_VALUE"""),0.0010416666666666667)</f>
        <v>0.001041666667</v>
      </c>
      <c r="E305" s="1">
        <f>IFERROR(__xludf.DUMMYFUNCTION("""COMPUTED_VALUE"""),1.03)</f>
        <v>1.03</v>
      </c>
      <c r="F305" s="1">
        <f>IFERROR(__xludf.DUMMYFUNCTION("""COMPUTED_VALUE"""),3.22)</f>
        <v>3.22</v>
      </c>
      <c r="G305" s="5">
        <f>IFERROR(__xludf.DUMMYFUNCTION("""COMPUTED_VALUE"""),10358.0)</f>
        <v>10358</v>
      </c>
      <c r="H305" s="5">
        <f>IFERROR(__xludf.DUMMYFUNCTION("""COMPUTED_VALUE"""),3221.0)</f>
        <v>3221</v>
      </c>
    </row>
    <row r="306">
      <c r="A306" s="4">
        <f>IFERROR(__xludf.DUMMYFUNCTION("""COMPUTED_VALUE"""),42674.0)</f>
        <v>42674</v>
      </c>
      <c r="B306" s="5">
        <f>IFERROR(__xludf.DUMMYFUNCTION("""COMPUTED_VALUE"""),3707.0)</f>
        <v>3707</v>
      </c>
      <c r="C306" s="6">
        <f>IFERROR(__xludf.DUMMYFUNCTION("""COMPUTED_VALUE"""),0.6139)</f>
        <v>0.6139</v>
      </c>
      <c r="D306" s="2">
        <f>IFERROR(__xludf.DUMMYFUNCTION("""COMPUTED_VALUE"""),0.001099537037037037)</f>
        <v>0.001099537037</v>
      </c>
      <c r="E306" s="1">
        <f>IFERROR(__xludf.DUMMYFUNCTION("""COMPUTED_VALUE"""),1.09)</f>
        <v>1.09</v>
      </c>
      <c r="F306" s="1">
        <f>IFERROR(__xludf.DUMMYFUNCTION("""COMPUTED_VALUE"""),2.85)</f>
        <v>2.85</v>
      </c>
      <c r="G306" s="5">
        <f>IFERROR(__xludf.DUMMYFUNCTION("""COMPUTED_VALUE"""),11483.0)</f>
        <v>11483</v>
      </c>
      <c r="H306" s="5">
        <f>IFERROR(__xludf.DUMMYFUNCTION("""COMPUTED_VALUE"""),4027.0)</f>
        <v>4027</v>
      </c>
    </row>
    <row r="307">
      <c r="A307" s="4">
        <f>IFERROR(__xludf.DUMMYFUNCTION("""COMPUTED_VALUE"""),42675.0)</f>
        <v>42675</v>
      </c>
      <c r="B307" s="5">
        <f>IFERROR(__xludf.DUMMYFUNCTION("""COMPUTED_VALUE"""),3832.0)</f>
        <v>3832</v>
      </c>
      <c r="C307" s="6">
        <f>IFERROR(__xludf.DUMMYFUNCTION("""COMPUTED_VALUE"""),0.5999)</f>
        <v>0.5999</v>
      </c>
      <c r="D307" s="2">
        <f>IFERROR(__xludf.DUMMYFUNCTION("""COMPUTED_VALUE"""),9.375E-4)</f>
        <v>0.0009375</v>
      </c>
      <c r="E307" s="1">
        <f>IFERROR(__xludf.DUMMYFUNCTION("""COMPUTED_VALUE"""),1.03)</f>
        <v>1.03</v>
      </c>
      <c r="F307" s="1">
        <f>IFERROR(__xludf.DUMMYFUNCTION("""COMPUTED_VALUE"""),2.98)</f>
        <v>2.98</v>
      </c>
      <c r="G307" s="5">
        <f>IFERROR(__xludf.DUMMYFUNCTION("""COMPUTED_VALUE"""),11789.0)</f>
        <v>11789</v>
      </c>
      <c r="H307" s="5">
        <f>IFERROR(__xludf.DUMMYFUNCTION("""COMPUTED_VALUE"""),3957.0)</f>
        <v>3957</v>
      </c>
    </row>
    <row r="308">
      <c r="A308" s="4">
        <f>IFERROR(__xludf.DUMMYFUNCTION("""COMPUTED_VALUE"""),42676.0)</f>
        <v>42676</v>
      </c>
      <c r="B308" s="5">
        <f>IFERROR(__xludf.DUMMYFUNCTION("""COMPUTED_VALUE"""),3888.0)</f>
        <v>3888</v>
      </c>
      <c r="C308" s="6">
        <f>IFERROR(__xludf.DUMMYFUNCTION("""COMPUTED_VALUE"""),0.5714)</f>
        <v>0.5714</v>
      </c>
      <c r="D308" s="2">
        <f>IFERROR(__xludf.DUMMYFUNCTION("""COMPUTED_VALUE"""),0.0014814814814814814)</f>
        <v>0.001481481481</v>
      </c>
      <c r="E308" s="1">
        <f>IFERROR(__xludf.DUMMYFUNCTION("""COMPUTED_VALUE"""),1.07)</f>
        <v>1.07</v>
      </c>
      <c r="F308" s="1">
        <f>IFERROR(__xludf.DUMMYFUNCTION("""COMPUTED_VALUE"""),3.72)</f>
        <v>3.72</v>
      </c>
      <c r="G308" s="5">
        <f>IFERROR(__xludf.DUMMYFUNCTION("""COMPUTED_VALUE"""),15552.0)</f>
        <v>15552</v>
      </c>
      <c r="H308" s="5">
        <f>IFERROR(__xludf.DUMMYFUNCTION("""COMPUTED_VALUE"""),4179.0)</f>
        <v>4179</v>
      </c>
    </row>
    <row r="309">
      <c r="A309" s="4">
        <f>IFERROR(__xludf.DUMMYFUNCTION("""COMPUTED_VALUE"""),42677.0)</f>
        <v>42677</v>
      </c>
      <c r="B309" s="5">
        <f>IFERROR(__xludf.DUMMYFUNCTION("""COMPUTED_VALUE"""),4027.0)</f>
        <v>4027</v>
      </c>
      <c r="C309" s="6">
        <f>IFERROR(__xludf.DUMMYFUNCTION("""COMPUTED_VALUE"""),0.5179)</f>
        <v>0.5179</v>
      </c>
      <c r="D309" s="2">
        <f>IFERROR(__xludf.DUMMYFUNCTION("""COMPUTED_VALUE"""),0.0018171296296296297)</f>
        <v>0.00181712963</v>
      </c>
      <c r="E309" s="1">
        <f>IFERROR(__xludf.DUMMYFUNCTION("""COMPUTED_VALUE"""),1.06)</f>
        <v>1.06</v>
      </c>
      <c r="F309" s="1">
        <f>IFERROR(__xludf.DUMMYFUNCTION("""COMPUTED_VALUE"""),3.96)</f>
        <v>3.96</v>
      </c>
      <c r="G309" s="5">
        <f>IFERROR(__xludf.DUMMYFUNCTION("""COMPUTED_VALUE"""),16899.0)</f>
        <v>16899</v>
      </c>
      <c r="H309" s="5">
        <f>IFERROR(__xludf.DUMMYFUNCTION("""COMPUTED_VALUE"""),4263.0)</f>
        <v>4263</v>
      </c>
    </row>
    <row r="310">
      <c r="A310" s="4">
        <f>IFERROR(__xludf.DUMMYFUNCTION("""COMPUTED_VALUE"""),42678.0)</f>
        <v>42678</v>
      </c>
      <c r="B310" s="5">
        <f>IFERROR(__xludf.DUMMYFUNCTION("""COMPUTED_VALUE"""),3624.0)</f>
        <v>3624</v>
      </c>
      <c r="C310" s="6">
        <f>IFERROR(__xludf.DUMMYFUNCTION("""COMPUTED_VALUE"""),0.5656)</f>
        <v>0.5656</v>
      </c>
      <c r="D310" s="2">
        <f>IFERROR(__xludf.DUMMYFUNCTION("""COMPUTED_VALUE"""),0.0012037037037037038)</f>
        <v>0.001203703704</v>
      </c>
      <c r="E310" s="1">
        <f>IFERROR(__xludf.DUMMYFUNCTION("""COMPUTED_VALUE"""),1.05)</f>
        <v>1.05</v>
      </c>
      <c r="F310" s="1">
        <f>IFERROR(__xludf.DUMMYFUNCTION("""COMPUTED_VALUE"""),3.78)</f>
        <v>3.78</v>
      </c>
      <c r="G310" s="5">
        <f>IFERROR(__xludf.DUMMYFUNCTION("""COMPUTED_VALUE"""),14399.0)</f>
        <v>14399</v>
      </c>
      <c r="H310" s="5">
        <f>IFERROR(__xludf.DUMMYFUNCTION("""COMPUTED_VALUE"""),3805.0)</f>
        <v>3805</v>
      </c>
    </row>
    <row r="311">
      <c r="A311" s="4">
        <f>IFERROR(__xludf.DUMMYFUNCTION("""COMPUTED_VALUE"""),42679.0)</f>
        <v>42679</v>
      </c>
      <c r="B311" s="5">
        <f>IFERROR(__xludf.DUMMYFUNCTION("""COMPUTED_VALUE"""),3027.0)</f>
        <v>3027</v>
      </c>
      <c r="C311" s="6">
        <f>IFERROR(__xludf.DUMMYFUNCTION("""COMPUTED_VALUE"""),0.613)</f>
        <v>0.613</v>
      </c>
      <c r="D311" s="2">
        <f>IFERROR(__xludf.DUMMYFUNCTION("""COMPUTED_VALUE"""),9.837962962962962E-4)</f>
        <v>0.0009837962963</v>
      </c>
      <c r="E311" s="1">
        <f>IFERROR(__xludf.DUMMYFUNCTION("""COMPUTED_VALUE"""),1.06)</f>
        <v>1.06</v>
      </c>
      <c r="F311" s="1">
        <f>IFERROR(__xludf.DUMMYFUNCTION("""COMPUTED_VALUE"""),2.61)</f>
        <v>2.61</v>
      </c>
      <c r="G311" s="5">
        <f>IFERROR(__xludf.DUMMYFUNCTION("""COMPUTED_VALUE"""),8331.0)</f>
        <v>8331</v>
      </c>
      <c r="H311" s="5">
        <f>IFERROR(__xludf.DUMMYFUNCTION("""COMPUTED_VALUE"""),3194.0)</f>
        <v>3194</v>
      </c>
    </row>
    <row r="312">
      <c r="A312" s="4">
        <f>IFERROR(__xludf.DUMMYFUNCTION("""COMPUTED_VALUE"""),42680.0)</f>
        <v>42680</v>
      </c>
      <c r="B312" s="5">
        <f>IFERROR(__xludf.DUMMYFUNCTION("""COMPUTED_VALUE"""),3235.0)</f>
        <v>3235</v>
      </c>
      <c r="C312" s="6">
        <f>IFERROR(__xludf.DUMMYFUNCTION("""COMPUTED_VALUE"""),0.5797)</f>
        <v>0.5797</v>
      </c>
      <c r="D312" s="2">
        <f>IFERROR(__xludf.DUMMYFUNCTION("""COMPUTED_VALUE"""),0.0014583333333333334)</f>
        <v>0.001458333333</v>
      </c>
      <c r="E312" s="1">
        <f>IFERROR(__xludf.DUMMYFUNCTION("""COMPUTED_VALUE"""),1.05)</f>
        <v>1.05</v>
      </c>
      <c r="F312" s="1">
        <f>IFERROR(__xludf.DUMMYFUNCTION("""COMPUTED_VALUE"""),3.02)</f>
        <v>3.02</v>
      </c>
      <c r="G312" s="5">
        <f>IFERROR(__xludf.DUMMYFUNCTION("""COMPUTED_VALUE"""),10261.0)</f>
        <v>10261</v>
      </c>
      <c r="H312" s="5">
        <f>IFERROR(__xludf.DUMMYFUNCTION("""COMPUTED_VALUE"""),3402.0)</f>
        <v>3402</v>
      </c>
    </row>
    <row r="313">
      <c r="A313" s="4">
        <f>IFERROR(__xludf.DUMMYFUNCTION("""COMPUTED_VALUE"""),42681.0)</f>
        <v>42681</v>
      </c>
      <c r="B313" s="5">
        <f>IFERROR(__xludf.DUMMYFUNCTION("""COMPUTED_VALUE"""),3888.0)</f>
        <v>3888</v>
      </c>
      <c r="C313" s="6">
        <f>IFERROR(__xludf.DUMMYFUNCTION("""COMPUTED_VALUE"""),0.5589)</f>
        <v>0.5589</v>
      </c>
      <c r="D313" s="2">
        <f>IFERROR(__xludf.DUMMYFUNCTION("""COMPUTED_VALUE"""),0.0015046296296296296)</f>
        <v>0.00150462963</v>
      </c>
      <c r="E313" s="1">
        <f>IFERROR(__xludf.DUMMYFUNCTION("""COMPUTED_VALUE"""),1.06)</f>
        <v>1.06</v>
      </c>
      <c r="F313" s="1">
        <f>IFERROR(__xludf.DUMMYFUNCTION("""COMPUTED_VALUE"""),4.25)</f>
        <v>4.25</v>
      </c>
      <c r="G313" s="5">
        <f>IFERROR(__xludf.DUMMYFUNCTION("""COMPUTED_VALUE"""),17523.0)</f>
        <v>17523</v>
      </c>
      <c r="H313" s="5">
        <f>IFERROR(__xludf.DUMMYFUNCTION("""COMPUTED_VALUE"""),4124.0)</f>
        <v>4124</v>
      </c>
    </row>
    <row r="314">
      <c r="A314" s="4">
        <f>IFERROR(__xludf.DUMMYFUNCTION("""COMPUTED_VALUE"""),42682.0)</f>
        <v>42682</v>
      </c>
      <c r="B314" s="5">
        <f>IFERROR(__xludf.DUMMYFUNCTION("""COMPUTED_VALUE"""),3860.0)</f>
        <v>3860</v>
      </c>
      <c r="C314" s="6">
        <f>IFERROR(__xludf.DUMMYFUNCTION("""COMPUTED_VALUE"""),0.6056)</f>
        <v>0.6056</v>
      </c>
      <c r="D314" s="2">
        <f>IFERROR(__xludf.DUMMYFUNCTION("""COMPUTED_VALUE"""),9.25925925925926E-4)</f>
        <v>0.0009259259259</v>
      </c>
      <c r="E314" s="1">
        <f>IFERROR(__xludf.DUMMYFUNCTION("""COMPUTED_VALUE"""),1.06)</f>
        <v>1.06</v>
      </c>
      <c r="F314" s="1">
        <f>IFERROR(__xludf.DUMMYFUNCTION("""COMPUTED_VALUE"""),3.24)</f>
        <v>3.24</v>
      </c>
      <c r="G314" s="5">
        <f>IFERROR(__xludf.DUMMYFUNCTION("""COMPUTED_VALUE"""),13219.0)</f>
        <v>13219</v>
      </c>
      <c r="H314" s="5">
        <f>IFERROR(__xludf.DUMMYFUNCTION("""COMPUTED_VALUE"""),4082.0)</f>
        <v>4082</v>
      </c>
    </row>
    <row r="315">
      <c r="A315" s="4">
        <f>IFERROR(__xludf.DUMMYFUNCTION("""COMPUTED_VALUE"""),42683.0)</f>
        <v>42683</v>
      </c>
      <c r="B315" s="5">
        <f>IFERROR(__xludf.DUMMYFUNCTION("""COMPUTED_VALUE"""),3791.0)</f>
        <v>3791</v>
      </c>
      <c r="C315" s="6">
        <f>IFERROR(__xludf.DUMMYFUNCTION("""COMPUTED_VALUE"""),0.5992)</f>
        <v>0.5992</v>
      </c>
      <c r="D315" s="2">
        <f>IFERROR(__xludf.DUMMYFUNCTION("""COMPUTED_VALUE"""),0.0011226851851851851)</f>
        <v>0.001122685185</v>
      </c>
      <c r="E315" s="1">
        <f>IFERROR(__xludf.DUMMYFUNCTION("""COMPUTED_VALUE"""),1.05)</f>
        <v>1.05</v>
      </c>
      <c r="F315" s="1">
        <f>IFERROR(__xludf.DUMMYFUNCTION("""COMPUTED_VALUE"""),2.71)</f>
        <v>2.71</v>
      </c>
      <c r="G315" s="5">
        <f>IFERROR(__xludf.DUMMYFUNCTION("""COMPUTED_VALUE"""),10803.0)</f>
        <v>10803</v>
      </c>
      <c r="H315" s="5">
        <f>IFERROR(__xludf.DUMMYFUNCTION("""COMPUTED_VALUE"""),3985.0)</f>
        <v>3985</v>
      </c>
    </row>
    <row r="316">
      <c r="A316" s="4">
        <f>IFERROR(__xludf.DUMMYFUNCTION("""COMPUTED_VALUE"""),42684.0)</f>
        <v>42684</v>
      </c>
      <c r="B316" s="5">
        <f>IFERROR(__xludf.DUMMYFUNCTION("""COMPUTED_VALUE"""),4166.0)</f>
        <v>4166</v>
      </c>
      <c r="C316" s="6">
        <f>IFERROR(__xludf.DUMMYFUNCTION("""COMPUTED_VALUE"""),0.5276)</f>
        <v>0.5276</v>
      </c>
      <c r="D316" s="2">
        <f>IFERROR(__xludf.DUMMYFUNCTION("""COMPUTED_VALUE"""),9.722222222222222E-4)</f>
        <v>0.0009722222222</v>
      </c>
      <c r="E316" s="1">
        <f>IFERROR(__xludf.DUMMYFUNCTION("""COMPUTED_VALUE"""),1.02)</f>
        <v>1.02</v>
      </c>
      <c r="F316" s="1">
        <f>IFERROR(__xludf.DUMMYFUNCTION("""COMPUTED_VALUE"""),3.2)</f>
        <v>3.2</v>
      </c>
      <c r="G316" s="5">
        <f>IFERROR(__xludf.DUMMYFUNCTION("""COMPUTED_VALUE"""),13635.0)</f>
        <v>13635</v>
      </c>
      <c r="H316" s="5">
        <f>IFERROR(__xludf.DUMMYFUNCTION("""COMPUTED_VALUE"""),4263.0)</f>
        <v>4263</v>
      </c>
    </row>
    <row r="317">
      <c r="A317" s="4">
        <f>IFERROR(__xludf.DUMMYFUNCTION("""COMPUTED_VALUE"""),42685.0)</f>
        <v>42685</v>
      </c>
      <c r="B317" s="5">
        <f>IFERROR(__xludf.DUMMYFUNCTION("""COMPUTED_VALUE"""),3749.0)</f>
        <v>3749</v>
      </c>
      <c r="C317" s="6">
        <f>IFERROR(__xludf.DUMMYFUNCTION("""COMPUTED_VALUE"""),0.4856)</f>
        <v>0.4856</v>
      </c>
      <c r="D317" s="2">
        <f>IFERROR(__xludf.DUMMYFUNCTION("""COMPUTED_VALUE"""),0.0015046296296296296)</f>
        <v>0.00150462963</v>
      </c>
      <c r="E317" s="1">
        <f>IFERROR(__xludf.DUMMYFUNCTION("""COMPUTED_VALUE"""),1.04)</f>
        <v>1.04</v>
      </c>
      <c r="F317" s="1">
        <f>IFERROR(__xludf.DUMMYFUNCTION("""COMPUTED_VALUE"""),3.78)</f>
        <v>3.78</v>
      </c>
      <c r="G317" s="5">
        <f>IFERROR(__xludf.DUMMYFUNCTION("""COMPUTED_VALUE"""),14691.0)</f>
        <v>14691</v>
      </c>
      <c r="H317" s="5">
        <f>IFERROR(__xludf.DUMMYFUNCTION("""COMPUTED_VALUE"""),3888.0)</f>
        <v>3888</v>
      </c>
    </row>
    <row r="318">
      <c r="A318" s="4">
        <f>IFERROR(__xludf.DUMMYFUNCTION("""COMPUTED_VALUE"""),42686.0)</f>
        <v>42686</v>
      </c>
      <c r="B318" s="5">
        <f>IFERROR(__xludf.DUMMYFUNCTION("""COMPUTED_VALUE"""),3152.0)</f>
        <v>3152</v>
      </c>
      <c r="C318" s="6">
        <f>IFERROR(__xludf.DUMMYFUNCTION("""COMPUTED_VALUE"""),0.4998)</f>
        <v>0.4998</v>
      </c>
      <c r="D318" s="2">
        <f>IFERROR(__xludf.DUMMYFUNCTION("""COMPUTED_VALUE"""),8.449074074074074E-4)</f>
        <v>0.0008449074074</v>
      </c>
      <c r="E318" s="1">
        <f>IFERROR(__xludf.DUMMYFUNCTION("""COMPUTED_VALUE"""),1.04)</f>
        <v>1.04</v>
      </c>
      <c r="F318" s="1">
        <f>IFERROR(__xludf.DUMMYFUNCTION("""COMPUTED_VALUE"""),3.73)</f>
        <v>3.73</v>
      </c>
      <c r="G318" s="5">
        <f>IFERROR(__xludf.DUMMYFUNCTION("""COMPUTED_VALUE"""),12219.0)</f>
        <v>12219</v>
      </c>
      <c r="H318" s="5">
        <f>IFERROR(__xludf.DUMMYFUNCTION("""COMPUTED_VALUE"""),3277.0)</f>
        <v>3277</v>
      </c>
    </row>
    <row r="319">
      <c r="A319" s="4">
        <f>IFERROR(__xludf.DUMMYFUNCTION("""COMPUTED_VALUE"""),42687.0)</f>
        <v>42687</v>
      </c>
      <c r="B319" s="5">
        <f>IFERROR(__xludf.DUMMYFUNCTION("""COMPUTED_VALUE"""),3083.0)</f>
        <v>3083</v>
      </c>
      <c r="C319" s="6">
        <f>IFERROR(__xludf.DUMMYFUNCTION("""COMPUTED_VALUE"""),0.4321)</f>
        <v>0.4321</v>
      </c>
      <c r="D319" s="2">
        <f>IFERROR(__xludf.DUMMYFUNCTION("""COMPUTED_VALUE"""),0.0011574074074074073)</f>
        <v>0.001157407407</v>
      </c>
      <c r="E319" s="1">
        <f>IFERROR(__xludf.DUMMYFUNCTION("""COMPUTED_VALUE"""),1.06)</f>
        <v>1.06</v>
      </c>
      <c r="F319" s="1">
        <f>IFERROR(__xludf.DUMMYFUNCTION("""COMPUTED_VALUE"""),3.46)</f>
        <v>3.46</v>
      </c>
      <c r="G319" s="5">
        <f>IFERROR(__xludf.DUMMYFUNCTION("""COMPUTED_VALUE"""),11344.0)</f>
        <v>11344</v>
      </c>
      <c r="H319" s="5">
        <f>IFERROR(__xludf.DUMMYFUNCTION("""COMPUTED_VALUE"""),3277.0)</f>
        <v>3277</v>
      </c>
    </row>
    <row r="320">
      <c r="A320" s="4">
        <f>IFERROR(__xludf.DUMMYFUNCTION("""COMPUTED_VALUE"""),42688.0)</f>
        <v>42688</v>
      </c>
      <c r="B320" s="5">
        <f>IFERROR(__xludf.DUMMYFUNCTION("""COMPUTED_VALUE"""),4388.0)</f>
        <v>4388</v>
      </c>
      <c r="C320" s="6">
        <f>IFERROR(__xludf.DUMMYFUNCTION("""COMPUTED_VALUE"""),0.4161)</f>
        <v>0.4161</v>
      </c>
      <c r="D320" s="2">
        <f>IFERROR(__xludf.DUMMYFUNCTION("""COMPUTED_VALUE"""),0.0015162037037037036)</f>
        <v>0.001516203704</v>
      </c>
      <c r="E320" s="1">
        <f>IFERROR(__xludf.DUMMYFUNCTION("""COMPUTED_VALUE"""),1.09)</f>
        <v>1.09</v>
      </c>
      <c r="F320" s="1">
        <f>IFERROR(__xludf.DUMMYFUNCTION("""COMPUTED_VALUE"""),4.81)</f>
        <v>4.81</v>
      </c>
      <c r="G320" s="5">
        <f>IFERROR(__xludf.DUMMYFUNCTION("""COMPUTED_VALUE"""),23091.0)</f>
        <v>23091</v>
      </c>
      <c r="H320" s="5">
        <f>IFERROR(__xludf.DUMMYFUNCTION("""COMPUTED_VALUE"""),4804.0)</f>
        <v>4804</v>
      </c>
    </row>
    <row r="321">
      <c r="A321" s="4">
        <f>IFERROR(__xludf.DUMMYFUNCTION("""COMPUTED_VALUE"""),42689.0)</f>
        <v>42689</v>
      </c>
      <c r="B321" s="5">
        <f>IFERROR(__xludf.DUMMYFUNCTION("""COMPUTED_VALUE"""),4638.0)</f>
        <v>4638</v>
      </c>
      <c r="C321" s="6">
        <f>IFERROR(__xludf.DUMMYFUNCTION("""COMPUTED_VALUE"""),0.4512)</f>
        <v>0.4512</v>
      </c>
      <c r="D321" s="2">
        <f>IFERROR(__xludf.DUMMYFUNCTION("""COMPUTED_VALUE"""),0.001238425925925926)</f>
        <v>0.001238425926</v>
      </c>
      <c r="E321" s="1">
        <f>IFERROR(__xludf.DUMMYFUNCTION("""COMPUTED_VALUE"""),1.07)</f>
        <v>1.07</v>
      </c>
      <c r="F321" s="1">
        <f>IFERROR(__xludf.DUMMYFUNCTION("""COMPUTED_VALUE"""),3.4)</f>
        <v>3.4</v>
      </c>
      <c r="G321" s="5">
        <f>IFERROR(__xludf.DUMMYFUNCTION("""COMPUTED_VALUE"""),16940.0)</f>
        <v>16940</v>
      </c>
      <c r="H321" s="5">
        <f>IFERROR(__xludf.DUMMYFUNCTION("""COMPUTED_VALUE"""),4985.0)</f>
        <v>4985</v>
      </c>
    </row>
    <row r="322">
      <c r="A322" s="4">
        <f>IFERROR(__xludf.DUMMYFUNCTION("""COMPUTED_VALUE"""),42690.0)</f>
        <v>42690</v>
      </c>
      <c r="B322" s="5">
        <f>IFERROR(__xludf.DUMMYFUNCTION("""COMPUTED_VALUE"""),4318.0)</f>
        <v>4318</v>
      </c>
      <c r="C322" s="6">
        <f>IFERROR(__xludf.DUMMYFUNCTION("""COMPUTED_VALUE"""),0.4265)</f>
        <v>0.4265</v>
      </c>
      <c r="D322" s="2">
        <f>IFERROR(__xludf.DUMMYFUNCTION("""COMPUTED_VALUE"""),0.0013078703703703703)</f>
        <v>0.00130787037</v>
      </c>
      <c r="E322" s="1">
        <f>IFERROR(__xludf.DUMMYFUNCTION("""COMPUTED_VALUE"""),1.07)</f>
        <v>1.07</v>
      </c>
      <c r="F322" s="1">
        <f>IFERROR(__xludf.DUMMYFUNCTION("""COMPUTED_VALUE"""),3.64)</f>
        <v>3.64</v>
      </c>
      <c r="G322" s="5">
        <f>IFERROR(__xludf.DUMMYFUNCTION("""COMPUTED_VALUE"""),16815.0)</f>
        <v>16815</v>
      </c>
      <c r="H322" s="5">
        <f>IFERROR(__xludf.DUMMYFUNCTION("""COMPUTED_VALUE"""),4624.0)</f>
        <v>4624</v>
      </c>
    </row>
    <row r="323">
      <c r="A323" s="4">
        <f>IFERROR(__xludf.DUMMYFUNCTION("""COMPUTED_VALUE"""),42691.0)</f>
        <v>42691</v>
      </c>
      <c r="B323" s="5">
        <f>IFERROR(__xludf.DUMMYFUNCTION("""COMPUTED_VALUE"""),4124.0)</f>
        <v>4124</v>
      </c>
      <c r="C323" s="6">
        <f>IFERROR(__xludf.DUMMYFUNCTION("""COMPUTED_VALUE"""),0.4398)</f>
        <v>0.4398</v>
      </c>
      <c r="D323" s="2">
        <f>IFERROR(__xludf.DUMMYFUNCTION("""COMPUTED_VALUE"""),0.0012962962962962963)</f>
        <v>0.001296296296</v>
      </c>
      <c r="E323" s="1">
        <f>IFERROR(__xludf.DUMMYFUNCTION("""COMPUTED_VALUE"""),1.06)</f>
        <v>1.06</v>
      </c>
      <c r="F323" s="1">
        <f>IFERROR(__xludf.DUMMYFUNCTION("""COMPUTED_VALUE"""),3.31)</f>
        <v>3.31</v>
      </c>
      <c r="G323" s="5">
        <f>IFERROR(__xludf.DUMMYFUNCTION("""COMPUTED_VALUE"""),14538.0)</f>
        <v>14538</v>
      </c>
      <c r="H323" s="5">
        <f>IFERROR(__xludf.DUMMYFUNCTION("""COMPUTED_VALUE"""),4388.0)</f>
        <v>4388</v>
      </c>
    </row>
    <row r="324">
      <c r="A324" s="4">
        <f>IFERROR(__xludf.DUMMYFUNCTION("""COMPUTED_VALUE"""),42692.0)</f>
        <v>42692</v>
      </c>
      <c r="B324" s="5">
        <f>IFERROR(__xludf.DUMMYFUNCTION("""COMPUTED_VALUE"""),3513.0)</f>
        <v>3513</v>
      </c>
      <c r="C324" s="6">
        <f>IFERROR(__xludf.DUMMYFUNCTION("""COMPUTED_VALUE"""),0.4158)</f>
        <v>0.4158</v>
      </c>
      <c r="D324" s="2">
        <f>IFERROR(__xludf.DUMMYFUNCTION("""COMPUTED_VALUE"""),0.0014814814814814814)</f>
        <v>0.001481481481</v>
      </c>
      <c r="E324" s="1">
        <f>IFERROR(__xludf.DUMMYFUNCTION("""COMPUTED_VALUE"""),1.1)</f>
        <v>1.1</v>
      </c>
      <c r="F324" s="1">
        <f>IFERROR(__xludf.DUMMYFUNCTION("""COMPUTED_VALUE"""),3.93)</f>
        <v>3.93</v>
      </c>
      <c r="G324" s="5">
        <f>IFERROR(__xludf.DUMMYFUNCTION("""COMPUTED_VALUE"""),15232.0)</f>
        <v>15232</v>
      </c>
      <c r="H324" s="5">
        <f>IFERROR(__xludf.DUMMYFUNCTION("""COMPUTED_VALUE"""),3874.0)</f>
        <v>3874</v>
      </c>
    </row>
    <row r="325">
      <c r="A325" s="4">
        <f>IFERROR(__xludf.DUMMYFUNCTION("""COMPUTED_VALUE"""),42693.0)</f>
        <v>42693</v>
      </c>
      <c r="B325" s="5">
        <f>IFERROR(__xludf.DUMMYFUNCTION("""COMPUTED_VALUE"""),2930.0)</f>
        <v>2930</v>
      </c>
      <c r="C325" s="6">
        <f>IFERROR(__xludf.DUMMYFUNCTION("""COMPUTED_VALUE"""),0.4581)</f>
        <v>0.4581</v>
      </c>
      <c r="D325" s="2">
        <f>IFERROR(__xludf.DUMMYFUNCTION("""COMPUTED_VALUE"""),0.0013310185185185185)</f>
        <v>0.001331018519</v>
      </c>
      <c r="E325" s="1">
        <f>IFERROR(__xludf.DUMMYFUNCTION("""COMPUTED_VALUE"""),1.08)</f>
        <v>1.08</v>
      </c>
      <c r="F325" s="1">
        <f>IFERROR(__xludf.DUMMYFUNCTION("""COMPUTED_VALUE"""),3.71)</f>
        <v>3.71</v>
      </c>
      <c r="G325" s="5">
        <f>IFERROR(__xludf.DUMMYFUNCTION("""COMPUTED_VALUE"""),11691.0)</f>
        <v>11691</v>
      </c>
      <c r="H325" s="5">
        <f>IFERROR(__xludf.DUMMYFUNCTION("""COMPUTED_VALUE"""),3152.0)</f>
        <v>3152</v>
      </c>
    </row>
    <row r="326">
      <c r="A326" s="4">
        <f>IFERROR(__xludf.DUMMYFUNCTION("""COMPUTED_VALUE"""),42694.0)</f>
        <v>42694</v>
      </c>
      <c r="B326" s="5">
        <f>IFERROR(__xludf.DUMMYFUNCTION("""COMPUTED_VALUE"""),3305.0)</f>
        <v>3305</v>
      </c>
      <c r="C326" s="6">
        <f>IFERROR(__xludf.DUMMYFUNCTION("""COMPUTED_VALUE"""),0.412)</f>
        <v>0.412</v>
      </c>
      <c r="D326" s="2">
        <f>IFERROR(__xludf.DUMMYFUNCTION("""COMPUTED_VALUE"""),0.0014930555555555556)</f>
        <v>0.001493055556</v>
      </c>
      <c r="E326" s="1">
        <f>IFERROR(__xludf.DUMMYFUNCTION("""COMPUTED_VALUE"""),1.05)</f>
        <v>1.05</v>
      </c>
      <c r="F326" s="1">
        <f>IFERROR(__xludf.DUMMYFUNCTION("""COMPUTED_VALUE"""),4.74)</f>
        <v>4.74</v>
      </c>
      <c r="G326" s="5">
        <f>IFERROR(__xludf.DUMMYFUNCTION("""COMPUTED_VALUE"""),16468.0)</f>
        <v>16468</v>
      </c>
      <c r="H326" s="5">
        <f>IFERROR(__xludf.DUMMYFUNCTION("""COMPUTED_VALUE"""),3471.0)</f>
        <v>3471</v>
      </c>
    </row>
    <row r="327">
      <c r="A327" s="4">
        <f>IFERROR(__xludf.DUMMYFUNCTION("""COMPUTED_VALUE"""),42695.0)</f>
        <v>42695</v>
      </c>
      <c r="B327" s="5">
        <f>IFERROR(__xludf.DUMMYFUNCTION("""COMPUTED_VALUE"""),4179.0)</f>
        <v>4179</v>
      </c>
      <c r="C327" s="6">
        <f>IFERROR(__xludf.DUMMYFUNCTION("""COMPUTED_VALUE"""),0.4768)</f>
        <v>0.4768</v>
      </c>
      <c r="D327" s="2">
        <f>IFERROR(__xludf.DUMMYFUNCTION("""COMPUTED_VALUE"""),0.0012962962962962963)</f>
        <v>0.001296296296</v>
      </c>
      <c r="E327" s="1">
        <f>IFERROR(__xludf.DUMMYFUNCTION("""COMPUTED_VALUE"""),1.08)</f>
        <v>1.08</v>
      </c>
      <c r="F327" s="1">
        <f>IFERROR(__xludf.DUMMYFUNCTION("""COMPUTED_VALUE"""),3.71)</f>
        <v>3.71</v>
      </c>
      <c r="G327" s="5">
        <f>IFERROR(__xludf.DUMMYFUNCTION("""COMPUTED_VALUE"""),16732.0)</f>
        <v>16732</v>
      </c>
      <c r="H327" s="5">
        <f>IFERROR(__xludf.DUMMYFUNCTION("""COMPUTED_VALUE"""),4513.0)</f>
        <v>4513</v>
      </c>
    </row>
    <row r="328">
      <c r="A328" s="4">
        <f>IFERROR(__xludf.DUMMYFUNCTION("""COMPUTED_VALUE"""),42696.0)</f>
        <v>42696</v>
      </c>
      <c r="B328" s="5">
        <f>IFERROR(__xludf.DUMMYFUNCTION("""COMPUTED_VALUE"""),4068.0)</f>
        <v>4068</v>
      </c>
      <c r="C328" s="6">
        <f>IFERROR(__xludf.DUMMYFUNCTION("""COMPUTED_VALUE"""),0.4365)</f>
        <v>0.4365</v>
      </c>
      <c r="D328" s="2">
        <f>IFERROR(__xludf.DUMMYFUNCTION("""COMPUTED_VALUE"""),0.0010532407407407407)</f>
        <v>0.001053240741</v>
      </c>
      <c r="E328" s="1">
        <f>IFERROR(__xludf.DUMMYFUNCTION("""COMPUTED_VALUE"""),1.05)</f>
        <v>1.05</v>
      </c>
      <c r="F328" s="1">
        <f>IFERROR(__xludf.DUMMYFUNCTION("""COMPUTED_VALUE"""),3.38)</f>
        <v>3.38</v>
      </c>
      <c r="G328" s="5">
        <f>IFERROR(__xludf.DUMMYFUNCTION("""COMPUTED_VALUE"""),14427.0)</f>
        <v>14427</v>
      </c>
      <c r="H328" s="5">
        <f>IFERROR(__xludf.DUMMYFUNCTION("""COMPUTED_VALUE"""),4263.0)</f>
        <v>4263</v>
      </c>
    </row>
    <row r="329">
      <c r="A329" s="4">
        <f>IFERROR(__xludf.DUMMYFUNCTION("""COMPUTED_VALUE"""),42697.0)</f>
        <v>42697</v>
      </c>
      <c r="B329" s="5">
        <f>IFERROR(__xludf.DUMMYFUNCTION("""COMPUTED_VALUE"""),3846.0)</f>
        <v>3846</v>
      </c>
      <c r="C329" s="6">
        <f>IFERROR(__xludf.DUMMYFUNCTION("""COMPUTED_VALUE"""),0.485)</f>
        <v>0.485</v>
      </c>
      <c r="D329" s="2">
        <f>IFERROR(__xludf.DUMMYFUNCTION("""COMPUTED_VALUE"""),0.0011689814814814816)</f>
        <v>0.001168981481</v>
      </c>
      <c r="E329" s="1">
        <f>IFERROR(__xludf.DUMMYFUNCTION("""COMPUTED_VALUE"""),1.09)</f>
        <v>1.09</v>
      </c>
      <c r="F329" s="1">
        <f>IFERROR(__xludf.DUMMYFUNCTION("""COMPUTED_VALUE"""),3.13)</f>
        <v>3.13</v>
      </c>
      <c r="G329" s="5">
        <f>IFERROR(__xludf.DUMMYFUNCTION("""COMPUTED_VALUE"""),13066.0)</f>
        <v>13066</v>
      </c>
      <c r="H329" s="5">
        <f>IFERROR(__xludf.DUMMYFUNCTION("""COMPUTED_VALUE"""),4179.0)</f>
        <v>4179</v>
      </c>
    </row>
    <row r="330">
      <c r="A330" s="4">
        <f>IFERROR(__xludf.DUMMYFUNCTION("""COMPUTED_VALUE"""),42698.0)</f>
        <v>42698</v>
      </c>
      <c r="B330" s="5">
        <f>IFERROR(__xludf.DUMMYFUNCTION("""COMPUTED_VALUE"""),3888.0)</f>
        <v>3888</v>
      </c>
      <c r="C330" s="6">
        <f>IFERROR(__xludf.DUMMYFUNCTION("""COMPUTED_VALUE"""),0.4571)</f>
        <v>0.4571</v>
      </c>
      <c r="D330" s="2">
        <f>IFERROR(__xludf.DUMMYFUNCTION("""COMPUTED_VALUE"""),0.0010532407407407407)</f>
        <v>0.001053240741</v>
      </c>
      <c r="E330" s="1">
        <f>IFERROR(__xludf.DUMMYFUNCTION("""COMPUTED_VALUE"""),1.04)</f>
        <v>1.04</v>
      </c>
      <c r="F330" s="1">
        <f>IFERROR(__xludf.DUMMYFUNCTION("""COMPUTED_VALUE"""),3.17)</f>
        <v>3.17</v>
      </c>
      <c r="G330" s="5">
        <f>IFERROR(__xludf.DUMMYFUNCTION("""COMPUTED_VALUE"""),12816.0)</f>
        <v>12816</v>
      </c>
      <c r="H330" s="5">
        <f>IFERROR(__xludf.DUMMYFUNCTION("""COMPUTED_VALUE"""),4041.0)</f>
        <v>4041</v>
      </c>
    </row>
    <row r="331">
      <c r="A331" s="4">
        <f>IFERROR(__xludf.DUMMYFUNCTION("""COMPUTED_VALUE"""),42699.0)</f>
        <v>42699</v>
      </c>
      <c r="B331" s="5">
        <f>IFERROR(__xludf.DUMMYFUNCTION("""COMPUTED_VALUE"""),3971.0)</f>
        <v>3971</v>
      </c>
      <c r="C331" s="6">
        <f>IFERROR(__xludf.DUMMYFUNCTION("""COMPUTED_VALUE"""),0.3826)</f>
        <v>0.3826</v>
      </c>
      <c r="D331" s="2">
        <f>IFERROR(__xludf.DUMMYFUNCTION("""COMPUTED_VALUE"""),0.0012268518518518518)</f>
        <v>0.001226851852</v>
      </c>
      <c r="E331" s="1">
        <f>IFERROR(__xludf.DUMMYFUNCTION("""COMPUTED_VALUE"""),1.04)</f>
        <v>1.04</v>
      </c>
      <c r="F331" s="1">
        <f>IFERROR(__xludf.DUMMYFUNCTION("""COMPUTED_VALUE"""),3.72)</f>
        <v>3.72</v>
      </c>
      <c r="G331" s="5">
        <f>IFERROR(__xludf.DUMMYFUNCTION("""COMPUTED_VALUE"""),15399.0)</f>
        <v>15399</v>
      </c>
      <c r="H331" s="5">
        <f>IFERROR(__xludf.DUMMYFUNCTION("""COMPUTED_VALUE"""),4138.0)</f>
        <v>4138</v>
      </c>
    </row>
    <row r="332">
      <c r="A332" s="4">
        <f>IFERROR(__xludf.DUMMYFUNCTION("""COMPUTED_VALUE"""),42700.0)</f>
        <v>42700</v>
      </c>
      <c r="B332" s="5">
        <f>IFERROR(__xludf.DUMMYFUNCTION("""COMPUTED_VALUE"""),3263.0)</f>
        <v>3263</v>
      </c>
      <c r="C332" s="6">
        <f>IFERROR(__xludf.DUMMYFUNCTION("""COMPUTED_VALUE"""),0.4332)</f>
        <v>0.4332</v>
      </c>
      <c r="D332" s="2">
        <f>IFERROR(__xludf.DUMMYFUNCTION("""COMPUTED_VALUE"""),0.0011921296296296296)</f>
        <v>0.00119212963</v>
      </c>
      <c r="E332" s="1">
        <f>IFERROR(__xludf.DUMMYFUNCTION("""COMPUTED_VALUE"""),1.05)</f>
        <v>1.05</v>
      </c>
      <c r="F332" s="1">
        <f>IFERROR(__xludf.DUMMYFUNCTION("""COMPUTED_VALUE"""),4.01)</f>
        <v>4.01</v>
      </c>
      <c r="G332" s="5">
        <f>IFERROR(__xludf.DUMMYFUNCTION("""COMPUTED_VALUE"""),13747.0)</f>
        <v>13747</v>
      </c>
      <c r="H332" s="5">
        <f>IFERROR(__xludf.DUMMYFUNCTION("""COMPUTED_VALUE"""),3430.0)</f>
        <v>3430</v>
      </c>
    </row>
    <row r="333">
      <c r="A333" s="4">
        <f>IFERROR(__xludf.DUMMYFUNCTION("""COMPUTED_VALUE"""),42701.0)</f>
        <v>42701</v>
      </c>
      <c r="B333" s="5">
        <f>IFERROR(__xludf.DUMMYFUNCTION("""COMPUTED_VALUE"""),3402.0)</f>
        <v>3402</v>
      </c>
      <c r="C333" s="6">
        <f>IFERROR(__xludf.DUMMYFUNCTION("""COMPUTED_VALUE"""),0.4)</f>
        <v>0.4</v>
      </c>
      <c r="D333" s="2">
        <f>IFERROR(__xludf.DUMMYFUNCTION("""COMPUTED_VALUE"""),0.0016319444444444445)</f>
        <v>0.001631944444</v>
      </c>
      <c r="E333" s="1">
        <f>IFERROR(__xludf.DUMMYFUNCTION("""COMPUTED_VALUE"""),1.08)</f>
        <v>1.08</v>
      </c>
      <c r="F333" s="1">
        <f>IFERROR(__xludf.DUMMYFUNCTION("""COMPUTED_VALUE"""),4.4)</f>
        <v>4.4</v>
      </c>
      <c r="G333" s="5">
        <f>IFERROR(__xludf.DUMMYFUNCTION("""COMPUTED_VALUE"""),16204.0)</f>
        <v>16204</v>
      </c>
      <c r="H333" s="5">
        <f>IFERROR(__xludf.DUMMYFUNCTION("""COMPUTED_VALUE"""),3680.0)</f>
        <v>3680</v>
      </c>
    </row>
    <row r="334">
      <c r="A334" s="4">
        <f>IFERROR(__xludf.DUMMYFUNCTION("""COMPUTED_VALUE"""),42702.0)</f>
        <v>42702</v>
      </c>
      <c r="B334" s="5">
        <f>IFERROR(__xludf.DUMMYFUNCTION("""COMPUTED_VALUE"""),5165.0)</f>
        <v>5165</v>
      </c>
      <c r="C334" s="6">
        <f>IFERROR(__xludf.DUMMYFUNCTION("""COMPUTED_VALUE"""),0.375)</f>
        <v>0.375</v>
      </c>
      <c r="D334" s="2">
        <f>IFERROR(__xludf.DUMMYFUNCTION("""COMPUTED_VALUE"""),0.001724537037037037)</f>
        <v>0.001724537037</v>
      </c>
      <c r="E334" s="1">
        <f>IFERROR(__xludf.DUMMYFUNCTION("""COMPUTED_VALUE"""),1.05)</f>
        <v>1.05</v>
      </c>
      <c r="F334" s="1">
        <f>IFERROR(__xludf.DUMMYFUNCTION("""COMPUTED_VALUE"""),4.97)</f>
        <v>4.97</v>
      </c>
      <c r="G334" s="5">
        <f>IFERROR(__xludf.DUMMYFUNCTION("""COMPUTED_VALUE"""),27063.0)</f>
        <v>27063</v>
      </c>
      <c r="H334" s="5">
        <f>IFERROR(__xludf.DUMMYFUNCTION("""COMPUTED_VALUE"""),5443.0)</f>
        <v>5443</v>
      </c>
    </row>
    <row r="335">
      <c r="A335" s="4">
        <f>IFERROR(__xludf.DUMMYFUNCTION("""COMPUTED_VALUE"""),42703.0)</f>
        <v>42703</v>
      </c>
      <c r="B335" s="5">
        <f>IFERROR(__xludf.DUMMYFUNCTION("""COMPUTED_VALUE"""),4499.0)</f>
        <v>4499</v>
      </c>
      <c r="C335" s="6">
        <f>IFERROR(__xludf.DUMMYFUNCTION("""COMPUTED_VALUE"""),0.4044)</f>
        <v>0.4044</v>
      </c>
      <c r="D335" s="2">
        <f>IFERROR(__xludf.DUMMYFUNCTION("""COMPUTED_VALUE"""),0.0013194444444444445)</f>
        <v>0.001319444444</v>
      </c>
      <c r="E335" s="1">
        <f>IFERROR(__xludf.DUMMYFUNCTION("""COMPUTED_VALUE"""),1.1)</f>
        <v>1.1</v>
      </c>
      <c r="F335" s="1">
        <f>IFERROR(__xludf.DUMMYFUNCTION("""COMPUTED_VALUE"""),4.16)</f>
        <v>4.16</v>
      </c>
      <c r="G335" s="5">
        <f>IFERROR(__xludf.DUMMYFUNCTION("""COMPUTED_VALUE"""),20564.0)</f>
        <v>20564</v>
      </c>
      <c r="H335" s="5">
        <f>IFERROR(__xludf.DUMMYFUNCTION("""COMPUTED_VALUE"""),4943.0)</f>
        <v>4943</v>
      </c>
    </row>
    <row r="336">
      <c r="A336" s="4">
        <f>IFERROR(__xludf.DUMMYFUNCTION("""COMPUTED_VALUE"""),42704.0)</f>
        <v>42704</v>
      </c>
      <c r="B336" s="5">
        <f>IFERROR(__xludf.DUMMYFUNCTION("""COMPUTED_VALUE"""),4610.0)</f>
        <v>4610</v>
      </c>
      <c r="C336" s="6">
        <f>IFERROR(__xludf.DUMMYFUNCTION("""COMPUTED_VALUE"""),0.4763)</f>
        <v>0.4763</v>
      </c>
      <c r="D336" s="2">
        <f>IFERROR(__xludf.DUMMYFUNCTION("""COMPUTED_VALUE"""),0.0014814814814814814)</f>
        <v>0.001481481481</v>
      </c>
      <c r="E336" s="1">
        <f>IFERROR(__xludf.DUMMYFUNCTION("""COMPUTED_VALUE"""),1.08)</f>
        <v>1.08</v>
      </c>
      <c r="F336" s="1">
        <f>IFERROR(__xludf.DUMMYFUNCTION("""COMPUTED_VALUE"""),3.92)</f>
        <v>3.92</v>
      </c>
      <c r="G336" s="5">
        <f>IFERROR(__xludf.DUMMYFUNCTION("""COMPUTED_VALUE"""),19440.0)</f>
        <v>19440</v>
      </c>
      <c r="H336" s="5">
        <f>IFERROR(__xludf.DUMMYFUNCTION("""COMPUTED_VALUE"""),4957.0)</f>
        <v>4957</v>
      </c>
    </row>
    <row r="337">
      <c r="A337" s="4">
        <f>IFERROR(__xludf.DUMMYFUNCTION("""COMPUTED_VALUE"""),42705.0)</f>
        <v>42705</v>
      </c>
      <c r="B337" s="5">
        <f>IFERROR(__xludf.DUMMYFUNCTION("""COMPUTED_VALUE"""),4263.0)</f>
        <v>4263</v>
      </c>
      <c r="C337" s="6">
        <f>IFERROR(__xludf.DUMMYFUNCTION("""COMPUTED_VALUE"""),0.4397)</f>
        <v>0.4397</v>
      </c>
      <c r="D337" s="2">
        <f>IFERROR(__xludf.DUMMYFUNCTION("""COMPUTED_VALUE"""),0.0016898148148148148)</f>
        <v>0.001689814815</v>
      </c>
      <c r="E337" s="1">
        <f>IFERROR(__xludf.DUMMYFUNCTION("""COMPUTED_VALUE"""),1.05)</f>
        <v>1.05</v>
      </c>
      <c r="F337" s="1">
        <f>IFERROR(__xludf.DUMMYFUNCTION("""COMPUTED_VALUE"""),4.27)</f>
        <v>4.27</v>
      </c>
      <c r="G337" s="5">
        <f>IFERROR(__xludf.DUMMYFUNCTION("""COMPUTED_VALUE"""),19134.0)</f>
        <v>19134</v>
      </c>
      <c r="H337" s="5">
        <f>IFERROR(__xludf.DUMMYFUNCTION("""COMPUTED_VALUE"""),4485.0)</f>
        <v>4485</v>
      </c>
    </row>
    <row r="338">
      <c r="A338" s="4">
        <f>IFERROR(__xludf.DUMMYFUNCTION("""COMPUTED_VALUE"""),42706.0)</f>
        <v>42706</v>
      </c>
      <c r="B338" s="5">
        <f>IFERROR(__xludf.DUMMYFUNCTION("""COMPUTED_VALUE"""),3694.0)</f>
        <v>3694</v>
      </c>
      <c r="C338" s="6">
        <f>IFERROR(__xludf.DUMMYFUNCTION("""COMPUTED_VALUE"""),0.4121)</f>
        <v>0.4121</v>
      </c>
      <c r="D338" s="2">
        <f>IFERROR(__xludf.DUMMYFUNCTION("""COMPUTED_VALUE"""),0.0016319444444444445)</f>
        <v>0.001631944444</v>
      </c>
      <c r="E338" s="1">
        <f>IFERROR(__xludf.DUMMYFUNCTION("""COMPUTED_VALUE"""),1.07)</f>
        <v>1.07</v>
      </c>
      <c r="F338" s="1">
        <f>IFERROR(__xludf.DUMMYFUNCTION("""COMPUTED_VALUE"""),4.25)</f>
        <v>4.25</v>
      </c>
      <c r="G338" s="5">
        <f>IFERROR(__xludf.DUMMYFUNCTION("""COMPUTED_VALUE"""),16746.0)</f>
        <v>16746</v>
      </c>
      <c r="H338" s="5">
        <f>IFERROR(__xludf.DUMMYFUNCTION("""COMPUTED_VALUE"""),3943.0)</f>
        <v>3943</v>
      </c>
    </row>
    <row r="339">
      <c r="A339" s="4">
        <f>IFERROR(__xludf.DUMMYFUNCTION("""COMPUTED_VALUE"""),42707.0)</f>
        <v>42707</v>
      </c>
      <c r="B339" s="5">
        <f>IFERROR(__xludf.DUMMYFUNCTION("""COMPUTED_VALUE"""),2971.0)</f>
        <v>2971</v>
      </c>
      <c r="C339" s="6">
        <f>IFERROR(__xludf.DUMMYFUNCTION("""COMPUTED_VALUE"""),0.4312)</f>
        <v>0.4312</v>
      </c>
      <c r="D339" s="2">
        <f>IFERROR(__xludf.DUMMYFUNCTION("""COMPUTED_VALUE"""),0.0016898148148148148)</f>
        <v>0.001689814815</v>
      </c>
      <c r="E339" s="1">
        <f>IFERROR(__xludf.DUMMYFUNCTION("""COMPUTED_VALUE"""),1.08)</f>
        <v>1.08</v>
      </c>
      <c r="F339" s="1">
        <f>IFERROR(__xludf.DUMMYFUNCTION("""COMPUTED_VALUE"""),4.4)</f>
        <v>4.4</v>
      </c>
      <c r="G339" s="5">
        <f>IFERROR(__xludf.DUMMYFUNCTION("""COMPUTED_VALUE"""),14177.0)</f>
        <v>14177</v>
      </c>
      <c r="H339" s="5">
        <f>IFERROR(__xludf.DUMMYFUNCTION("""COMPUTED_VALUE"""),3221.0)</f>
        <v>3221</v>
      </c>
    </row>
    <row r="340">
      <c r="A340" s="4">
        <f>IFERROR(__xludf.DUMMYFUNCTION("""COMPUTED_VALUE"""),42708.0)</f>
        <v>42708</v>
      </c>
      <c r="B340" s="5">
        <f>IFERROR(__xludf.DUMMYFUNCTION("""COMPUTED_VALUE"""),3166.0)</f>
        <v>3166</v>
      </c>
      <c r="C340" s="6">
        <f>IFERROR(__xludf.DUMMYFUNCTION("""COMPUTED_VALUE"""),0.4487)</f>
        <v>0.4487</v>
      </c>
      <c r="D340" s="2">
        <f>IFERROR(__xludf.DUMMYFUNCTION("""COMPUTED_VALUE"""),0.0012731481481481483)</f>
        <v>0.001273148148</v>
      </c>
      <c r="E340" s="1">
        <f>IFERROR(__xludf.DUMMYFUNCTION("""COMPUTED_VALUE"""),1.07)</f>
        <v>1.07</v>
      </c>
      <c r="F340" s="1">
        <f>IFERROR(__xludf.DUMMYFUNCTION("""COMPUTED_VALUE"""),4.0)</f>
        <v>4</v>
      </c>
      <c r="G340" s="5">
        <f>IFERROR(__xludf.DUMMYFUNCTION("""COMPUTED_VALUE"""),13483.0)</f>
        <v>13483</v>
      </c>
      <c r="H340" s="5">
        <f>IFERROR(__xludf.DUMMYFUNCTION("""COMPUTED_VALUE"""),3374.0)</f>
        <v>3374</v>
      </c>
    </row>
    <row r="341">
      <c r="A341" s="4">
        <f>IFERROR(__xludf.DUMMYFUNCTION("""COMPUTED_VALUE"""),42709.0)</f>
        <v>42709</v>
      </c>
      <c r="B341" s="5">
        <f>IFERROR(__xludf.DUMMYFUNCTION("""COMPUTED_VALUE"""),4263.0)</f>
        <v>4263</v>
      </c>
      <c r="C341" s="6">
        <f>IFERROR(__xludf.DUMMYFUNCTION("""COMPUTED_VALUE"""),0.4151)</f>
        <v>0.4151</v>
      </c>
      <c r="D341" s="2">
        <f>IFERROR(__xludf.DUMMYFUNCTION("""COMPUTED_VALUE"""),0.0016435185185185185)</f>
        <v>0.001643518519</v>
      </c>
      <c r="E341" s="1">
        <f>IFERROR(__xludf.DUMMYFUNCTION("""COMPUTED_VALUE"""),1.07)</f>
        <v>1.07</v>
      </c>
      <c r="F341" s="1">
        <f>IFERROR(__xludf.DUMMYFUNCTION("""COMPUTED_VALUE"""),4.99)</f>
        <v>4.99</v>
      </c>
      <c r="G341" s="5">
        <f>IFERROR(__xludf.DUMMYFUNCTION("""COMPUTED_VALUE"""),22855.0)</f>
        <v>22855</v>
      </c>
      <c r="H341" s="5">
        <f>IFERROR(__xludf.DUMMYFUNCTION("""COMPUTED_VALUE"""),4582.0)</f>
        <v>4582</v>
      </c>
    </row>
    <row r="342">
      <c r="A342" s="4">
        <f>IFERROR(__xludf.DUMMYFUNCTION("""COMPUTED_VALUE"""),42710.0)</f>
        <v>42710</v>
      </c>
      <c r="B342" s="5">
        <f>IFERROR(__xludf.DUMMYFUNCTION("""COMPUTED_VALUE"""),2985.0)</f>
        <v>2985</v>
      </c>
      <c r="C342" s="6">
        <f>IFERROR(__xludf.DUMMYFUNCTION("""COMPUTED_VALUE"""),0.3942)</f>
        <v>0.3942</v>
      </c>
      <c r="D342" s="2">
        <f>IFERROR(__xludf.DUMMYFUNCTION("""COMPUTED_VALUE"""),0.0024652777777777776)</f>
        <v>0.002465277778</v>
      </c>
      <c r="E342" s="1">
        <f>IFERROR(__xludf.DUMMYFUNCTION("""COMPUTED_VALUE"""),1.12)</f>
        <v>1.12</v>
      </c>
      <c r="F342" s="1">
        <f>IFERROR(__xludf.DUMMYFUNCTION("""COMPUTED_VALUE"""),5.47)</f>
        <v>5.47</v>
      </c>
      <c r="G342" s="5">
        <f>IFERROR(__xludf.DUMMYFUNCTION("""COMPUTED_VALUE"""),18287.0)</f>
        <v>18287</v>
      </c>
      <c r="H342" s="5">
        <f>IFERROR(__xludf.DUMMYFUNCTION("""COMPUTED_VALUE"""),3346.0)</f>
        <v>3346</v>
      </c>
    </row>
    <row r="343">
      <c r="A343" s="4">
        <f>IFERROR(__xludf.DUMMYFUNCTION("""COMPUTED_VALUE"""),42711.0)</f>
        <v>42711</v>
      </c>
      <c r="B343" s="5">
        <f>IFERROR(__xludf.DUMMYFUNCTION("""COMPUTED_VALUE"""),2860.0)</f>
        <v>2860</v>
      </c>
      <c r="C343" s="6">
        <f>IFERROR(__xludf.DUMMYFUNCTION("""COMPUTED_VALUE"""),0.3794)</f>
        <v>0.3794</v>
      </c>
      <c r="D343" s="2">
        <f>IFERROR(__xludf.DUMMYFUNCTION("""COMPUTED_VALUE"""),0.002476851851851852)</f>
        <v>0.002476851852</v>
      </c>
      <c r="E343" s="1">
        <f>IFERROR(__xludf.DUMMYFUNCTION("""COMPUTED_VALUE"""),1.09)</f>
        <v>1.09</v>
      </c>
      <c r="F343" s="1">
        <f>IFERROR(__xludf.DUMMYFUNCTION("""COMPUTED_VALUE"""),5.75)</f>
        <v>5.75</v>
      </c>
      <c r="G343" s="5">
        <f>IFERROR(__xludf.DUMMYFUNCTION("""COMPUTED_VALUE"""),17870.0)</f>
        <v>17870</v>
      </c>
      <c r="H343" s="5">
        <f>IFERROR(__xludf.DUMMYFUNCTION("""COMPUTED_VALUE"""),3110.0)</f>
        <v>3110</v>
      </c>
    </row>
    <row r="344">
      <c r="A344" s="4">
        <f>IFERROR(__xludf.DUMMYFUNCTION("""COMPUTED_VALUE"""),42712.0)</f>
        <v>42712</v>
      </c>
      <c r="B344" s="5">
        <f>IFERROR(__xludf.DUMMYFUNCTION("""COMPUTED_VALUE"""),3096.0)</f>
        <v>3096</v>
      </c>
      <c r="C344" s="6">
        <f>IFERROR(__xludf.DUMMYFUNCTION("""COMPUTED_VALUE"""),0.4214)</f>
        <v>0.4214</v>
      </c>
      <c r="D344" s="2">
        <f>IFERROR(__xludf.DUMMYFUNCTION("""COMPUTED_VALUE"""),0.002002314814814815)</f>
        <v>0.002002314815</v>
      </c>
      <c r="E344" s="1">
        <f>IFERROR(__xludf.DUMMYFUNCTION("""COMPUTED_VALUE"""),1.09)</f>
        <v>1.09</v>
      </c>
      <c r="F344" s="1">
        <f>IFERROR(__xludf.DUMMYFUNCTION("""COMPUTED_VALUE"""),5.16)</f>
        <v>5.16</v>
      </c>
      <c r="G344" s="5">
        <f>IFERROR(__xludf.DUMMYFUNCTION("""COMPUTED_VALUE"""),17329.0)</f>
        <v>17329</v>
      </c>
      <c r="H344" s="5">
        <f>IFERROR(__xludf.DUMMYFUNCTION("""COMPUTED_VALUE"""),3360.0)</f>
        <v>3360</v>
      </c>
    </row>
    <row r="345">
      <c r="A345" s="4">
        <f>IFERROR(__xludf.DUMMYFUNCTION("""COMPUTED_VALUE"""),42713.0)</f>
        <v>42713</v>
      </c>
      <c r="B345" s="5">
        <f>IFERROR(__xludf.DUMMYFUNCTION("""COMPUTED_VALUE"""),2749.0)</f>
        <v>2749</v>
      </c>
      <c r="C345" s="6">
        <f>IFERROR(__xludf.DUMMYFUNCTION("""COMPUTED_VALUE"""),0.3891)</f>
        <v>0.3891</v>
      </c>
      <c r="D345" s="2">
        <f>IFERROR(__xludf.DUMMYFUNCTION("""COMPUTED_VALUE"""),0.0021296296296296298)</f>
        <v>0.00212962963</v>
      </c>
      <c r="E345" s="1">
        <f>IFERROR(__xludf.DUMMYFUNCTION("""COMPUTED_VALUE"""),1.12)</f>
        <v>1.12</v>
      </c>
      <c r="F345" s="1">
        <f>IFERROR(__xludf.DUMMYFUNCTION("""COMPUTED_VALUE"""),6.36)</f>
        <v>6.36</v>
      </c>
      <c r="G345" s="5">
        <f>IFERROR(__xludf.DUMMYFUNCTION("""COMPUTED_VALUE"""),19523.0)</f>
        <v>19523</v>
      </c>
      <c r="H345" s="5">
        <f>IFERROR(__xludf.DUMMYFUNCTION("""COMPUTED_VALUE"""),3069.0)</f>
        <v>3069</v>
      </c>
    </row>
    <row r="346">
      <c r="A346" s="4">
        <f>IFERROR(__xludf.DUMMYFUNCTION("""COMPUTED_VALUE"""),42714.0)</f>
        <v>42714</v>
      </c>
      <c r="B346" s="5">
        <f>IFERROR(__xludf.DUMMYFUNCTION("""COMPUTED_VALUE"""),2055.0)</f>
        <v>2055</v>
      </c>
      <c r="C346" s="6">
        <f>IFERROR(__xludf.DUMMYFUNCTION("""COMPUTED_VALUE"""),0.4346)</f>
        <v>0.4346</v>
      </c>
      <c r="D346" s="2">
        <f>IFERROR(__xludf.DUMMYFUNCTION("""COMPUTED_VALUE"""),0.0023148148148148147)</f>
        <v>0.002314814815</v>
      </c>
      <c r="E346" s="1">
        <f>IFERROR(__xludf.DUMMYFUNCTION("""COMPUTED_VALUE"""),1.14)</f>
        <v>1.14</v>
      </c>
      <c r="F346" s="1">
        <f>IFERROR(__xludf.DUMMYFUNCTION("""COMPUTED_VALUE"""),5.26)</f>
        <v>5.26</v>
      </c>
      <c r="G346" s="5">
        <f>IFERROR(__xludf.DUMMYFUNCTION("""COMPUTED_VALUE"""),12261.0)</f>
        <v>12261</v>
      </c>
      <c r="H346" s="5">
        <f>IFERROR(__xludf.DUMMYFUNCTION("""COMPUTED_VALUE"""),2333.0)</f>
        <v>2333</v>
      </c>
    </row>
    <row r="347">
      <c r="A347" s="4">
        <f>IFERROR(__xludf.DUMMYFUNCTION("""COMPUTED_VALUE"""),42715.0)</f>
        <v>42715</v>
      </c>
      <c r="B347" s="5">
        <f>IFERROR(__xludf.DUMMYFUNCTION("""COMPUTED_VALUE"""),2166.0)</f>
        <v>2166</v>
      </c>
      <c r="C347" s="6">
        <f>IFERROR(__xludf.DUMMYFUNCTION("""COMPUTED_VALUE"""),0.4381)</f>
        <v>0.4381</v>
      </c>
      <c r="D347" s="2">
        <f>IFERROR(__xludf.DUMMYFUNCTION("""COMPUTED_VALUE"""),0.0022916666666666667)</f>
        <v>0.002291666667</v>
      </c>
      <c r="E347" s="1">
        <f>IFERROR(__xludf.DUMMYFUNCTION("""COMPUTED_VALUE"""),1.14)</f>
        <v>1.14</v>
      </c>
      <c r="F347" s="1">
        <f>IFERROR(__xludf.DUMMYFUNCTION("""COMPUTED_VALUE"""),5.83)</f>
        <v>5.83</v>
      </c>
      <c r="G347" s="5">
        <f>IFERROR(__xludf.DUMMYFUNCTION("""COMPUTED_VALUE"""),14413.0)</f>
        <v>14413</v>
      </c>
      <c r="H347" s="5">
        <f>IFERROR(__xludf.DUMMYFUNCTION("""COMPUTED_VALUE"""),2472.0)</f>
        <v>2472</v>
      </c>
    </row>
    <row r="348">
      <c r="A348" s="4">
        <f>IFERROR(__xludf.DUMMYFUNCTION("""COMPUTED_VALUE"""),42716.0)</f>
        <v>42716</v>
      </c>
      <c r="B348" s="5">
        <f>IFERROR(__xludf.DUMMYFUNCTION("""COMPUTED_VALUE"""),3374.0)</f>
        <v>3374</v>
      </c>
      <c r="C348" s="6">
        <f>IFERROR(__xludf.DUMMYFUNCTION("""COMPUTED_VALUE"""),0.3416)</f>
        <v>0.3416</v>
      </c>
      <c r="D348" s="2">
        <f>IFERROR(__xludf.DUMMYFUNCTION("""COMPUTED_VALUE"""),0.0028703703703703703)</f>
        <v>0.00287037037</v>
      </c>
      <c r="E348" s="1">
        <f>IFERROR(__xludf.DUMMYFUNCTION("""COMPUTED_VALUE"""),1.16)</f>
        <v>1.16</v>
      </c>
      <c r="F348" s="1">
        <f>IFERROR(__xludf.DUMMYFUNCTION("""COMPUTED_VALUE"""),7.3)</f>
        <v>7.3</v>
      </c>
      <c r="G348" s="5">
        <f>IFERROR(__xludf.DUMMYFUNCTION("""COMPUTED_VALUE"""),28493.0)</f>
        <v>28493</v>
      </c>
      <c r="H348" s="5">
        <f>IFERROR(__xludf.DUMMYFUNCTION("""COMPUTED_VALUE"""),3902.0)</f>
        <v>3902</v>
      </c>
    </row>
    <row r="349">
      <c r="A349" s="4">
        <f>IFERROR(__xludf.DUMMYFUNCTION("""COMPUTED_VALUE"""),42717.0)</f>
        <v>42717</v>
      </c>
      <c r="B349" s="5">
        <f>IFERROR(__xludf.DUMMYFUNCTION("""COMPUTED_VALUE"""),2985.0)</f>
        <v>2985</v>
      </c>
      <c r="C349" s="6">
        <f>IFERROR(__xludf.DUMMYFUNCTION("""COMPUTED_VALUE"""),0.4015)</f>
        <v>0.4015</v>
      </c>
      <c r="D349" s="2">
        <f>IFERROR(__xludf.DUMMYFUNCTION("""COMPUTED_VALUE"""),0.002372685185185185)</f>
        <v>0.002372685185</v>
      </c>
      <c r="E349" s="1">
        <f>IFERROR(__xludf.DUMMYFUNCTION("""COMPUTED_VALUE"""),1.18)</f>
        <v>1.18</v>
      </c>
      <c r="F349" s="1">
        <f>IFERROR(__xludf.DUMMYFUNCTION("""COMPUTED_VALUE"""),5.29)</f>
        <v>5.29</v>
      </c>
      <c r="G349" s="5">
        <f>IFERROR(__xludf.DUMMYFUNCTION("""COMPUTED_VALUE"""),18648.0)</f>
        <v>18648</v>
      </c>
      <c r="H349" s="5">
        <f>IFERROR(__xludf.DUMMYFUNCTION("""COMPUTED_VALUE"""),3527.0)</f>
        <v>3527</v>
      </c>
    </row>
    <row r="350">
      <c r="A350" s="4">
        <f>IFERROR(__xludf.DUMMYFUNCTION("""COMPUTED_VALUE"""),42718.0)</f>
        <v>42718</v>
      </c>
      <c r="B350" s="5">
        <f>IFERROR(__xludf.DUMMYFUNCTION("""COMPUTED_VALUE"""),2888.0)</f>
        <v>2888</v>
      </c>
      <c r="C350" s="6">
        <f>IFERROR(__xludf.DUMMYFUNCTION("""COMPUTED_VALUE"""),0.4093)</f>
        <v>0.4093</v>
      </c>
      <c r="D350" s="2">
        <f>IFERROR(__xludf.DUMMYFUNCTION("""COMPUTED_VALUE"""),0.001979166666666667)</f>
        <v>0.001979166667</v>
      </c>
      <c r="E350" s="1">
        <f>IFERROR(__xludf.DUMMYFUNCTION("""COMPUTED_VALUE"""),1.14)</f>
        <v>1.14</v>
      </c>
      <c r="F350" s="1">
        <f>IFERROR(__xludf.DUMMYFUNCTION("""COMPUTED_VALUE"""),5.5)</f>
        <v>5.5</v>
      </c>
      <c r="G350" s="5">
        <f>IFERROR(__xludf.DUMMYFUNCTION("""COMPUTED_VALUE"""),18107.0)</f>
        <v>18107</v>
      </c>
      <c r="H350" s="5">
        <f>IFERROR(__xludf.DUMMYFUNCTION("""COMPUTED_VALUE"""),3291.0)</f>
        <v>3291</v>
      </c>
    </row>
    <row r="351">
      <c r="A351" s="4">
        <f>IFERROR(__xludf.DUMMYFUNCTION("""COMPUTED_VALUE"""),42719.0)</f>
        <v>42719</v>
      </c>
      <c r="B351" s="5">
        <f>IFERROR(__xludf.DUMMYFUNCTION("""COMPUTED_VALUE"""),2944.0)</f>
        <v>2944</v>
      </c>
      <c r="C351" s="6">
        <f>IFERROR(__xludf.DUMMYFUNCTION("""COMPUTED_VALUE"""),0.4488)</f>
        <v>0.4488</v>
      </c>
      <c r="D351" s="2">
        <f>IFERROR(__xludf.DUMMYFUNCTION("""COMPUTED_VALUE"""),0.0021064814814814813)</f>
        <v>0.002106481481</v>
      </c>
      <c r="E351" s="1">
        <f>IFERROR(__xludf.DUMMYFUNCTION("""COMPUTED_VALUE"""),1.1)</f>
        <v>1.1</v>
      </c>
      <c r="F351" s="1">
        <f>IFERROR(__xludf.DUMMYFUNCTION("""COMPUTED_VALUE"""),6.0)</f>
        <v>6</v>
      </c>
      <c r="G351" s="5">
        <f>IFERROR(__xludf.DUMMYFUNCTION("""COMPUTED_VALUE"""),19509.0)</f>
        <v>19509</v>
      </c>
      <c r="H351" s="5">
        <f>IFERROR(__xludf.DUMMYFUNCTION("""COMPUTED_VALUE"""),3249.0)</f>
        <v>3249</v>
      </c>
    </row>
    <row r="352">
      <c r="A352" s="4">
        <f>IFERROR(__xludf.DUMMYFUNCTION("""COMPUTED_VALUE"""),42720.0)</f>
        <v>42720</v>
      </c>
      <c r="B352" s="5">
        <f>IFERROR(__xludf.DUMMYFUNCTION("""COMPUTED_VALUE"""),2874.0)</f>
        <v>2874</v>
      </c>
      <c r="C352" s="6">
        <f>IFERROR(__xludf.DUMMYFUNCTION("""COMPUTED_VALUE"""),0.4052)</f>
        <v>0.4052</v>
      </c>
      <c r="D352" s="2">
        <f>IFERROR(__xludf.DUMMYFUNCTION("""COMPUTED_VALUE"""),0.0018865740740740742)</f>
        <v>0.001886574074</v>
      </c>
      <c r="E352" s="1">
        <f>IFERROR(__xludf.DUMMYFUNCTION("""COMPUTED_VALUE"""),1.12)</f>
        <v>1.12</v>
      </c>
      <c r="F352" s="1">
        <f>IFERROR(__xludf.DUMMYFUNCTION("""COMPUTED_VALUE"""),4.71)</f>
        <v>4.71</v>
      </c>
      <c r="G352" s="5">
        <f>IFERROR(__xludf.DUMMYFUNCTION("""COMPUTED_VALUE"""),15163.0)</f>
        <v>15163</v>
      </c>
      <c r="H352" s="5">
        <f>IFERROR(__xludf.DUMMYFUNCTION("""COMPUTED_VALUE"""),3221.0)</f>
        <v>3221</v>
      </c>
    </row>
    <row r="353">
      <c r="A353" s="4">
        <f>IFERROR(__xludf.DUMMYFUNCTION("""COMPUTED_VALUE"""),42721.0)</f>
        <v>42721</v>
      </c>
      <c r="B353" s="5">
        <f>IFERROR(__xludf.DUMMYFUNCTION("""COMPUTED_VALUE"""),2347.0)</f>
        <v>2347</v>
      </c>
      <c r="C353" s="6">
        <f>IFERROR(__xludf.DUMMYFUNCTION("""COMPUTED_VALUE"""),0.4023)</f>
        <v>0.4023</v>
      </c>
      <c r="D353" s="2">
        <f>IFERROR(__xludf.DUMMYFUNCTION("""COMPUTED_VALUE"""),0.0019444444444444444)</f>
        <v>0.001944444444</v>
      </c>
      <c r="E353" s="1">
        <f>IFERROR(__xludf.DUMMYFUNCTION("""COMPUTED_VALUE"""),1.09)</f>
        <v>1.09</v>
      </c>
      <c r="F353" s="1">
        <f>IFERROR(__xludf.DUMMYFUNCTION("""COMPUTED_VALUE"""),5.27)</f>
        <v>5.27</v>
      </c>
      <c r="G353" s="5">
        <f>IFERROR(__xludf.DUMMYFUNCTION("""COMPUTED_VALUE"""),13455.0)</f>
        <v>13455</v>
      </c>
      <c r="H353" s="5">
        <f>IFERROR(__xludf.DUMMYFUNCTION("""COMPUTED_VALUE"""),2555.0)</f>
        <v>2555</v>
      </c>
    </row>
    <row r="354">
      <c r="A354" s="4">
        <f>IFERROR(__xludf.DUMMYFUNCTION("""COMPUTED_VALUE"""),42722.0)</f>
        <v>42722</v>
      </c>
      <c r="B354" s="5">
        <f>IFERROR(__xludf.DUMMYFUNCTION("""COMPUTED_VALUE"""),2111.0)</f>
        <v>2111</v>
      </c>
      <c r="C354" s="6">
        <f>IFERROR(__xludf.DUMMYFUNCTION("""COMPUTED_VALUE"""),0.4058)</f>
        <v>0.4058</v>
      </c>
      <c r="D354" s="2">
        <f>IFERROR(__xludf.DUMMYFUNCTION("""COMPUTED_VALUE"""),0.0019328703703703704)</f>
        <v>0.00193287037</v>
      </c>
      <c r="E354" s="1">
        <f>IFERROR(__xludf.DUMMYFUNCTION("""COMPUTED_VALUE"""),1.12)</f>
        <v>1.12</v>
      </c>
      <c r="F354" s="1">
        <f>IFERROR(__xludf.DUMMYFUNCTION("""COMPUTED_VALUE"""),5.43)</f>
        <v>5.43</v>
      </c>
      <c r="G354" s="5">
        <f>IFERROR(__xludf.DUMMYFUNCTION("""COMPUTED_VALUE"""),12816.0)</f>
        <v>12816</v>
      </c>
      <c r="H354" s="5">
        <f>IFERROR(__xludf.DUMMYFUNCTION("""COMPUTED_VALUE"""),2361.0)</f>
        <v>2361</v>
      </c>
    </row>
    <row r="355">
      <c r="A355" s="4">
        <f>IFERROR(__xludf.DUMMYFUNCTION("""COMPUTED_VALUE"""),42723.0)</f>
        <v>42723</v>
      </c>
      <c r="B355" s="5">
        <f>IFERROR(__xludf.DUMMYFUNCTION("""COMPUTED_VALUE"""),3263.0)</f>
        <v>3263</v>
      </c>
      <c r="C355" s="6">
        <f>IFERROR(__xludf.DUMMYFUNCTION("""COMPUTED_VALUE"""),0.3854)</f>
        <v>0.3854</v>
      </c>
      <c r="D355" s="2">
        <f>IFERROR(__xludf.DUMMYFUNCTION("""COMPUTED_VALUE"""),0.001979166666666667)</f>
        <v>0.001979166667</v>
      </c>
      <c r="E355" s="1">
        <f>IFERROR(__xludf.DUMMYFUNCTION("""COMPUTED_VALUE"""),1.11)</f>
        <v>1.11</v>
      </c>
      <c r="F355" s="1">
        <f>IFERROR(__xludf.DUMMYFUNCTION("""COMPUTED_VALUE"""),5.18)</f>
        <v>5.18</v>
      </c>
      <c r="G355" s="5">
        <f>IFERROR(__xludf.DUMMYFUNCTION("""COMPUTED_VALUE"""),18829.0)</f>
        <v>18829</v>
      </c>
      <c r="H355" s="5">
        <f>IFERROR(__xludf.DUMMYFUNCTION("""COMPUTED_VALUE"""),3638.0)</f>
        <v>3638</v>
      </c>
    </row>
    <row r="356">
      <c r="A356" s="4">
        <f>IFERROR(__xludf.DUMMYFUNCTION("""COMPUTED_VALUE"""),42724.0)</f>
        <v>42724</v>
      </c>
      <c r="B356" s="5">
        <f>IFERROR(__xludf.DUMMYFUNCTION("""COMPUTED_VALUE"""),2999.0)</f>
        <v>2999</v>
      </c>
      <c r="C356" s="6">
        <f>IFERROR(__xludf.DUMMYFUNCTION("""COMPUTED_VALUE"""),0.37)</f>
        <v>0.37</v>
      </c>
      <c r="D356" s="2">
        <f>IFERROR(__xludf.DUMMYFUNCTION("""COMPUTED_VALUE"""),0.002002314814814815)</f>
        <v>0.002002314815</v>
      </c>
      <c r="E356" s="1">
        <f>IFERROR(__xludf.DUMMYFUNCTION("""COMPUTED_VALUE"""),1.14)</f>
        <v>1.14</v>
      </c>
      <c r="F356" s="1">
        <f>IFERROR(__xludf.DUMMYFUNCTION("""COMPUTED_VALUE"""),5.45)</f>
        <v>5.45</v>
      </c>
      <c r="G356" s="5">
        <f>IFERROR(__xludf.DUMMYFUNCTION("""COMPUTED_VALUE"""),18606.0)</f>
        <v>18606</v>
      </c>
      <c r="H356" s="5">
        <f>IFERROR(__xludf.DUMMYFUNCTION("""COMPUTED_VALUE"""),3416.0)</f>
        <v>3416</v>
      </c>
    </row>
    <row r="357">
      <c r="A357" s="4">
        <f>IFERROR(__xludf.DUMMYFUNCTION("""COMPUTED_VALUE"""),42725.0)</f>
        <v>42725</v>
      </c>
      <c r="B357" s="5">
        <f>IFERROR(__xludf.DUMMYFUNCTION("""COMPUTED_VALUE"""),2610.0)</f>
        <v>2610</v>
      </c>
      <c r="C357" s="6">
        <f>IFERROR(__xludf.DUMMYFUNCTION("""COMPUTED_VALUE"""),0.4951)</f>
        <v>0.4951</v>
      </c>
      <c r="D357" s="2">
        <f>IFERROR(__xludf.DUMMYFUNCTION("""COMPUTED_VALUE"""),0.0015625)</f>
        <v>0.0015625</v>
      </c>
      <c r="E357" s="1">
        <f>IFERROR(__xludf.DUMMYFUNCTION("""COMPUTED_VALUE"""),1.1)</f>
        <v>1.1</v>
      </c>
      <c r="F357" s="1">
        <f>IFERROR(__xludf.DUMMYFUNCTION("""COMPUTED_VALUE"""),4.3)</f>
        <v>4.3</v>
      </c>
      <c r="G357" s="5">
        <f>IFERROR(__xludf.DUMMYFUNCTION("""COMPUTED_VALUE"""),12302.0)</f>
        <v>12302</v>
      </c>
      <c r="H357" s="5">
        <f>IFERROR(__xludf.DUMMYFUNCTION("""COMPUTED_VALUE"""),2860.0)</f>
        <v>2860</v>
      </c>
    </row>
    <row r="358">
      <c r="A358" s="4">
        <f>IFERROR(__xludf.DUMMYFUNCTION("""COMPUTED_VALUE"""),42726.0)</f>
        <v>42726</v>
      </c>
      <c r="B358" s="5">
        <f>IFERROR(__xludf.DUMMYFUNCTION("""COMPUTED_VALUE"""),2138.0)</f>
        <v>2138</v>
      </c>
      <c r="C358" s="6">
        <f>IFERROR(__xludf.DUMMYFUNCTION("""COMPUTED_VALUE"""),0.4911)</f>
        <v>0.4911</v>
      </c>
      <c r="D358" s="2">
        <f>IFERROR(__xludf.DUMMYFUNCTION("""COMPUTED_VALUE"""),0.0019675925925925924)</f>
        <v>0.001967592593</v>
      </c>
      <c r="E358" s="1">
        <f>IFERROR(__xludf.DUMMYFUNCTION("""COMPUTED_VALUE"""),1.07)</f>
        <v>1.07</v>
      </c>
      <c r="F358" s="1">
        <f>IFERROR(__xludf.DUMMYFUNCTION("""COMPUTED_VALUE"""),4.2)</f>
        <v>4.2</v>
      </c>
      <c r="G358" s="5">
        <f>IFERROR(__xludf.DUMMYFUNCTION("""COMPUTED_VALUE"""),9623.0)</f>
        <v>9623</v>
      </c>
      <c r="H358" s="5">
        <f>IFERROR(__xludf.DUMMYFUNCTION("""COMPUTED_VALUE"""),2291.0)</f>
        <v>2291</v>
      </c>
    </row>
    <row r="359">
      <c r="A359" s="4">
        <f>IFERROR(__xludf.DUMMYFUNCTION("""COMPUTED_VALUE"""),42727.0)</f>
        <v>42727</v>
      </c>
      <c r="B359" s="5">
        <f>IFERROR(__xludf.DUMMYFUNCTION("""COMPUTED_VALUE"""),1652.0)</f>
        <v>1652</v>
      </c>
      <c r="C359" s="6">
        <f>IFERROR(__xludf.DUMMYFUNCTION("""COMPUTED_VALUE"""),0.424)</f>
        <v>0.424</v>
      </c>
      <c r="D359" s="2">
        <f>IFERROR(__xludf.DUMMYFUNCTION("""COMPUTED_VALUE"""),0.0013310185185185185)</f>
        <v>0.001331018519</v>
      </c>
      <c r="E359" s="1">
        <f>IFERROR(__xludf.DUMMYFUNCTION("""COMPUTED_VALUE"""),1.05)</f>
        <v>1.05</v>
      </c>
      <c r="F359" s="1">
        <f>IFERROR(__xludf.DUMMYFUNCTION("""COMPUTED_VALUE"""),3.61)</f>
        <v>3.61</v>
      </c>
      <c r="G359" s="5">
        <f>IFERROR(__xludf.DUMMYFUNCTION("""COMPUTED_VALUE"""),6262.0)</f>
        <v>6262</v>
      </c>
      <c r="H359" s="5">
        <f>IFERROR(__xludf.DUMMYFUNCTION("""COMPUTED_VALUE"""),1736.0)</f>
        <v>1736</v>
      </c>
    </row>
    <row r="360">
      <c r="A360" s="4">
        <f>IFERROR(__xludf.DUMMYFUNCTION("""COMPUTED_VALUE"""),42728.0)</f>
        <v>42728</v>
      </c>
      <c r="B360" s="5">
        <f>IFERROR(__xludf.DUMMYFUNCTION("""COMPUTED_VALUE"""),1264.0)</f>
        <v>1264</v>
      </c>
      <c r="C360" s="6">
        <f>IFERROR(__xludf.DUMMYFUNCTION("""COMPUTED_VALUE"""),0.4738)</f>
        <v>0.4738</v>
      </c>
      <c r="D360" s="2">
        <f>IFERROR(__xludf.DUMMYFUNCTION("""COMPUTED_VALUE"""),0.0011458333333333333)</f>
        <v>0.001145833333</v>
      </c>
      <c r="E360" s="1">
        <f>IFERROR(__xludf.DUMMYFUNCTION("""COMPUTED_VALUE"""),1.04)</f>
        <v>1.04</v>
      </c>
      <c r="F360" s="1">
        <f>IFERROR(__xludf.DUMMYFUNCTION("""COMPUTED_VALUE"""),3.34)</f>
        <v>3.34</v>
      </c>
      <c r="G360" s="5">
        <f>IFERROR(__xludf.DUMMYFUNCTION("""COMPUTED_VALUE"""),4402.0)</f>
        <v>4402</v>
      </c>
      <c r="H360" s="5">
        <f>IFERROR(__xludf.DUMMYFUNCTION("""COMPUTED_VALUE"""),1319.0)</f>
        <v>1319</v>
      </c>
    </row>
    <row r="361">
      <c r="A361" s="4">
        <f>IFERROR(__xludf.DUMMYFUNCTION("""COMPUTED_VALUE"""),42729.0)</f>
        <v>42729</v>
      </c>
      <c r="B361" s="5">
        <f>IFERROR(__xludf.DUMMYFUNCTION("""COMPUTED_VALUE"""),1361.0)</f>
        <v>1361</v>
      </c>
      <c r="C361" s="6">
        <f>IFERROR(__xludf.DUMMYFUNCTION("""COMPUTED_VALUE"""),0.5374)</f>
        <v>0.5374</v>
      </c>
      <c r="D361" s="2">
        <f>IFERROR(__xludf.DUMMYFUNCTION("""COMPUTED_VALUE"""),0.0016550925925925926)</f>
        <v>0.001655092593</v>
      </c>
      <c r="E361" s="1">
        <f>IFERROR(__xludf.DUMMYFUNCTION("""COMPUTED_VALUE"""),1.08)</f>
        <v>1.08</v>
      </c>
      <c r="F361" s="1">
        <f>IFERROR(__xludf.DUMMYFUNCTION("""COMPUTED_VALUE"""),3.68)</f>
        <v>3.68</v>
      </c>
      <c r="G361" s="5">
        <f>IFERROR(__xludf.DUMMYFUNCTION("""COMPUTED_VALUE"""),5415.0)</f>
        <v>5415</v>
      </c>
      <c r="H361" s="5">
        <f>IFERROR(__xludf.DUMMYFUNCTION("""COMPUTED_VALUE"""),1472.0)</f>
        <v>1472</v>
      </c>
    </row>
    <row r="362">
      <c r="A362" s="4">
        <f>IFERROR(__xludf.DUMMYFUNCTION("""COMPUTED_VALUE"""),42730.0)</f>
        <v>42730</v>
      </c>
      <c r="B362" s="5">
        <f>IFERROR(__xludf.DUMMYFUNCTION("""COMPUTED_VALUE"""),1555.0)</f>
        <v>1555</v>
      </c>
      <c r="C362" s="6">
        <f>IFERROR(__xludf.DUMMYFUNCTION("""COMPUTED_VALUE"""),0.46)</f>
        <v>0.46</v>
      </c>
      <c r="D362" s="2">
        <f>IFERROR(__xludf.DUMMYFUNCTION("""COMPUTED_VALUE"""),0.0018865740740740742)</f>
        <v>0.001886574074</v>
      </c>
      <c r="E362" s="1">
        <f>IFERROR(__xludf.DUMMYFUNCTION("""COMPUTED_VALUE"""),1.13)</f>
        <v>1.13</v>
      </c>
      <c r="F362" s="1">
        <f>IFERROR(__xludf.DUMMYFUNCTION("""COMPUTED_VALUE"""),4.4)</f>
        <v>4.4</v>
      </c>
      <c r="G362" s="5">
        <f>IFERROR(__xludf.DUMMYFUNCTION("""COMPUTED_VALUE"""),7693.0)</f>
        <v>7693</v>
      </c>
      <c r="H362" s="5">
        <f>IFERROR(__xludf.DUMMYFUNCTION("""COMPUTED_VALUE"""),1750.0)</f>
        <v>1750</v>
      </c>
    </row>
    <row r="363">
      <c r="A363" s="4">
        <f>IFERROR(__xludf.DUMMYFUNCTION("""COMPUTED_VALUE"""),42731.0)</f>
        <v>42731</v>
      </c>
      <c r="B363" s="5">
        <f>IFERROR(__xludf.DUMMYFUNCTION("""COMPUTED_VALUE"""),1916.0)</f>
        <v>1916</v>
      </c>
      <c r="C363" s="6">
        <f>IFERROR(__xludf.DUMMYFUNCTION("""COMPUTED_VALUE"""),0.4079)</f>
        <v>0.4079</v>
      </c>
      <c r="D363" s="2">
        <f>IFERROR(__xludf.DUMMYFUNCTION("""COMPUTED_VALUE"""),0.0018865740740740742)</f>
        <v>0.001886574074</v>
      </c>
      <c r="E363" s="1">
        <f>IFERROR(__xludf.DUMMYFUNCTION("""COMPUTED_VALUE"""),1.1)</f>
        <v>1.1</v>
      </c>
      <c r="F363" s="1">
        <f>IFERROR(__xludf.DUMMYFUNCTION("""COMPUTED_VALUE"""),4.85)</f>
        <v>4.85</v>
      </c>
      <c r="G363" s="5">
        <f>IFERROR(__xludf.DUMMYFUNCTION("""COMPUTED_VALUE"""),10234.0)</f>
        <v>10234</v>
      </c>
      <c r="H363" s="5">
        <f>IFERROR(__xludf.DUMMYFUNCTION("""COMPUTED_VALUE"""),2111.0)</f>
        <v>2111</v>
      </c>
    </row>
    <row r="364">
      <c r="A364" s="4">
        <f>IFERROR(__xludf.DUMMYFUNCTION("""COMPUTED_VALUE"""),42732.0)</f>
        <v>42732</v>
      </c>
      <c r="B364" s="5">
        <f>IFERROR(__xludf.DUMMYFUNCTION("""COMPUTED_VALUE"""),1819.0)</f>
        <v>1819</v>
      </c>
      <c r="C364" s="6">
        <f>IFERROR(__xludf.DUMMYFUNCTION("""COMPUTED_VALUE"""),0.3377)</f>
        <v>0.3377</v>
      </c>
      <c r="D364" s="2">
        <f>IFERROR(__xludf.DUMMYFUNCTION("""COMPUTED_VALUE"""),0.0022222222222222222)</f>
        <v>0.002222222222</v>
      </c>
      <c r="E364" s="1">
        <f>IFERROR(__xludf.DUMMYFUNCTION("""COMPUTED_VALUE"""),1.08)</f>
        <v>1.08</v>
      </c>
      <c r="F364" s="1">
        <f>IFERROR(__xludf.DUMMYFUNCTION("""COMPUTED_VALUE"""),5.91)</f>
        <v>5.91</v>
      </c>
      <c r="G364" s="5">
        <f>IFERROR(__xludf.DUMMYFUNCTION("""COMPUTED_VALUE"""),11650.0)</f>
        <v>11650</v>
      </c>
      <c r="H364" s="5">
        <f>IFERROR(__xludf.DUMMYFUNCTION("""COMPUTED_VALUE"""),1972.0)</f>
        <v>1972</v>
      </c>
    </row>
    <row r="365">
      <c r="A365" s="4">
        <f>IFERROR(__xludf.DUMMYFUNCTION("""COMPUTED_VALUE"""),42733.0)</f>
        <v>42733</v>
      </c>
      <c r="B365" s="5">
        <f>IFERROR(__xludf.DUMMYFUNCTION("""COMPUTED_VALUE"""),1652.0)</f>
        <v>1652</v>
      </c>
      <c r="C365" s="6">
        <f>IFERROR(__xludf.DUMMYFUNCTION("""COMPUTED_VALUE"""),0.4277)</f>
        <v>0.4277</v>
      </c>
      <c r="D365" s="2">
        <f>IFERROR(__xludf.DUMMYFUNCTION("""COMPUTED_VALUE"""),0.0016782407407407408)</f>
        <v>0.001678240741</v>
      </c>
      <c r="E365" s="1">
        <f>IFERROR(__xludf.DUMMYFUNCTION("""COMPUTED_VALUE"""),1.1)</f>
        <v>1.1</v>
      </c>
      <c r="F365" s="1">
        <f>IFERROR(__xludf.DUMMYFUNCTION("""COMPUTED_VALUE"""),4.47)</f>
        <v>4.47</v>
      </c>
      <c r="G365" s="5">
        <f>IFERROR(__xludf.DUMMYFUNCTION("""COMPUTED_VALUE"""),8137.0)</f>
        <v>8137</v>
      </c>
      <c r="H365" s="5">
        <f>IFERROR(__xludf.DUMMYFUNCTION("""COMPUTED_VALUE"""),1819.0)</f>
        <v>1819</v>
      </c>
    </row>
    <row r="366">
      <c r="A366" s="4">
        <f>IFERROR(__xludf.DUMMYFUNCTION("""COMPUTED_VALUE"""),42734.0)</f>
        <v>42734</v>
      </c>
      <c r="B366" s="5">
        <f>IFERROR(__xludf.DUMMYFUNCTION("""COMPUTED_VALUE"""),1180.0)</f>
        <v>1180</v>
      </c>
      <c r="C366" s="6">
        <f>IFERROR(__xludf.DUMMYFUNCTION("""COMPUTED_VALUE"""),0.4078)</f>
        <v>0.4078</v>
      </c>
      <c r="D366" s="2">
        <f>IFERROR(__xludf.DUMMYFUNCTION("""COMPUTED_VALUE"""),0.0025925925925925925)</f>
        <v>0.002592592593</v>
      </c>
      <c r="E366" s="1">
        <f>IFERROR(__xludf.DUMMYFUNCTION("""COMPUTED_VALUE"""),1.15)</f>
        <v>1.15</v>
      </c>
      <c r="F366" s="1">
        <f>IFERROR(__xludf.DUMMYFUNCTION("""COMPUTED_VALUE"""),6.29)</f>
        <v>6.29</v>
      </c>
      <c r="G366" s="5">
        <f>IFERROR(__xludf.DUMMYFUNCTION("""COMPUTED_VALUE"""),8567.0)</f>
        <v>8567</v>
      </c>
      <c r="H366" s="5">
        <f>IFERROR(__xludf.DUMMYFUNCTION("""COMPUTED_VALUE"""),1361.0)</f>
        <v>1361</v>
      </c>
    </row>
    <row r="367">
      <c r="A367" s="4">
        <f>IFERROR(__xludf.DUMMYFUNCTION("""COMPUTED_VALUE"""),42735.0)</f>
        <v>42735</v>
      </c>
      <c r="B367" s="5">
        <f>IFERROR(__xludf.DUMMYFUNCTION("""COMPUTED_VALUE"""),1236.0)</f>
        <v>1236</v>
      </c>
      <c r="C367" s="6">
        <f>IFERROR(__xludf.DUMMYFUNCTION("""COMPUTED_VALUE"""),0.4467)</f>
        <v>0.4467</v>
      </c>
      <c r="D367" s="2">
        <f>IFERROR(__xludf.DUMMYFUNCTION("""COMPUTED_VALUE"""),0.0015972222222222223)</f>
        <v>0.001597222222</v>
      </c>
      <c r="E367" s="1">
        <f>IFERROR(__xludf.DUMMYFUNCTION("""COMPUTED_VALUE"""),1.06)</f>
        <v>1.06</v>
      </c>
      <c r="F367" s="1">
        <f>IFERROR(__xludf.DUMMYFUNCTION("""COMPUTED_VALUE"""),4.11)</f>
        <v>4.11</v>
      </c>
      <c r="G367" s="5">
        <f>IFERROR(__xludf.DUMMYFUNCTION("""COMPUTED_VALUE"""),5360.0)</f>
        <v>5360</v>
      </c>
      <c r="H367" s="5">
        <f>IFERROR(__xludf.DUMMYFUNCTION("""COMPUTED_VALUE"""),1305.0)</f>
        <v>1305</v>
      </c>
    </row>
    <row r="368">
      <c r="A368" s="4">
        <f>IFERROR(__xludf.DUMMYFUNCTION("""COMPUTED_VALUE"""),42736.0)</f>
        <v>42736</v>
      </c>
      <c r="B368" s="5">
        <f>IFERROR(__xludf.DUMMYFUNCTION("""COMPUTED_VALUE"""),1347.0)</f>
        <v>1347</v>
      </c>
      <c r="C368" s="6">
        <f>IFERROR(__xludf.DUMMYFUNCTION("""COMPUTED_VALUE"""),0.5236)</f>
        <v>0.5236</v>
      </c>
      <c r="D368" s="2">
        <f>IFERROR(__xludf.DUMMYFUNCTION("""COMPUTED_VALUE"""),0.001388888888888889)</f>
        <v>0.001388888889</v>
      </c>
      <c r="E368" s="1">
        <f>IFERROR(__xludf.DUMMYFUNCTION("""COMPUTED_VALUE"""),1.1)</f>
        <v>1.1</v>
      </c>
      <c r="F368" s="1">
        <f>IFERROR(__xludf.DUMMYFUNCTION("""COMPUTED_VALUE"""),4.76)</f>
        <v>4.76</v>
      </c>
      <c r="G368" s="5">
        <f>IFERROR(__xludf.DUMMYFUNCTION("""COMPUTED_VALUE"""),7068.0)</f>
        <v>7068</v>
      </c>
      <c r="H368" s="5">
        <f>IFERROR(__xludf.DUMMYFUNCTION("""COMPUTED_VALUE"""),1486.0)</f>
        <v>1486</v>
      </c>
    </row>
    <row r="369">
      <c r="A369" s="4">
        <f>IFERROR(__xludf.DUMMYFUNCTION("""COMPUTED_VALUE"""),42737.0)</f>
        <v>42737</v>
      </c>
      <c r="B369" s="5">
        <f>IFERROR(__xludf.DUMMYFUNCTION("""COMPUTED_VALUE"""),1652.0)</f>
        <v>1652</v>
      </c>
      <c r="C369" s="6">
        <f>IFERROR(__xludf.DUMMYFUNCTION("""COMPUTED_VALUE"""),0.5122)</f>
        <v>0.5122</v>
      </c>
      <c r="D369" s="2">
        <f>IFERROR(__xludf.DUMMYFUNCTION("""COMPUTED_VALUE"""),0.0012037037037037038)</f>
        <v>0.001203703704</v>
      </c>
      <c r="E369" s="1">
        <f>IFERROR(__xludf.DUMMYFUNCTION("""COMPUTED_VALUE"""),1.07)</f>
        <v>1.07</v>
      </c>
      <c r="F369" s="1">
        <f>IFERROR(__xludf.DUMMYFUNCTION("""COMPUTED_VALUE"""),4.28)</f>
        <v>4.28</v>
      </c>
      <c r="G369" s="5">
        <f>IFERROR(__xludf.DUMMYFUNCTION("""COMPUTED_VALUE"""),7554.0)</f>
        <v>7554</v>
      </c>
      <c r="H369" s="5">
        <f>IFERROR(__xludf.DUMMYFUNCTION("""COMPUTED_VALUE"""),1763.0)</f>
        <v>1763</v>
      </c>
    </row>
    <row r="370">
      <c r="A370" s="4">
        <f>IFERROR(__xludf.DUMMYFUNCTION("""COMPUTED_VALUE"""),42738.0)</f>
        <v>42738</v>
      </c>
      <c r="B370" s="5">
        <f>IFERROR(__xludf.DUMMYFUNCTION("""COMPUTED_VALUE"""),2458.0)</f>
        <v>2458</v>
      </c>
      <c r="C370" s="6">
        <f>IFERROR(__xludf.DUMMYFUNCTION("""COMPUTED_VALUE"""),0.3638)</f>
        <v>0.3638</v>
      </c>
      <c r="D370" s="2">
        <f>IFERROR(__xludf.DUMMYFUNCTION("""COMPUTED_VALUE"""),0.0025)</f>
        <v>0.0025</v>
      </c>
      <c r="E370" s="1">
        <f>IFERROR(__xludf.DUMMYFUNCTION("""COMPUTED_VALUE"""),1.12)</f>
        <v>1.12</v>
      </c>
      <c r="F370" s="1">
        <f>IFERROR(__xludf.DUMMYFUNCTION("""COMPUTED_VALUE"""),6.08)</f>
        <v>6.08</v>
      </c>
      <c r="G370" s="5">
        <f>IFERROR(__xludf.DUMMYFUNCTION("""COMPUTED_VALUE"""),16704.0)</f>
        <v>16704</v>
      </c>
      <c r="H370" s="5">
        <f>IFERROR(__xludf.DUMMYFUNCTION("""COMPUTED_VALUE"""),2749.0)</f>
        <v>2749</v>
      </c>
    </row>
    <row r="371">
      <c r="A371" s="4">
        <f>IFERROR(__xludf.DUMMYFUNCTION("""COMPUTED_VALUE"""),42739.0)</f>
        <v>42739</v>
      </c>
      <c r="B371" s="5">
        <f>IFERROR(__xludf.DUMMYFUNCTION("""COMPUTED_VALUE"""),2361.0)</f>
        <v>2361</v>
      </c>
      <c r="C371" s="6">
        <f>IFERROR(__xludf.DUMMYFUNCTION("""COMPUTED_VALUE"""),0.3264)</f>
        <v>0.3264</v>
      </c>
      <c r="D371" s="2">
        <f>IFERROR(__xludf.DUMMYFUNCTION("""COMPUTED_VALUE"""),0.0026157407407407405)</f>
        <v>0.002615740741</v>
      </c>
      <c r="E371" s="1">
        <f>IFERROR(__xludf.DUMMYFUNCTION("""COMPUTED_VALUE"""),1.12)</f>
        <v>1.12</v>
      </c>
      <c r="F371" s="1">
        <f>IFERROR(__xludf.DUMMYFUNCTION("""COMPUTED_VALUE"""),5.8)</f>
        <v>5.8</v>
      </c>
      <c r="G371" s="5">
        <f>IFERROR(__xludf.DUMMYFUNCTION("""COMPUTED_VALUE"""),15302.0)</f>
        <v>15302</v>
      </c>
      <c r="H371" s="5">
        <f>IFERROR(__xludf.DUMMYFUNCTION("""COMPUTED_VALUE"""),2638.0)</f>
        <v>2638</v>
      </c>
    </row>
    <row r="372">
      <c r="A372" s="4">
        <f>IFERROR(__xludf.DUMMYFUNCTION("""COMPUTED_VALUE"""),42740.0)</f>
        <v>42740</v>
      </c>
      <c r="B372" s="5">
        <f>IFERROR(__xludf.DUMMYFUNCTION("""COMPUTED_VALUE"""),2291.0)</f>
        <v>2291</v>
      </c>
      <c r="C372" s="6">
        <f>IFERROR(__xludf.DUMMYFUNCTION("""COMPUTED_VALUE"""),0.339)</f>
        <v>0.339</v>
      </c>
      <c r="D372" s="2">
        <f>IFERROR(__xludf.DUMMYFUNCTION("""COMPUTED_VALUE"""),0.001851851851851852)</f>
        <v>0.001851851852</v>
      </c>
      <c r="E372" s="1">
        <f>IFERROR(__xludf.DUMMYFUNCTION("""COMPUTED_VALUE"""),1.05)</f>
        <v>1.05</v>
      </c>
      <c r="F372" s="1">
        <f>IFERROR(__xludf.DUMMYFUNCTION("""COMPUTED_VALUE"""),5.01)</f>
        <v>5.01</v>
      </c>
      <c r="G372" s="5">
        <f>IFERROR(__xludf.DUMMYFUNCTION("""COMPUTED_VALUE"""),12094.0)</f>
        <v>12094</v>
      </c>
      <c r="H372" s="5">
        <f>IFERROR(__xludf.DUMMYFUNCTION("""COMPUTED_VALUE"""),2416.0)</f>
        <v>2416</v>
      </c>
    </row>
    <row r="373">
      <c r="A373" s="4">
        <f>IFERROR(__xludf.DUMMYFUNCTION("""COMPUTED_VALUE"""),42741.0)</f>
        <v>42741</v>
      </c>
      <c r="B373" s="5">
        <f>IFERROR(__xludf.DUMMYFUNCTION("""COMPUTED_VALUE"""),2069.0)</f>
        <v>2069</v>
      </c>
      <c r="C373" s="6">
        <f>IFERROR(__xludf.DUMMYFUNCTION("""COMPUTED_VALUE"""),0.4562)</f>
        <v>0.4562</v>
      </c>
      <c r="D373" s="2">
        <f>IFERROR(__xludf.DUMMYFUNCTION("""COMPUTED_VALUE"""),0.0015972222222222223)</f>
        <v>0.001597222222</v>
      </c>
      <c r="E373" s="1">
        <f>IFERROR(__xludf.DUMMYFUNCTION("""COMPUTED_VALUE"""),1.15)</f>
        <v>1.15</v>
      </c>
      <c r="F373" s="1">
        <f>IFERROR(__xludf.DUMMYFUNCTION("""COMPUTED_VALUE"""),4.37)</f>
        <v>4.37</v>
      </c>
      <c r="G373" s="5">
        <f>IFERROR(__xludf.DUMMYFUNCTION("""COMPUTED_VALUE"""),10372.0)</f>
        <v>10372</v>
      </c>
      <c r="H373" s="5">
        <f>IFERROR(__xludf.DUMMYFUNCTION("""COMPUTED_VALUE"""),2374.0)</f>
        <v>2374</v>
      </c>
    </row>
    <row r="374">
      <c r="A374" s="4">
        <f>IFERROR(__xludf.DUMMYFUNCTION("""COMPUTED_VALUE"""),42742.0)</f>
        <v>42742</v>
      </c>
      <c r="B374" s="5">
        <f>IFERROR(__xludf.DUMMYFUNCTION("""COMPUTED_VALUE"""),1638.0)</f>
        <v>1638</v>
      </c>
      <c r="C374" s="6">
        <f>IFERROR(__xludf.DUMMYFUNCTION("""COMPUTED_VALUE"""),0.4756)</f>
        <v>0.4756</v>
      </c>
      <c r="D374" s="2">
        <f>IFERROR(__xludf.DUMMYFUNCTION("""COMPUTED_VALUE"""),0.0011689814814814816)</f>
        <v>0.001168981481</v>
      </c>
      <c r="E374" s="1">
        <f>IFERROR(__xludf.DUMMYFUNCTION("""COMPUTED_VALUE"""),1.05)</f>
        <v>1.05</v>
      </c>
      <c r="F374" s="1">
        <f>IFERROR(__xludf.DUMMYFUNCTION("""COMPUTED_VALUE"""),4.06)</f>
        <v>4.06</v>
      </c>
      <c r="G374" s="5">
        <f>IFERROR(__xludf.DUMMYFUNCTION("""COMPUTED_VALUE"""),6998.0)</f>
        <v>6998</v>
      </c>
      <c r="H374" s="5">
        <f>IFERROR(__xludf.DUMMYFUNCTION("""COMPUTED_VALUE"""),1722.0)</f>
        <v>1722</v>
      </c>
    </row>
    <row r="375">
      <c r="A375" s="4">
        <f>IFERROR(__xludf.DUMMYFUNCTION("""COMPUTED_VALUE"""),42743.0)</f>
        <v>42743</v>
      </c>
      <c r="B375" s="5">
        <f>IFERROR(__xludf.DUMMYFUNCTION("""COMPUTED_VALUE"""),1638.0)</f>
        <v>1638</v>
      </c>
      <c r="C375" s="6">
        <f>IFERROR(__xludf.DUMMYFUNCTION("""COMPUTED_VALUE"""),0.5042)</f>
        <v>0.5042</v>
      </c>
      <c r="D375" s="2">
        <f>IFERROR(__xludf.DUMMYFUNCTION("""COMPUTED_VALUE"""),0.001990740740740741)</f>
        <v>0.001990740741</v>
      </c>
      <c r="E375" s="1">
        <f>IFERROR(__xludf.DUMMYFUNCTION("""COMPUTED_VALUE"""),1.09)</f>
        <v>1.09</v>
      </c>
      <c r="F375" s="1">
        <f>IFERROR(__xludf.DUMMYFUNCTION("""COMPUTED_VALUE"""),4.86)</f>
        <v>4.86</v>
      </c>
      <c r="G375" s="5">
        <f>IFERROR(__xludf.DUMMYFUNCTION("""COMPUTED_VALUE"""),8706.0)</f>
        <v>8706</v>
      </c>
      <c r="H375" s="5">
        <f>IFERROR(__xludf.DUMMYFUNCTION("""COMPUTED_VALUE"""),1791.0)</f>
        <v>1791</v>
      </c>
    </row>
    <row r="376">
      <c r="A376" s="4">
        <f>IFERROR(__xludf.DUMMYFUNCTION("""COMPUTED_VALUE"""),42744.0)</f>
        <v>42744</v>
      </c>
      <c r="B376" s="5">
        <f>IFERROR(__xludf.DUMMYFUNCTION("""COMPUTED_VALUE"""),2236.0)</f>
        <v>2236</v>
      </c>
      <c r="C376" s="6">
        <f>IFERROR(__xludf.DUMMYFUNCTION("""COMPUTED_VALUE"""),0.4142)</f>
        <v>0.4142</v>
      </c>
      <c r="D376" s="2">
        <f>IFERROR(__xludf.DUMMYFUNCTION("""COMPUTED_VALUE"""),0.0020601851851851853)</f>
        <v>0.002060185185</v>
      </c>
      <c r="E376" s="1">
        <f>IFERROR(__xludf.DUMMYFUNCTION("""COMPUTED_VALUE"""),1.12)</f>
        <v>1.12</v>
      </c>
      <c r="F376" s="1">
        <f>IFERROR(__xludf.DUMMYFUNCTION("""COMPUTED_VALUE"""),4.45)</f>
        <v>4.45</v>
      </c>
      <c r="G376" s="5">
        <f>IFERROR(__xludf.DUMMYFUNCTION("""COMPUTED_VALUE"""),11178.0)</f>
        <v>11178</v>
      </c>
      <c r="H376" s="5">
        <f>IFERROR(__xludf.DUMMYFUNCTION("""COMPUTED_VALUE"""),2513.0)</f>
        <v>2513</v>
      </c>
    </row>
    <row r="377">
      <c r="A377" s="4">
        <f>IFERROR(__xludf.DUMMYFUNCTION("""COMPUTED_VALUE"""),42745.0)</f>
        <v>42745</v>
      </c>
      <c r="B377" s="5">
        <f>IFERROR(__xludf.DUMMYFUNCTION("""COMPUTED_VALUE"""),2208.0)</f>
        <v>2208</v>
      </c>
      <c r="C377" s="6">
        <f>IFERROR(__xludf.DUMMYFUNCTION("""COMPUTED_VALUE"""),0.4438)</f>
        <v>0.4438</v>
      </c>
      <c r="D377" s="2">
        <f>IFERROR(__xludf.DUMMYFUNCTION("""COMPUTED_VALUE"""),0.0021296296296296298)</f>
        <v>0.00212962963</v>
      </c>
      <c r="E377" s="1">
        <f>IFERROR(__xludf.DUMMYFUNCTION("""COMPUTED_VALUE"""),1.12)</f>
        <v>1.12</v>
      </c>
      <c r="F377" s="1">
        <f>IFERROR(__xludf.DUMMYFUNCTION("""COMPUTED_VALUE"""),5.99)</f>
        <v>5.99</v>
      </c>
      <c r="G377" s="5">
        <f>IFERROR(__xludf.DUMMYFUNCTION("""COMPUTED_VALUE"""),14816.0)</f>
        <v>14816</v>
      </c>
      <c r="H377" s="5">
        <f>IFERROR(__xludf.DUMMYFUNCTION("""COMPUTED_VALUE"""),2472.0)</f>
        <v>2472</v>
      </c>
    </row>
    <row r="378">
      <c r="A378" s="4">
        <f>IFERROR(__xludf.DUMMYFUNCTION("""COMPUTED_VALUE"""),42746.0)</f>
        <v>42746</v>
      </c>
      <c r="B378" s="5">
        <f>IFERROR(__xludf.DUMMYFUNCTION("""COMPUTED_VALUE"""),2194.0)</f>
        <v>2194</v>
      </c>
      <c r="C378" s="6">
        <f>IFERROR(__xludf.DUMMYFUNCTION("""COMPUTED_VALUE"""),0.5348)</f>
        <v>0.5348</v>
      </c>
      <c r="D378" s="2">
        <f>IFERROR(__xludf.DUMMYFUNCTION("""COMPUTED_VALUE"""),0.0017476851851851852)</f>
        <v>0.001747685185</v>
      </c>
      <c r="E378" s="1">
        <f>IFERROR(__xludf.DUMMYFUNCTION("""COMPUTED_VALUE"""),1.09)</f>
        <v>1.09</v>
      </c>
      <c r="F378" s="1">
        <f>IFERROR(__xludf.DUMMYFUNCTION("""COMPUTED_VALUE"""),4.48)</f>
        <v>4.48</v>
      </c>
      <c r="G378" s="5">
        <f>IFERROR(__xludf.DUMMYFUNCTION("""COMPUTED_VALUE"""),10692.0)</f>
        <v>10692</v>
      </c>
      <c r="H378" s="5">
        <f>IFERROR(__xludf.DUMMYFUNCTION("""COMPUTED_VALUE"""),2388.0)</f>
        <v>2388</v>
      </c>
    </row>
    <row r="379">
      <c r="A379" s="4">
        <f>IFERROR(__xludf.DUMMYFUNCTION("""COMPUTED_VALUE"""),42747.0)</f>
        <v>42747</v>
      </c>
      <c r="B379" s="5">
        <f>IFERROR(__xludf.DUMMYFUNCTION("""COMPUTED_VALUE"""),2124.0)</f>
        <v>2124</v>
      </c>
      <c r="C379" s="6">
        <f>IFERROR(__xludf.DUMMYFUNCTION("""COMPUTED_VALUE"""),0.4271)</f>
        <v>0.4271</v>
      </c>
      <c r="D379" s="2">
        <f>IFERROR(__xludf.DUMMYFUNCTION("""COMPUTED_VALUE"""),0.002002314814814815)</f>
        <v>0.002002314815</v>
      </c>
      <c r="E379" s="1">
        <f>IFERROR(__xludf.DUMMYFUNCTION("""COMPUTED_VALUE"""),1.12)</f>
        <v>1.12</v>
      </c>
      <c r="F379" s="1">
        <f>IFERROR(__xludf.DUMMYFUNCTION("""COMPUTED_VALUE"""),5.15)</f>
        <v>5.15</v>
      </c>
      <c r="G379" s="5">
        <f>IFERROR(__xludf.DUMMYFUNCTION("""COMPUTED_VALUE"""),12219.0)</f>
        <v>12219</v>
      </c>
      <c r="H379" s="5">
        <f>IFERROR(__xludf.DUMMYFUNCTION("""COMPUTED_VALUE"""),2374.0)</f>
        <v>2374</v>
      </c>
    </row>
    <row r="380">
      <c r="A380" s="4">
        <f>IFERROR(__xludf.DUMMYFUNCTION("""COMPUTED_VALUE"""),42748.0)</f>
        <v>42748</v>
      </c>
      <c r="B380" s="5">
        <f>IFERROR(__xludf.DUMMYFUNCTION("""COMPUTED_VALUE"""),2027.0)</f>
        <v>2027</v>
      </c>
      <c r="C380" s="6">
        <f>IFERROR(__xludf.DUMMYFUNCTION("""COMPUTED_VALUE"""),0.4116)</f>
        <v>0.4116</v>
      </c>
      <c r="D380" s="2">
        <f>IFERROR(__xludf.DUMMYFUNCTION("""COMPUTED_VALUE"""),0.0019444444444444444)</f>
        <v>0.001944444444</v>
      </c>
      <c r="E380" s="1">
        <f>IFERROR(__xludf.DUMMYFUNCTION("""COMPUTED_VALUE"""),1.08)</f>
        <v>1.08</v>
      </c>
      <c r="F380" s="1">
        <f>IFERROR(__xludf.DUMMYFUNCTION("""COMPUTED_VALUE"""),4.93)</f>
        <v>4.93</v>
      </c>
      <c r="G380" s="5">
        <f>IFERROR(__xludf.DUMMYFUNCTION("""COMPUTED_VALUE"""),10817.0)</f>
        <v>10817</v>
      </c>
      <c r="H380" s="5">
        <f>IFERROR(__xludf.DUMMYFUNCTION("""COMPUTED_VALUE"""),2194.0)</f>
        <v>2194</v>
      </c>
    </row>
    <row r="381">
      <c r="A381" s="4">
        <f>IFERROR(__xludf.DUMMYFUNCTION("""COMPUTED_VALUE"""),42749.0)</f>
        <v>42749</v>
      </c>
      <c r="B381" s="5">
        <f>IFERROR(__xludf.DUMMYFUNCTION("""COMPUTED_VALUE"""),1500.0)</f>
        <v>1500</v>
      </c>
      <c r="C381" s="6">
        <f>IFERROR(__xludf.DUMMYFUNCTION("""COMPUTED_VALUE"""),0.4408)</f>
        <v>0.4408</v>
      </c>
      <c r="D381" s="2">
        <f>IFERROR(__xludf.DUMMYFUNCTION("""COMPUTED_VALUE"""),0.0024189814814814816)</f>
        <v>0.002418981481</v>
      </c>
      <c r="E381" s="1">
        <f>IFERROR(__xludf.DUMMYFUNCTION("""COMPUTED_VALUE"""),1.09)</f>
        <v>1.09</v>
      </c>
      <c r="F381" s="1">
        <f>IFERROR(__xludf.DUMMYFUNCTION("""COMPUTED_VALUE"""),5.0)</f>
        <v>5</v>
      </c>
      <c r="G381" s="5">
        <f>IFERROR(__xludf.DUMMYFUNCTION("""COMPUTED_VALUE"""),8192.0)</f>
        <v>8192</v>
      </c>
      <c r="H381" s="5">
        <f>IFERROR(__xludf.DUMMYFUNCTION("""COMPUTED_VALUE"""),1638.0)</f>
        <v>1638</v>
      </c>
    </row>
    <row r="382">
      <c r="A382" s="4">
        <f>IFERROR(__xludf.DUMMYFUNCTION("""COMPUTED_VALUE"""),42750.0)</f>
        <v>42750</v>
      </c>
      <c r="B382" s="5">
        <f>IFERROR(__xludf.DUMMYFUNCTION("""COMPUTED_VALUE"""),1625.0)</f>
        <v>1625</v>
      </c>
      <c r="C382" s="6">
        <f>IFERROR(__xludf.DUMMYFUNCTION("""COMPUTED_VALUE"""),0.4473)</f>
        <v>0.4473</v>
      </c>
      <c r="D382" s="2">
        <f>IFERROR(__xludf.DUMMYFUNCTION("""COMPUTED_VALUE"""),0.0013541666666666667)</f>
        <v>0.001354166667</v>
      </c>
      <c r="E382" s="1">
        <f>IFERROR(__xludf.DUMMYFUNCTION("""COMPUTED_VALUE"""),1.05)</f>
        <v>1.05</v>
      </c>
      <c r="F382" s="1">
        <f>IFERROR(__xludf.DUMMYFUNCTION("""COMPUTED_VALUE"""),4.44)</f>
        <v>4.44</v>
      </c>
      <c r="G382" s="5">
        <f>IFERROR(__xludf.DUMMYFUNCTION("""COMPUTED_VALUE"""),7581.0)</f>
        <v>7581</v>
      </c>
      <c r="H382" s="5">
        <f>IFERROR(__xludf.DUMMYFUNCTION("""COMPUTED_VALUE"""),1708.0)</f>
        <v>1708</v>
      </c>
    </row>
    <row r="383">
      <c r="A383" s="4">
        <f>IFERROR(__xludf.DUMMYFUNCTION("""COMPUTED_VALUE"""),42751.0)</f>
        <v>42751</v>
      </c>
      <c r="B383" s="5">
        <f>IFERROR(__xludf.DUMMYFUNCTION("""COMPUTED_VALUE"""),1916.0)</f>
        <v>1916</v>
      </c>
      <c r="C383" s="6">
        <f>IFERROR(__xludf.DUMMYFUNCTION("""COMPUTED_VALUE"""),0.5202)</f>
        <v>0.5202</v>
      </c>
      <c r="D383" s="2">
        <f>IFERROR(__xludf.DUMMYFUNCTION("""COMPUTED_VALUE"""),0.001979166666666667)</f>
        <v>0.001979166667</v>
      </c>
      <c r="E383" s="1">
        <f>IFERROR(__xludf.DUMMYFUNCTION("""COMPUTED_VALUE"""),1.07)</f>
        <v>1.07</v>
      </c>
      <c r="F383" s="1">
        <f>IFERROR(__xludf.DUMMYFUNCTION("""COMPUTED_VALUE"""),4.33)</f>
        <v>4.33</v>
      </c>
      <c r="G383" s="5">
        <f>IFERROR(__xludf.DUMMYFUNCTION("""COMPUTED_VALUE"""),8901.0)</f>
        <v>8901</v>
      </c>
      <c r="H383" s="5">
        <f>IFERROR(__xludf.DUMMYFUNCTION("""COMPUTED_VALUE"""),2055.0)</f>
        <v>2055</v>
      </c>
    </row>
    <row r="384">
      <c r="A384" s="4">
        <f>IFERROR(__xludf.DUMMYFUNCTION("""COMPUTED_VALUE"""),42752.0)</f>
        <v>42752</v>
      </c>
      <c r="B384" s="5">
        <f>IFERROR(__xludf.DUMMYFUNCTION("""COMPUTED_VALUE"""),2402.0)</f>
        <v>2402</v>
      </c>
      <c r="C384" s="6">
        <f>IFERROR(__xludf.DUMMYFUNCTION("""COMPUTED_VALUE"""),0.4306)</f>
        <v>0.4306</v>
      </c>
      <c r="D384" s="2">
        <f>IFERROR(__xludf.DUMMYFUNCTION("""COMPUTED_VALUE"""),0.0016435185185185185)</f>
        <v>0.001643518519</v>
      </c>
      <c r="E384" s="1">
        <f>IFERROR(__xludf.DUMMYFUNCTION("""COMPUTED_VALUE"""),1.13)</f>
        <v>1.13</v>
      </c>
      <c r="F384" s="1">
        <f>IFERROR(__xludf.DUMMYFUNCTION("""COMPUTED_VALUE"""),4.07)</f>
        <v>4.07</v>
      </c>
      <c r="G384" s="5">
        <f>IFERROR(__xludf.DUMMYFUNCTION("""COMPUTED_VALUE"""),11011.0)</f>
        <v>11011</v>
      </c>
      <c r="H384" s="5">
        <f>IFERROR(__xludf.DUMMYFUNCTION("""COMPUTED_VALUE"""),2708.0)</f>
        <v>2708</v>
      </c>
    </row>
    <row r="385">
      <c r="A385" s="4">
        <f>IFERROR(__xludf.DUMMYFUNCTION("""COMPUTED_VALUE"""),42753.0)</f>
        <v>42753</v>
      </c>
      <c r="B385" s="5">
        <f>IFERROR(__xludf.DUMMYFUNCTION("""COMPUTED_VALUE"""),2208.0)</f>
        <v>2208</v>
      </c>
      <c r="C385" s="6">
        <f>IFERROR(__xludf.DUMMYFUNCTION("""COMPUTED_VALUE"""),0.4058)</f>
        <v>0.4058</v>
      </c>
      <c r="D385" s="2">
        <f>IFERROR(__xludf.DUMMYFUNCTION("""COMPUTED_VALUE"""),0.002824074074074074)</f>
        <v>0.002824074074</v>
      </c>
      <c r="E385" s="1">
        <f>IFERROR(__xludf.DUMMYFUNCTION("""COMPUTED_VALUE"""),1.13)</f>
        <v>1.13</v>
      </c>
      <c r="F385" s="1">
        <f>IFERROR(__xludf.DUMMYFUNCTION("""COMPUTED_VALUE"""),5.91)</f>
        <v>5.91</v>
      </c>
      <c r="G385" s="5">
        <f>IFERROR(__xludf.DUMMYFUNCTION("""COMPUTED_VALUE"""),14760.0)</f>
        <v>14760</v>
      </c>
      <c r="H385" s="5">
        <f>IFERROR(__xludf.DUMMYFUNCTION("""COMPUTED_VALUE"""),2499.0)</f>
        <v>2499</v>
      </c>
    </row>
    <row r="386">
      <c r="A386" s="4">
        <f>IFERROR(__xludf.DUMMYFUNCTION("""COMPUTED_VALUE"""),42754.0)</f>
        <v>42754</v>
      </c>
      <c r="B386" s="5">
        <f>IFERROR(__xludf.DUMMYFUNCTION("""COMPUTED_VALUE"""),2069.0)</f>
        <v>2069</v>
      </c>
      <c r="C386" s="6">
        <f>IFERROR(__xludf.DUMMYFUNCTION("""COMPUTED_VALUE"""),0.5185)</f>
        <v>0.5185</v>
      </c>
      <c r="D386" s="2">
        <f>IFERROR(__xludf.DUMMYFUNCTION("""COMPUTED_VALUE"""),0.001875)</f>
        <v>0.001875</v>
      </c>
      <c r="E386" s="1">
        <f>IFERROR(__xludf.DUMMYFUNCTION("""COMPUTED_VALUE"""),1.09)</f>
        <v>1.09</v>
      </c>
      <c r="F386" s="1">
        <f>IFERROR(__xludf.DUMMYFUNCTION("""COMPUTED_VALUE"""),3.49)</f>
        <v>3.49</v>
      </c>
      <c r="G386" s="5">
        <f>IFERROR(__xludf.DUMMYFUNCTION("""COMPUTED_VALUE"""),7859.0)</f>
        <v>7859</v>
      </c>
      <c r="H386" s="5">
        <f>IFERROR(__xludf.DUMMYFUNCTION("""COMPUTED_VALUE"""),2249.0)</f>
        <v>2249</v>
      </c>
    </row>
    <row r="387">
      <c r="A387" s="4">
        <f>IFERROR(__xludf.DUMMYFUNCTION("""COMPUTED_VALUE"""),42755.0)</f>
        <v>42755</v>
      </c>
      <c r="B387" s="5">
        <f>IFERROR(__xludf.DUMMYFUNCTION("""COMPUTED_VALUE"""),2111.0)</f>
        <v>2111</v>
      </c>
      <c r="C387" s="6">
        <f>IFERROR(__xludf.DUMMYFUNCTION("""COMPUTED_VALUE"""),0.433)</f>
        <v>0.433</v>
      </c>
      <c r="D387" s="2">
        <f>IFERROR(__xludf.DUMMYFUNCTION("""COMPUTED_VALUE"""),0.0028125)</f>
        <v>0.0028125</v>
      </c>
      <c r="E387" s="1">
        <f>IFERROR(__xludf.DUMMYFUNCTION("""COMPUTED_VALUE"""),1.08)</f>
        <v>1.08</v>
      </c>
      <c r="F387" s="1">
        <f>IFERROR(__xludf.DUMMYFUNCTION("""COMPUTED_VALUE"""),4.76)</f>
        <v>4.76</v>
      </c>
      <c r="G387" s="5">
        <f>IFERROR(__xludf.DUMMYFUNCTION("""COMPUTED_VALUE"""),10844.0)</f>
        <v>10844</v>
      </c>
      <c r="H387" s="5">
        <f>IFERROR(__xludf.DUMMYFUNCTION("""COMPUTED_VALUE"""),2277.0)</f>
        <v>2277</v>
      </c>
    </row>
    <row r="388">
      <c r="A388" s="4">
        <f>IFERROR(__xludf.DUMMYFUNCTION("""COMPUTED_VALUE"""),42756.0)</f>
        <v>42756</v>
      </c>
      <c r="B388" s="5">
        <f>IFERROR(__xludf.DUMMYFUNCTION("""COMPUTED_VALUE"""),1611.0)</f>
        <v>1611</v>
      </c>
      <c r="C388" s="6">
        <f>IFERROR(__xludf.DUMMYFUNCTION("""COMPUTED_VALUE"""),0.5075)</f>
        <v>0.5075</v>
      </c>
      <c r="D388" s="2">
        <f>IFERROR(__xludf.DUMMYFUNCTION("""COMPUTED_VALUE"""),0.0010300925925925926)</f>
        <v>0.001030092593</v>
      </c>
      <c r="E388" s="1">
        <f>IFERROR(__xludf.DUMMYFUNCTION("""COMPUTED_VALUE"""),1.12)</f>
        <v>1.12</v>
      </c>
      <c r="F388" s="1">
        <f>IFERROR(__xludf.DUMMYFUNCTION("""COMPUTED_VALUE"""),3.05)</f>
        <v>3.05</v>
      </c>
      <c r="G388" s="5">
        <f>IFERROR(__xludf.DUMMYFUNCTION("""COMPUTED_VALUE"""),5499.0)</f>
        <v>5499</v>
      </c>
      <c r="H388" s="5">
        <f>IFERROR(__xludf.DUMMYFUNCTION("""COMPUTED_VALUE"""),1805.0)</f>
        <v>1805</v>
      </c>
    </row>
    <row r="389">
      <c r="A389" s="4">
        <f>IFERROR(__xludf.DUMMYFUNCTION("""COMPUTED_VALUE"""),42757.0)</f>
        <v>42757</v>
      </c>
      <c r="B389" s="5">
        <f>IFERROR(__xludf.DUMMYFUNCTION("""COMPUTED_VALUE"""),1611.0)</f>
        <v>1611</v>
      </c>
      <c r="C389" s="6">
        <f>IFERROR(__xludf.DUMMYFUNCTION("""COMPUTED_VALUE"""),0.4627)</f>
        <v>0.4627</v>
      </c>
      <c r="D389" s="2">
        <f>IFERROR(__xludf.DUMMYFUNCTION("""COMPUTED_VALUE"""),0.002638888888888889)</f>
        <v>0.002638888889</v>
      </c>
      <c r="E389" s="1">
        <f>IFERROR(__xludf.DUMMYFUNCTION("""COMPUTED_VALUE"""),1.16)</f>
        <v>1.16</v>
      </c>
      <c r="F389" s="1">
        <f>IFERROR(__xludf.DUMMYFUNCTION("""COMPUTED_VALUE"""),4.33)</f>
        <v>4.33</v>
      </c>
      <c r="G389" s="5">
        <f>IFERROR(__xludf.DUMMYFUNCTION("""COMPUTED_VALUE"""),8054.0)</f>
        <v>8054</v>
      </c>
      <c r="H389" s="5">
        <f>IFERROR(__xludf.DUMMYFUNCTION("""COMPUTED_VALUE"""),1861.0)</f>
        <v>1861</v>
      </c>
    </row>
    <row r="390">
      <c r="A390" s="4">
        <f>IFERROR(__xludf.DUMMYFUNCTION("""COMPUTED_VALUE"""),42758.0)</f>
        <v>42758</v>
      </c>
      <c r="B390" s="5">
        <f>IFERROR(__xludf.DUMMYFUNCTION("""COMPUTED_VALUE"""),2180.0)</f>
        <v>2180</v>
      </c>
      <c r="C390" s="6">
        <f>IFERROR(__xludf.DUMMYFUNCTION("""COMPUTED_VALUE"""),0.4887)</f>
        <v>0.4887</v>
      </c>
      <c r="D390" s="2">
        <f>IFERROR(__xludf.DUMMYFUNCTION("""COMPUTED_VALUE"""),0.002199074074074074)</f>
        <v>0.002199074074</v>
      </c>
      <c r="E390" s="1">
        <f>IFERROR(__xludf.DUMMYFUNCTION("""COMPUTED_VALUE"""),1.13)</f>
        <v>1.13</v>
      </c>
      <c r="F390" s="1">
        <f>IFERROR(__xludf.DUMMYFUNCTION("""COMPUTED_VALUE"""),4.71)</f>
        <v>4.71</v>
      </c>
      <c r="G390" s="5">
        <f>IFERROR(__xludf.DUMMYFUNCTION("""COMPUTED_VALUE"""),11636.0)</f>
        <v>11636</v>
      </c>
      <c r="H390" s="5">
        <f>IFERROR(__xludf.DUMMYFUNCTION("""COMPUTED_VALUE"""),2472.0)</f>
        <v>2472</v>
      </c>
    </row>
    <row r="391">
      <c r="A391" s="4">
        <f>IFERROR(__xludf.DUMMYFUNCTION("""COMPUTED_VALUE"""),42759.0)</f>
        <v>42759</v>
      </c>
      <c r="B391" s="5">
        <f>IFERROR(__xludf.DUMMYFUNCTION("""COMPUTED_VALUE"""),3707.0)</f>
        <v>3707</v>
      </c>
      <c r="C391" s="6">
        <f>IFERROR(__xludf.DUMMYFUNCTION("""COMPUTED_VALUE"""),0.4604)</f>
        <v>0.4604</v>
      </c>
      <c r="D391" s="2">
        <f>IFERROR(__xludf.DUMMYFUNCTION("""COMPUTED_VALUE"""),0.0014583333333333334)</f>
        <v>0.001458333333</v>
      </c>
      <c r="E391" s="1">
        <f>IFERROR(__xludf.DUMMYFUNCTION("""COMPUTED_VALUE"""),1.04)</f>
        <v>1.04</v>
      </c>
      <c r="F391" s="1">
        <f>IFERROR(__xludf.DUMMYFUNCTION("""COMPUTED_VALUE"""),3.91)</f>
        <v>3.91</v>
      </c>
      <c r="G391" s="5">
        <f>IFERROR(__xludf.DUMMYFUNCTION("""COMPUTED_VALUE"""),15080.0)</f>
        <v>15080</v>
      </c>
      <c r="H391" s="5">
        <f>IFERROR(__xludf.DUMMYFUNCTION("""COMPUTED_VALUE"""),3860.0)</f>
        <v>3860</v>
      </c>
    </row>
    <row r="392">
      <c r="A392" s="4">
        <f>IFERROR(__xludf.DUMMYFUNCTION("""COMPUTED_VALUE"""),42760.0)</f>
        <v>42760</v>
      </c>
      <c r="B392" s="5">
        <f>IFERROR(__xludf.DUMMYFUNCTION("""COMPUTED_VALUE"""),2888.0)</f>
        <v>2888</v>
      </c>
      <c r="C392" s="6">
        <f>IFERROR(__xludf.DUMMYFUNCTION("""COMPUTED_VALUE"""),0.4609)</f>
        <v>0.4609</v>
      </c>
      <c r="D392" s="2">
        <f>IFERROR(__xludf.DUMMYFUNCTION("""COMPUTED_VALUE"""),0.0016782407407407408)</f>
        <v>0.001678240741</v>
      </c>
      <c r="E392" s="1">
        <f>IFERROR(__xludf.DUMMYFUNCTION("""COMPUTED_VALUE"""),1.11)</f>
        <v>1.11</v>
      </c>
      <c r="F392" s="1">
        <f>IFERROR(__xludf.DUMMYFUNCTION("""COMPUTED_VALUE"""),4.99)</f>
        <v>4.99</v>
      </c>
      <c r="G392" s="5">
        <f>IFERROR(__xludf.DUMMYFUNCTION("""COMPUTED_VALUE"""),15927.0)</f>
        <v>15927</v>
      </c>
      <c r="H392" s="5">
        <f>IFERROR(__xludf.DUMMYFUNCTION("""COMPUTED_VALUE"""),3194.0)</f>
        <v>3194</v>
      </c>
    </row>
    <row r="393">
      <c r="A393" s="4">
        <f>IFERROR(__xludf.DUMMYFUNCTION("""COMPUTED_VALUE"""),42761.0)</f>
        <v>42761</v>
      </c>
      <c r="B393" s="5">
        <f>IFERROR(__xludf.DUMMYFUNCTION("""COMPUTED_VALUE"""),2194.0)</f>
        <v>2194</v>
      </c>
      <c r="C393" s="6">
        <f>IFERROR(__xludf.DUMMYFUNCTION("""COMPUTED_VALUE"""),0.4826)</f>
        <v>0.4826</v>
      </c>
      <c r="D393" s="2">
        <f>IFERROR(__xludf.DUMMYFUNCTION("""COMPUTED_VALUE"""),0.002951388888888889)</f>
        <v>0.002951388889</v>
      </c>
      <c r="E393" s="1">
        <f>IFERROR(__xludf.DUMMYFUNCTION("""COMPUTED_VALUE"""),1.1)</f>
        <v>1.1</v>
      </c>
      <c r="F393" s="1">
        <f>IFERROR(__xludf.DUMMYFUNCTION("""COMPUTED_VALUE"""),6.74)</f>
        <v>6.74</v>
      </c>
      <c r="G393" s="5">
        <f>IFERROR(__xludf.DUMMYFUNCTION("""COMPUTED_VALUE"""),16288.0)</f>
        <v>16288</v>
      </c>
      <c r="H393" s="5">
        <f>IFERROR(__xludf.DUMMYFUNCTION("""COMPUTED_VALUE"""),2416.0)</f>
        <v>2416</v>
      </c>
    </row>
    <row r="394">
      <c r="A394" s="4">
        <f>IFERROR(__xludf.DUMMYFUNCTION("""COMPUTED_VALUE"""),42762.0)</f>
        <v>42762</v>
      </c>
      <c r="B394" s="5">
        <f>IFERROR(__xludf.DUMMYFUNCTION("""COMPUTED_VALUE"""),1986.0)</f>
        <v>1986</v>
      </c>
      <c r="C394" s="6">
        <f>IFERROR(__xludf.DUMMYFUNCTION("""COMPUTED_VALUE"""),0.4967)</f>
        <v>0.4967</v>
      </c>
      <c r="D394" s="2">
        <f>IFERROR(__xludf.DUMMYFUNCTION("""COMPUTED_VALUE"""),0.0016203703703703703)</f>
        <v>0.00162037037</v>
      </c>
      <c r="E394" s="1">
        <f>IFERROR(__xludf.DUMMYFUNCTION("""COMPUTED_VALUE"""),1.08)</f>
        <v>1.08</v>
      </c>
      <c r="F394" s="1">
        <f>IFERROR(__xludf.DUMMYFUNCTION("""COMPUTED_VALUE"""),4.47)</f>
        <v>4.47</v>
      </c>
      <c r="G394" s="5">
        <f>IFERROR(__xludf.DUMMYFUNCTION("""COMPUTED_VALUE"""),9609.0)</f>
        <v>9609</v>
      </c>
      <c r="H394" s="5">
        <f>IFERROR(__xludf.DUMMYFUNCTION("""COMPUTED_VALUE"""),2152.0)</f>
        <v>2152</v>
      </c>
    </row>
    <row r="395">
      <c r="A395" s="4">
        <f>IFERROR(__xludf.DUMMYFUNCTION("""COMPUTED_VALUE"""),42763.0)</f>
        <v>42763</v>
      </c>
      <c r="B395" s="5">
        <f>IFERROR(__xludf.DUMMYFUNCTION("""COMPUTED_VALUE"""),1583.0)</f>
        <v>1583</v>
      </c>
      <c r="C395" s="6">
        <f>IFERROR(__xludf.DUMMYFUNCTION("""COMPUTED_VALUE"""),0.4446)</f>
        <v>0.4446</v>
      </c>
      <c r="D395" s="2">
        <f>IFERROR(__xludf.DUMMYFUNCTION("""COMPUTED_VALUE"""),0.001585648148148148)</f>
        <v>0.001585648148</v>
      </c>
      <c r="E395" s="1">
        <f>IFERROR(__xludf.DUMMYFUNCTION("""COMPUTED_VALUE"""),1.11)</f>
        <v>1.11</v>
      </c>
      <c r="F395" s="1">
        <f>IFERROR(__xludf.DUMMYFUNCTION("""COMPUTED_VALUE"""),3.94)</f>
        <v>3.94</v>
      </c>
      <c r="G395" s="5">
        <f>IFERROR(__xludf.DUMMYFUNCTION("""COMPUTED_VALUE"""),6887.0)</f>
        <v>6887</v>
      </c>
      <c r="H395" s="5">
        <f>IFERROR(__xludf.DUMMYFUNCTION("""COMPUTED_VALUE"""),1750.0)</f>
        <v>1750</v>
      </c>
    </row>
    <row r="396">
      <c r="A396" s="4">
        <f>IFERROR(__xludf.DUMMYFUNCTION("""COMPUTED_VALUE"""),42764.0)</f>
        <v>42764</v>
      </c>
      <c r="B396" s="5">
        <f>IFERROR(__xludf.DUMMYFUNCTION("""COMPUTED_VALUE"""),1791.0)</f>
        <v>1791</v>
      </c>
      <c r="C396" s="6">
        <f>IFERROR(__xludf.DUMMYFUNCTION("""COMPUTED_VALUE"""),0.5492)</f>
        <v>0.5492</v>
      </c>
      <c r="D396" s="2">
        <f>IFERROR(__xludf.DUMMYFUNCTION("""COMPUTED_VALUE"""),0.001574074074074074)</f>
        <v>0.001574074074</v>
      </c>
      <c r="E396" s="1">
        <f>IFERROR(__xludf.DUMMYFUNCTION("""COMPUTED_VALUE"""),1.1)</f>
        <v>1.1</v>
      </c>
      <c r="F396" s="1">
        <f>IFERROR(__xludf.DUMMYFUNCTION("""COMPUTED_VALUE"""),3.75)</f>
        <v>3.75</v>
      </c>
      <c r="G396" s="5">
        <f>IFERROR(__xludf.DUMMYFUNCTION("""COMPUTED_VALUE"""),7387.0)</f>
        <v>7387</v>
      </c>
      <c r="H396" s="5">
        <f>IFERROR(__xludf.DUMMYFUNCTION("""COMPUTED_VALUE"""),1972.0)</f>
        <v>1972</v>
      </c>
    </row>
    <row r="397">
      <c r="A397" s="4">
        <f>IFERROR(__xludf.DUMMYFUNCTION("""COMPUTED_VALUE"""),42765.0)</f>
        <v>42765</v>
      </c>
      <c r="B397" s="5">
        <f>IFERROR(__xludf.DUMMYFUNCTION("""COMPUTED_VALUE"""),2361.0)</f>
        <v>2361</v>
      </c>
      <c r="C397" s="6">
        <f>IFERROR(__xludf.DUMMYFUNCTION("""COMPUTED_VALUE"""),0.5)</f>
        <v>0.5</v>
      </c>
      <c r="D397" s="2">
        <f>IFERROR(__xludf.DUMMYFUNCTION("""COMPUTED_VALUE"""),0.002534722222222222)</f>
        <v>0.002534722222</v>
      </c>
      <c r="E397" s="1">
        <f>IFERROR(__xludf.DUMMYFUNCTION("""COMPUTED_VALUE"""),1.13)</f>
        <v>1.13</v>
      </c>
      <c r="F397" s="1">
        <f>IFERROR(__xludf.DUMMYFUNCTION("""COMPUTED_VALUE"""),5.88)</f>
        <v>5.88</v>
      </c>
      <c r="G397" s="5">
        <f>IFERROR(__xludf.DUMMYFUNCTION("""COMPUTED_VALUE"""),15677.0)</f>
        <v>15677</v>
      </c>
      <c r="H397" s="5">
        <f>IFERROR(__xludf.DUMMYFUNCTION("""COMPUTED_VALUE"""),2666.0)</f>
        <v>2666</v>
      </c>
    </row>
    <row r="398">
      <c r="A398" s="4">
        <f>IFERROR(__xludf.DUMMYFUNCTION("""COMPUTED_VALUE"""),42766.0)</f>
        <v>42766</v>
      </c>
      <c r="B398" s="5">
        <f>IFERROR(__xludf.DUMMYFUNCTION("""COMPUTED_VALUE"""),2166.0)</f>
        <v>2166</v>
      </c>
      <c r="C398" s="6">
        <f>IFERROR(__xludf.DUMMYFUNCTION("""COMPUTED_VALUE"""),0.5225)</f>
        <v>0.5225</v>
      </c>
      <c r="D398" s="2">
        <f>IFERROR(__xludf.DUMMYFUNCTION("""COMPUTED_VALUE"""),0.0021527777777777778)</f>
        <v>0.002152777778</v>
      </c>
      <c r="E398" s="1">
        <f>IFERROR(__xludf.DUMMYFUNCTION("""COMPUTED_VALUE"""),1.13)</f>
        <v>1.13</v>
      </c>
      <c r="F398" s="1">
        <f>IFERROR(__xludf.DUMMYFUNCTION("""COMPUTED_VALUE"""),4.6)</f>
        <v>4.6</v>
      </c>
      <c r="G398" s="5">
        <f>IFERROR(__xludf.DUMMYFUNCTION("""COMPUTED_VALUE"""),11247.0)</f>
        <v>11247</v>
      </c>
      <c r="H398" s="5">
        <f>IFERROR(__xludf.DUMMYFUNCTION("""COMPUTED_VALUE"""),2444.0)</f>
        <v>2444</v>
      </c>
    </row>
    <row r="399">
      <c r="A399" s="4">
        <f>IFERROR(__xludf.DUMMYFUNCTION("""COMPUTED_VALUE"""),42767.0)</f>
        <v>42767</v>
      </c>
      <c r="B399" s="5">
        <f>IFERROR(__xludf.DUMMYFUNCTION("""COMPUTED_VALUE"""),2458.0)</f>
        <v>2458</v>
      </c>
      <c r="C399" s="6">
        <f>IFERROR(__xludf.DUMMYFUNCTION("""COMPUTED_VALUE"""),0.5105)</f>
        <v>0.5105</v>
      </c>
      <c r="D399" s="2">
        <f>IFERROR(__xludf.DUMMYFUNCTION("""COMPUTED_VALUE"""),0.0013194444444444445)</f>
        <v>0.001319444444</v>
      </c>
      <c r="E399" s="1">
        <f>IFERROR(__xludf.DUMMYFUNCTION("""COMPUTED_VALUE"""),1.08)</f>
        <v>1.08</v>
      </c>
      <c r="F399" s="1">
        <f>IFERROR(__xludf.DUMMYFUNCTION("""COMPUTED_VALUE"""),3.53)</f>
        <v>3.53</v>
      </c>
      <c r="G399" s="5">
        <f>IFERROR(__xludf.DUMMYFUNCTION("""COMPUTED_VALUE"""),9400.0)</f>
        <v>9400</v>
      </c>
      <c r="H399" s="5">
        <f>IFERROR(__xludf.DUMMYFUNCTION("""COMPUTED_VALUE"""),2666.0)</f>
        <v>2666</v>
      </c>
    </row>
    <row r="400">
      <c r="A400" s="4">
        <f>IFERROR(__xludf.DUMMYFUNCTION("""COMPUTED_VALUE"""),42768.0)</f>
        <v>42768</v>
      </c>
      <c r="B400" s="5">
        <f>IFERROR(__xludf.DUMMYFUNCTION("""COMPUTED_VALUE"""),2347.0)</f>
        <v>2347</v>
      </c>
      <c r="C400" s="6">
        <f>IFERROR(__xludf.DUMMYFUNCTION("""COMPUTED_VALUE"""),0.5699)</f>
        <v>0.5699</v>
      </c>
      <c r="D400" s="2">
        <f>IFERROR(__xludf.DUMMYFUNCTION("""COMPUTED_VALUE"""),0.0016782407407407408)</f>
        <v>0.001678240741</v>
      </c>
      <c r="E400" s="1">
        <f>IFERROR(__xludf.DUMMYFUNCTION("""COMPUTED_VALUE"""),1.1)</f>
        <v>1.1</v>
      </c>
      <c r="F400" s="1">
        <f>IFERROR(__xludf.DUMMYFUNCTION("""COMPUTED_VALUE"""),4.01)</f>
        <v>4.01</v>
      </c>
      <c r="G400" s="5">
        <f>IFERROR(__xludf.DUMMYFUNCTION("""COMPUTED_VALUE"""),10345.0)</f>
        <v>10345</v>
      </c>
      <c r="H400" s="5">
        <f>IFERROR(__xludf.DUMMYFUNCTION("""COMPUTED_VALUE"""),2583.0)</f>
        <v>2583</v>
      </c>
    </row>
    <row r="401">
      <c r="A401" s="4">
        <f>IFERROR(__xludf.DUMMYFUNCTION("""COMPUTED_VALUE"""),42769.0)</f>
        <v>42769</v>
      </c>
      <c r="B401" s="5">
        <f>IFERROR(__xludf.DUMMYFUNCTION("""COMPUTED_VALUE"""),2152.0)</f>
        <v>2152</v>
      </c>
      <c r="C401" s="6">
        <f>IFERROR(__xludf.DUMMYFUNCTION("""COMPUTED_VALUE"""),0.5646)</f>
        <v>0.5646</v>
      </c>
      <c r="D401" s="2">
        <f>IFERROR(__xludf.DUMMYFUNCTION("""COMPUTED_VALUE"""),0.0016203703703703703)</f>
        <v>0.00162037037</v>
      </c>
      <c r="E401" s="1">
        <f>IFERROR(__xludf.DUMMYFUNCTION("""COMPUTED_VALUE"""),1.1)</f>
        <v>1.1</v>
      </c>
      <c r="F401" s="1">
        <f>IFERROR(__xludf.DUMMYFUNCTION("""COMPUTED_VALUE"""),3.79)</f>
        <v>3.79</v>
      </c>
      <c r="G401" s="5">
        <f>IFERROR(__xludf.DUMMYFUNCTION("""COMPUTED_VALUE"""),8942.0)</f>
        <v>8942</v>
      </c>
      <c r="H401" s="5">
        <f>IFERROR(__xludf.DUMMYFUNCTION("""COMPUTED_VALUE"""),2361.0)</f>
        <v>2361</v>
      </c>
    </row>
    <row r="402">
      <c r="A402" s="4">
        <f>IFERROR(__xludf.DUMMYFUNCTION("""COMPUTED_VALUE"""),42770.0)</f>
        <v>42770</v>
      </c>
      <c r="B402" s="5">
        <f>IFERROR(__xludf.DUMMYFUNCTION("""COMPUTED_VALUE"""),1514.0)</f>
        <v>1514</v>
      </c>
      <c r="C402" s="6">
        <f>IFERROR(__xludf.DUMMYFUNCTION("""COMPUTED_VALUE"""),0.4593)</f>
        <v>0.4593</v>
      </c>
      <c r="D402" s="2">
        <f>IFERROR(__xludf.DUMMYFUNCTION("""COMPUTED_VALUE"""),0.0022800925925925927)</f>
        <v>0.002280092593</v>
      </c>
      <c r="E402" s="1">
        <f>IFERROR(__xludf.DUMMYFUNCTION("""COMPUTED_VALUE"""),1.12)</f>
        <v>1.12</v>
      </c>
      <c r="F402" s="1">
        <f>IFERROR(__xludf.DUMMYFUNCTION("""COMPUTED_VALUE"""),4.23)</f>
        <v>4.23</v>
      </c>
      <c r="G402" s="5">
        <f>IFERROR(__xludf.DUMMYFUNCTION("""COMPUTED_VALUE"""),7165.0)</f>
        <v>7165</v>
      </c>
      <c r="H402" s="5">
        <f>IFERROR(__xludf.DUMMYFUNCTION("""COMPUTED_VALUE"""),1694.0)</f>
        <v>1694</v>
      </c>
    </row>
    <row r="403">
      <c r="A403" s="4">
        <f>IFERROR(__xludf.DUMMYFUNCTION("""COMPUTED_VALUE"""),42771.0)</f>
        <v>42771</v>
      </c>
      <c r="B403" s="5">
        <f>IFERROR(__xludf.DUMMYFUNCTION("""COMPUTED_VALUE"""),1458.0)</f>
        <v>1458</v>
      </c>
      <c r="C403" s="6">
        <f>IFERROR(__xludf.DUMMYFUNCTION("""COMPUTED_VALUE"""),0.5714)</f>
        <v>0.5714</v>
      </c>
      <c r="D403" s="2">
        <f>IFERROR(__xludf.DUMMYFUNCTION("""COMPUTED_VALUE"""),0.0015162037037037036)</f>
        <v>0.001516203704</v>
      </c>
      <c r="E403" s="1">
        <f>IFERROR(__xludf.DUMMYFUNCTION("""COMPUTED_VALUE"""),1.13)</f>
        <v>1.13</v>
      </c>
      <c r="F403" s="1">
        <f>IFERROR(__xludf.DUMMYFUNCTION("""COMPUTED_VALUE"""),4.2)</f>
        <v>4.2</v>
      </c>
      <c r="G403" s="5">
        <f>IFERROR(__xludf.DUMMYFUNCTION("""COMPUTED_VALUE"""),6943.0)</f>
        <v>6943</v>
      </c>
      <c r="H403" s="5">
        <f>IFERROR(__xludf.DUMMYFUNCTION("""COMPUTED_VALUE"""),1652.0)</f>
        <v>1652</v>
      </c>
    </row>
    <row r="404">
      <c r="A404" s="4">
        <f>IFERROR(__xludf.DUMMYFUNCTION("""COMPUTED_VALUE"""),42772.0)</f>
        <v>42772</v>
      </c>
      <c r="B404" s="5">
        <f>IFERROR(__xludf.DUMMYFUNCTION("""COMPUTED_VALUE"""),2347.0)</f>
        <v>2347</v>
      </c>
      <c r="C404" s="6">
        <f>IFERROR(__xludf.DUMMYFUNCTION("""COMPUTED_VALUE"""),0.5109)</f>
        <v>0.5109</v>
      </c>
      <c r="D404" s="2">
        <f>IFERROR(__xludf.DUMMYFUNCTION("""COMPUTED_VALUE"""),0.001724537037037037)</f>
        <v>0.001724537037</v>
      </c>
      <c r="E404" s="1">
        <f>IFERROR(__xludf.DUMMYFUNCTION("""COMPUTED_VALUE"""),1.08)</f>
        <v>1.08</v>
      </c>
      <c r="F404" s="1">
        <f>IFERROR(__xludf.DUMMYFUNCTION("""COMPUTED_VALUE"""),4.68)</f>
        <v>4.68</v>
      </c>
      <c r="G404" s="5">
        <f>IFERROR(__xludf.DUMMYFUNCTION("""COMPUTED_VALUE"""),11816.0)</f>
        <v>11816</v>
      </c>
      <c r="H404" s="5">
        <f>IFERROR(__xludf.DUMMYFUNCTION("""COMPUTED_VALUE"""),2527.0)</f>
        <v>2527</v>
      </c>
    </row>
    <row r="405">
      <c r="A405" s="4">
        <f>IFERROR(__xludf.DUMMYFUNCTION("""COMPUTED_VALUE"""),42773.0)</f>
        <v>42773</v>
      </c>
      <c r="B405" s="5">
        <f>IFERROR(__xludf.DUMMYFUNCTION("""COMPUTED_VALUE"""),2402.0)</f>
        <v>2402</v>
      </c>
      <c r="C405" s="6">
        <f>IFERROR(__xludf.DUMMYFUNCTION("""COMPUTED_VALUE"""),0.5)</f>
        <v>0.5</v>
      </c>
      <c r="D405" s="2">
        <f>IFERROR(__xludf.DUMMYFUNCTION("""COMPUTED_VALUE"""),0.0013310185185185185)</f>
        <v>0.001331018519</v>
      </c>
      <c r="E405" s="1">
        <f>IFERROR(__xludf.DUMMYFUNCTION("""COMPUTED_VALUE"""),1.11)</f>
        <v>1.11</v>
      </c>
      <c r="F405" s="1">
        <f>IFERROR(__xludf.DUMMYFUNCTION("""COMPUTED_VALUE"""),3.64)</f>
        <v>3.64</v>
      </c>
      <c r="G405" s="5">
        <f>IFERROR(__xludf.DUMMYFUNCTION("""COMPUTED_VALUE"""),9692.0)</f>
        <v>9692</v>
      </c>
      <c r="H405" s="5">
        <f>IFERROR(__xludf.DUMMYFUNCTION("""COMPUTED_VALUE"""),2666.0)</f>
        <v>2666</v>
      </c>
    </row>
    <row r="406">
      <c r="A406" s="4">
        <f>IFERROR(__xludf.DUMMYFUNCTION("""COMPUTED_VALUE"""),42774.0)</f>
        <v>42774</v>
      </c>
      <c r="B406" s="5">
        <f>IFERROR(__xludf.DUMMYFUNCTION("""COMPUTED_VALUE"""),2555.0)</f>
        <v>2555</v>
      </c>
      <c r="C406" s="6">
        <f>IFERROR(__xludf.DUMMYFUNCTION("""COMPUTED_VALUE"""),0.48)</f>
        <v>0.48</v>
      </c>
      <c r="D406" s="2">
        <f>IFERROR(__xludf.DUMMYFUNCTION("""COMPUTED_VALUE"""),0.001412037037037037)</f>
        <v>0.001412037037</v>
      </c>
      <c r="E406" s="1">
        <f>IFERROR(__xludf.DUMMYFUNCTION("""COMPUTED_VALUE"""),1.09)</f>
        <v>1.09</v>
      </c>
      <c r="F406" s="1">
        <f>IFERROR(__xludf.DUMMYFUNCTION("""COMPUTED_VALUE"""),4.17)</f>
        <v>4.17</v>
      </c>
      <c r="G406" s="5">
        <f>IFERROR(__xludf.DUMMYFUNCTION("""COMPUTED_VALUE"""),11580.0)</f>
        <v>11580</v>
      </c>
      <c r="H406" s="5">
        <f>IFERROR(__xludf.DUMMYFUNCTION("""COMPUTED_VALUE"""),2777.0)</f>
        <v>2777</v>
      </c>
    </row>
    <row r="407">
      <c r="A407" s="4">
        <f>IFERROR(__xludf.DUMMYFUNCTION("""COMPUTED_VALUE"""),42775.0)</f>
        <v>42775</v>
      </c>
      <c r="B407" s="5">
        <f>IFERROR(__xludf.DUMMYFUNCTION("""COMPUTED_VALUE"""),2610.0)</f>
        <v>2610</v>
      </c>
      <c r="C407" s="6">
        <f>IFERROR(__xludf.DUMMYFUNCTION("""COMPUTED_VALUE"""),0.517)</f>
        <v>0.517</v>
      </c>
      <c r="D407" s="2">
        <f>IFERROR(__xludf.DUMMYFUNCTION("""COMPUTED_VALUE"""),0.0016550925925925926)</f>
        <v>0.001655092593</v>
      </c>
      <c r="E407" s="1">
        <f>IFERROR(__xludf.DUMMYFUNCTION("""COMPUTED_VALUE"""),1.1)</f>
        <v>1.1</v>
      </c>
      <c r="F407" s="1">
        <f>IFERROR(__xludf.DUMMYFUNCTION("""COMPUTED_VALUE"""),4.34)</f>
        <v>4.34</v>
      </c>
      <c r="G407" s="5">
        <f>IFERROR(__xludf.DUMMYFUNCTION("""COMPUTED_VALUE"""),12483.0)</f>
        <v>12483</v>
      </c>
      <c r="H407" s="5">
        <f>IFERROR(__xludf.DUMMYFUNCTION("""COMPUTED_VALUE"""),2874.0)</f>
        <v>2874</v>
      </c>
    </row>
    <row r="408">
      <c r="A408" s="4">
        <f>IFERROR(__xludf.DUMMYFUNCTION("""COMPUTED_VALUE"""),42776.0)</f>
        <v>42776</v>
      </c>
      <c r="B408" s="5">
        <f>IFERROR(__xludf.DUMMYFUNCTION("""COMPUTED_VALUE"""),2236.0)</f>
        <v>2236</v>
      </c>
      <c r="C408" s="6">
        <f>IFERROR(__xludf.DUMMYFUNCTION("""COMPUTED_VALUE"""),0.5206)</f>
        <v>0.5206</v>
      </c>
      <c r="D408" s="2">
        <f>IFERROR(__xludf.DUMMYFUNCTION("""COMPUTED_VALUE"""),0.0016782407407407408)</f>
        <v>0.001678240741</v>
      </c>
      <c r="E408" s="1">
        <f>IFERROR(__xludf.DUMMYFUNCTION("""COMPUTED_VALUE"""),1.06)</f>
        <v>1.06</v>
      </c>
      <c r="F408" s="1">
        <f>IFERROR(__xludf.DUMMYFUNCTION("""COMPUTED_VALUE"""),3.95)</f>
        <v>3.95</v>
      </c>
      <c r="G408" s="5">
        <f>IFERROR(__xludf.DUMMYFUNCTION("""COMPUTED_VALUE"""),9387.0)</f>
        <v>9387</v>
      </c>
      <c r="H408" s="5">
        <f>IFERROR(__xludf.DUMMYFUNCTION("""COMPUTED_VALUE"""),2374.0)</f>
        <v>2374</v>
      </c>
    </row>
    <row r="409">
      <c r="A409" s="4">
        <f>IFERROR(__xludf.DUMMYFUNCTION("""COMPUTED_VALUE"""),42777.0)</f>
        <v>42777</v>
      </c>
      <c r="B409" s="5">
        <f>IFERROR(__xludf.DUMMYFUNCTION("""COMPUTED_VALUE"""),1722.0)</f>
        <v>1722</v>
      </c>
      <c r="C409" s="6">
        <f>IFERROR(__xludf.DUMMYFUNCTION("""COMPUTED_VALUE"""),0.5408)</f>
        <v>0.5408</v>
      </c>
      <c r="D409" s="2">
        <f>IFERROR(__xludf.DUMMYFUNCTION("""COMPUTED_VALUE"""),0.0014467592592592592)</f>
        <v>0.001446759259</v>
      </c>
      <c r="E409" s="1">
        <f>IFERROR(__xludf.DUMMYFUNCTION("""COMPUTED_VALUE"""),1.09)</f>
        <v>1.09</v>
      </c>
      <c r="F409" s="1">
        <f>IFERROR(__xludf.DUMMYFUNCTION("""COMPUTED_VALUE"""),3.62)</f>
        <v>3.62</v>
      </c>
      <c r="G409" s="5">
        <f>IFERROR(__xludf.DUMMYFUNCTION("""COMPUTED_VALUE"""),6790.0)</f>
        <v>6790</v>
      </c>
      <c r="H409" s="5">
        <f>IFERROR(__xludf.DUMMYFUNCTION("""COMPUTED_VALUE"""),1875.0)</f>
        <v>1875</v>
      </c>
    </row>
    <row r="410">
      <c r="A410" s="4">
        <f>IFERROR(__xludf.DUMMYFUNCTION("""COMPUTED_VALUE"""),42778.0)</f>
        <v>42778</v>
      </c>
      <c r="B410" s="5">
        <f>IFERROR(__xludf.DUMMYFUNCTION("""COMPUTED_VALUE"""),1791.0)</f>
        <v>1791</v>
      </c>
      <c r="C410" s="6">
        <f>IFERROR(__xludf.DUMMYFUNCTION("""COMPUTED_VALUE"""),0.5146)</f>
        <v>0.5146</v>
      </c>
      <c r="D410" s="2">
        <f>IFERROR(__xludf.DUMMYFUNCTION("""COMPUTED_VALUE"""),0.0011921296296296296)</f>
        <v>0.00119212963</v>
      </c>
      <c r="E410" s="1">
        <f>IFERROR(__xludf.DUMMYFUNCTION("""COMPUTED_VALUE"""),1.07)</f>
        <v>1.07</v>
      </c>
      <c r="F410" s="1">
        <f>IFERROR(__xludf.DUMMYFUNCTION("""COMPUTED_VALUE"""),3.59)</f>
        <v>3.59</v>
      </c>
      <c r="G410" s="5">
        <f>IFERROR(__xludf.DUMMYFUNCTION("""COMPUTED_VALUE"""),6887.0)</f>
        <v>6887</v>
      </c>
      <c r="H410" s="5">
        <f>IFERROR(__xludf.DUMMYFUNCTION("""COMPUTED_VALUE"""),1916.0)</f>
        <v>1916</v>
      </c>
    </row>
    <row r="411">
      <c r="A411" s="4">
        <f>IFERROR(__xludf.DUMMYFUNCTION("""COMPUTED_VALUE"""),42779.0)</f>
        <v>42779</v>
      </c>
      <c r="B411" s="5">
        <f>IFERROR(__xludf.DUMMYFUNCTION("""COMPUTED_VALUE"""),2305.0)</f>
        <v>2305</v>
      </c>
      <c r="C411" s="6">
        <f>IFERROR(__xludf.DUMMYFUNCTION("""COMPUTED_VALUE"""),0.5086)</f>
        <v>0.5086</v>
      </c>
      <c r="D411" s="2">
        <f>IFERROR(__xludf.DUMMYFUNCTION("""COMPUTED_VALUE"""),0.0014467592592592592)</f>
        <v>0.001446759259</v>
      </c>
      <c r="E411" s="1">
        <f>IFERROR(__xludf.DUMMYFUNCTION("""COMPUTED_VALUE"""),1.05)</f>
        <v>1.05</v>
      </c>
      <c r="F411" s="1">
        <f>IFERROR(__xludf.DUMMYFUNCTION("""COMPUTED_VALUE"""),3.25)</f>
        <v>3.25</v>
      </c>
      <c r="G411" s="5">
        <f>IFERROR(__xludf.DUMMYFUNCTION("""COMPUTED_VALUE"""),7887.0)</f>
        <v>7887</v>
      </c>
      <c r="H411" s="5">
        <f>IFERROR(__xludf.DUMMYFUNCTION("""COMPUTED_VALUE"""),2430.0)</f>
        <v>2430</v>
      </c>
    </row>
    <row r="412">
      <c r="A412" s="4">
        <f>IFERROR(__xludf.DUMMYFUNCTION("""COMPUTED_VALUE"""),42780.0)</f>
        <v>42780</v>
      </c>
      <c r="B412" s="5">
        <f>IFERROR(__xludf.DUMMYFUNCTION("""COMPUTED_VALUE"""),2277.0)</f>
        <v>2277</v>
      </c>
      <c r="C412" s="6">
        <f>IFERROR(__xludf.DUMMYFUNCTION("""COMPUTED_VALUE"""),0.5052)</f>
        <v>0.5052</v>
      </c>
      <c r="D412" s="2">
        <f>IFERROR(__xludf.DUMMYFUNCTION("""COMPUTED_VALUE"""),0.0019212962962962964)</f>
        <v>0.001921296296</v>
      </c>
      <c r="E412" s="1">
        <f>IFERROR(__xludf.DUMMYFUNCTION("""COMPUTED_VALUE"""),1.13)</f>
        <v>1.13</v>
      </c>
      <c r="F412" s="1">
        <f>IFERROR(__xludf.DUMMYFUNCTION("""COMPUTED_VALUE"""),3.87)</f>
        <v>3.87</v>
      </c>
      <c r="G412" s="5">
        <f>IFERROR(__xludf.DUMMYFUNCTION("""COMPUTED_VALUE"""),9997.0)</f>
        <v>9997</v>
      </c>
      <c r="H412" s="5">
        <f>IFERROR(__xludf.DUMMYFUNCTION("""COMPUTED_VALUE"""),2583.0)</f>
        <v>2583</v>
      </c>
    </row>
    <row r="413">
      <c r="A413" s="4">
        <f>IFERROR(__xludf.DUMMYFUNCTION("""COMPUTED_VALUE"""),42781.0)</f>
        <v>42781</v>
      </c>
      <c r="B413" s="5">
        <f>IFERROR(__xludf.DUMMYFUNCTION("""COMPUTED_VALUE"""),2513.0)</f>
        <v>2513</v>
      </c>
      <c r="C413" s="6">
        <f>IFERROR(__xludf.DUMMYFUNCTION("""COMPUTED_VALUE"""),0.4949)</f>
        <v>0.4949</v>
      </c>
      <c r="D413" s="2">
        <f>IFERROR(__xludf.DUMMYFUNCTION("""COMPUTED_VALUE"""),0.0015162037037037036)</f>
        <v>0.001516203704</v>
      </c>
      <c r="E413" s="1">
        <f>IFERROR(__xludf.DUMMYFUNCTION("""COMPUTED_VALUE"""),1.13)</f>
        <v>1.13</v>
      </c>
      <c r="F413" s="1">
        <f>IFERROR(__xludf.DUMMYFUNCTION("""COMPUTED_VALUE"""),3.58)</f>
        <v>3.58</v>
      </c>
      <c r="G413" s="5">
        <f>IFERROR(__xludf.DUMMYFUNCTION("""COMPUTED_VALUE"""),10136.0)</f>
        <v>10136</v>
      </c>
      <c r="H413" s="5">
        <f>IFERROR(__xludf.DUMMYFUNCTION("""COMPUTED_VALUE"""),2833.0)</f>
        <v>2833</v>
      </c>
    </row>
    <row r="414">
      <c r="A414" s="4">
        <f>IFERROR(__xludf.DUMMYFUNCTION("""COMPUTED_VALUE"""),42782.0)</f>
        <v>42782</v>
      </c>
      <c r="B414" s="5">
        <f>IFERROR(__xludf.DUMMYFUNCTION("""COMPUTED_VALUE"""),2555.0)</f>
        <v>2555</v>
      </c>
      <c r="C414" s="6">
        <f>IFERROR(__xludf.DUMMYFUNCTION("""COMPUTED_VALUE"""),0.4598)</f>
        <v>0.4598</v>
      </c>
      <c r="D414" s="2">
        <f>IFERROR(__xludf.DUMMYFUNCTION("""COMPUTED_VALUE"""),0.0018287037037037037)</f>
        <v>0.001828703704</v>
      </c>
      <c r="E414" s="1">
        <f>IFERROR(__xludf.DUMMYFUNCTION("""COMPUTED_VALUE"""),1.08)</f>
        <v>1.08</v>
      </c>
      <c r="F414" s="1">
        <f>IFERROR(__xludf.DUMMYFUNCTION("""COMPUTED_VALUE"""),4.68)</f>
        <v>4.68</v>
      </c>
      <c r="G414" s="5">
        <f>IFERROR(__xludf.DUMMYFUNCTION("""COMPUTED_VALUE"""),12858.0)</f>
        <v>12858</v>
      </c>
      <c r="H414" s="5">
        <f>IFERROR(__xludf.DUMMYFUNCTION("""COMPUTED_VALUE"""),2749.0)</f>
        <v>2749</v>
      </c>
    </row>
    <row r="415">
      <c r="A415" s="4">
        <f>IFERROR(__xludf.DUMMYFUNCTION("""COMPUTED_VALUE"""),42783.0)</f>
        <v>42783</v>
      </c>
      <c r="B415" s="5">
        <f>IFERROR(__xludf.DUMMYFUNCTION("""COMPUTED_VALUE"""),2666.0)</f>
        <v>2666</v>
      </c>
      <c r="C415" s="6">
        <f>IFERROR(__xludf.DUMMYFUNCTION("""COMPUTED_VALUE"""),0.4718)</f>
        <v>0.4718</v>
      </c>
      <c r="D415" s="2">
        <f>IFERROR(__xludf.DUMMYFUNCTION("""COMPUTED_VALUE"""),0.0013773148148148147)</f>
        <v>0.001377314815</v>
      </c>
      <c r="E415" s="1">
        <f>IFERROR(__xludf.DUMMYFUNCTION("""COMPUTED_VALUE"""),1.1)</f>
        <v>1.1</v>
      </c>
      <c r="F415" s="1">
        <f>IFERROR(__xludf.DUMMYFUNCTION("""COMPUTED_VALUE"""),3.54)</f>
        <v>3.54</v>
      </c>
      <c r="G415" s="5">
        <f>IFERROR(__xludf.DUMMYFUNCTION("""COMPUTED_VALUE"""),10428.0)</f>
        <v>10428</v>
      </c>
      <c r="H415" s="5">
        <f>IFERROR(__xludf.DUMMYFUNCTION("""COMPUTED_VALUE"""),2944.0)</f>
        <v>2944</v>
      </c>
    </row>
    <row r="416">
      <c r="A416" s="4">
        <f>IFERROR(__xludf.DUMMYFUNCTION("""COMPUTED_VALUE"""),42784.0)</f>
        <v>42784</v>
      </c>
      <c r="B416" s="5">
        <f>IFERROR(__xludf.DUMMYFUNCTION("""COMPUTED_VALUE"""),1694.0)</f>
        <v>1694</v>
      </c>
      <c r="C416" s="6">
        <f>IFERROR(__xludf.DUMMYFUNCTION("""COMPUTED_VALUE"""),0.4544)</f>
        <v>0.4544</v>
      </c>
      <c r="D416" s="2">
        <f>IFERROR(__xludf.DUMMYFUNCTION("""COMPUTED_VALUE"""),0.0021412037037037038)</f>
        <v>0.002141203704</v>
      </c>
      <c r="E416" s="1">
        <f>IFERROR(__xludf.DUMMYFUNCTION("""COMPUTED_VALUE"""),1.08)</f>
        <v>1.08</v>
      </c>
      <c r="F416" s="1">
        <f>IFERROR(__xludf.DUMMYFUNCTION("""COMPUTED_VALUE"""),4.29)</f>
        <v>4.29</v>
      </c>
      <c r="G416" s="5">
        <f>IFERROR(__xludf.DUMMYFUNCTION("""COMPUTED_VALUE"""),7859.0)</f>
        <v>7859</v>
      </c>
      <c r="H416" s="5">
        <f>IFERROR(__xludf.DUMMYFUNCTION("""COMPUTED_VALUE"""),1833.0)</f>
        <v>1833</v>
      </c>
    </row>
    <row r="417">
      <c r="A417" s="4">
        <f>IFERROR(__xludf.DUMMYFUNCTION("""COMPUTED_VALUE"""),42785.0)</f>
        <v>42785</v>
      </c>
      <c r="B417" s="5">
        <f>IFERROR(__xludf.DUMMYFUNCTION("""COMPUTED_VALUE"""),2166.0)</f>
        <v>2166</v>
      </c>
      <c r="C417" s="6">
        <f>IFERROR(__xludf.DUMMYFUNCTION("""COMPUTED_VALUE"""),0.4822)</f>
        <v>0.4822</v>
      </c>
      <c r="D417" s="2">
        <f>IFERROR(__xludf.DUMMYFUNCTION("""COMPUTED_VALUE"""),0.0018981481481481482)</f>
        <v>0.001898148148</v>
      </c>
      <c r="E417" s="1">
        <f>IFERROR(__xludf.DUMMYFUNCTION("""COMPUTED_VALUE"""),1.08)</f>
        <v>1.08</v>
      </c>
      <c r="F417" s="1">
        <f>IFERROR(__xludf.DUMMYFUNCTION("""COMPUTED_VALUE"""),4.36)</f>
        <v>4.36</v>
      </c>
      <c r="G417" s="5">
        <f>IFERROR(__xludf.DUMMYFUNCTION("""COMPUTED_VALUE"""),10164.0)</f>
        <v>10164</v>
      </c>
      <c r="H417" s="5">
        <f>IFERROR(__xludf.DUMMYFUNCTION("""COMPUTED_VALUE"""),2333.0)</f>
        <v>2333</v>
      </c>
    </row>
    <row r="418">
      <c r="A418" s="4">
        <f>IFERROR(__xludf.DUMMYFUNCTION("""COMPUTED_VALUE"""),42786.0)</f>
        <v>42786</v>
      </c>
      <c r="B418" s="5">
        <f>IFERROR(__xludf.DUMMYFUNCTION("""COMPUTED_VALUE"""),2374.0)</f>
        <v>2374</v>
      </c>
      <c r="C418" s="6">
        <f>IFERROR(__xludf.DUMMYFUNCTION("""COMPUTED_VALUE"""),0.4722)</f>
        <v>0.4722</v>
      </c>
      <c r="D418" s="2">
        <f>IFERROR(__xludf.DUMMYFUNCTION("""COMPUTED_VALUE"""),0.001863425925925926)</f>
        <v>0.001863425926</v>
      </c>
      <c r="E418" s="1">
        <f>IFERROR(__xludf.DUMMYFUNCTION("""COMPUTED_VALUE"""),1.05)</f>
        <v>1.05</v>
      </c>
      <c r="F418" s="1">
        <f>IFERROR(__xludf.DUMMYFUNCTION("""COMPUTED_VALUE"""),4.26)</f>
        <v>4.26</v>
      </c>
      <c r="G418" s="5">
        <f>IFERROR(__xludf.DUMMYFUNCTION("""COMPUTED_VALUE"""),10650.0)</f>
        <v>10650</v>
      </c>
      <c r="H418" s="5">
        <f>IFERROR(__xludf.DUMMYFUNCTION("""COMPUTED_VALUE"""),2499.0)</f>
        <v>2499</v>
      </c>
    </row>
    <row r="419">
      <c r="A419" s="4">
        <f>IFERROR(__xludf.DUMMYFUNCTION("""COMPUTED_VALUE"""),42787.0)</f>
        <v>42787</v>
      </c>
      <c r="B419" s="5">
        <f>IFERROR(__xludf.DUMMYFUNCTION("""COMPUTED_VALUE"""),2499.0)</f>
        <v>2499</v>
      </c>
      <c r="C419" s="6">
        <f>IFERROR(__xludf.DUMMYFUNCTION("""COMPUTED_VALUE"""),0.4952)</f>
        <v>0.4952</v>
      </c>
      <c r="D419" s="2">
        <f>IFERROR(__xludf.DUMMYFUNCTION("""COMPUTED_VALUE"""),0.001238425925925926)</f>
        <v>0.001238425926</v>
      </c>
      <c r="E419" s="1">
        <f>IFERROR(__xludf.DUMMYFUNCTION("""COMPUTED_VALUE"""),1.12)</f>
        <v>1.12</v>
      </c>
      <c r="F419" s="1">
        <f>IFERROR(__xludf.DUMMYFUNCTION("""COMPUTED_VALUE"""),3.68)</f>
        <v>3.68</v>
      </c>
      <c r="G419" s="5">
        <f>IFERROR(__xludf.DUMMYFUNCTION("""COMPUTED_VALUE"""),10331.0)</f>
        <v>10331</v>
      </c>
      <c r="H419" s="5">
        <f>IFERROR(__xludf.DUMMYFUNCTION("""COMPUTED_VALUE"""),2805.0)</f>
        <v>2805</v>
      </c>
    </row>
    <row r="420">
      <c r="A420" s="4">
        <f>IFERROR(__xludf.DUMMYFUNCTION("""COMPUTED_VALUE"""),42788.0)</f>
        <v>42788</v>
      </c>
      <c r="B420" s="5">
        <f>IFERROR(__xludf.DUMMYFUNCTION("""COMPUTED_VALUE"""),2388.0)</f>
        <v>2388</v>
      </c>
      <c r="C420" s="6">
        <f>IFERROR(__xludf.DUMMYFUNCTION("""COMPUTED_VALUE"""),0.4922)</f>
        <v>0.4922</v>
      </c>
      <c r="D420" s="2">
        <f>IFERROR(__xludf.DUMMYFUNCTION("""COMPUTED_VALUE"""),0.0012847222222222223)</f>
        <v>0.001284722222</v>
      </c>
      <c r="E420" s="1">
        <f>IFERROR(__xludf.DUMMYFUNCTION("""COMPUTED_VALUE"""),1.12)</f>
        <v>1.12</v>
      </c>
      <c r="F420" s="1">
        <f>IFERROR(__xludf.DUMMYFUNCTION("""COMPUTED_VALUE"""),3.75)</f>
        <v>3.75</v>
      </c>
      <c r="G420" s="5">
        <f>IFERROR(__xludf.DUMMYFUNCTION("""COMPUTED_VALUE"""),10039.0)</f>
        <v>10039</v>
      </c>
      <c r="H420" s="5">
        <f>IFERROR(__xludf.DUMMYFUNCTION("""COMPUTED_VALUE"""),2680.0)</f>
        <v>2680</v>
      </c>
    </row>
    <row r="421">
      <c r="A421" s="4">
        <f>IFERROR(__xludf.DUMMYFUNCTION("""COMPUTED_VALUE"""),42789.0)</f>
        <v>42789</v>
      </c>
      <c r="B421" s="5">
        <f>IFERROR(__xludf.DUMMYFUNCTION("""COMPUTED_VALUE"""),2347.0)</f>
        <v>2347</v>
      </c>
      <c r="C421" s="6">
        <f>IFERROR(__xludf.DUMMYFUNCTION("""COMPUTED_VALUE"""),0.4894)</f>
        <v>0.4894</v>
      </c>
      <c r="D421" s="2">
        <f>IFERROR(__xludf.DUMMYFUNCTION("""COMPUTED_VALUE"""),0.0016666666666666668)</f>
        <v>0.001666666667</v>
      </c>
      <c r="E421" s="1">
        <f>IFERROR(__xludf.DUMMYFUNCTION("""COMPUTED_VALUE"""),1.1)</f>
        <v>1.1</v>
      </c>
      <c r="F421" s="1">
        <f>IFERROR(__xludf.DUMMYFUNCTION("""COMPUTED_VALUE"""),4.31)</f>
        <v>4.31</v>
      </c>
      <c r="G421" s="5">
        <f>IFERROR(__xludf.DUMMYFUNCTION("""COMPUTED_VALUE"""),11136.0)</f>
        <v>11136</v>
      </c>
      <c r="H421" s="5">
        <f>IFERROR(__xludf.DUMMYFUNCTION("""COMPUTED_VALUE"""),2583.0)</f>
        <v>2583</v>
      </c>
    </row>
    <row r="422">
      <c r="A422" s="4">
        <f>IFERROR(__xludf.DUMMYFUNCTION("""COMPUTED_VALUE"""),42790.0)</f>
        <v>42790</v>
      </c>
      <c r="B422" s="5">
        <f>IFERROR(__xludf.DUMMYFUNCTION("""COMPUTED_VALUE"""),2069.0)</f>
        <v>2069</v>
      </c>
      <c r="C422" s="6">
        <f>IFERROR(__xludf.DUMMYFUNCTION("""COMPUTED_VALUE"""),0.5273)</f>
        <v>0.5273</v>
      </c>
      <c r="D422" s="2">
        <f>IFERROR(__xludf.DUMMYFUNCTION("""COMPUTED_VALUE"""),0.0017013888888888888)</f>
        <v>0.001701388889</v>
      </c>
      <c r="E422" s="1">
        <f>IFERROR(__xludf.DUMMYFUNCTION("""COMPUTED_VALUE"""),1.11)</f>
        <v>1.11</v>
      </c>
      <c r="F422" s="1">
        <f>IFERROR(__xludf.DUMMYFUNCTION("""COMPUTED_VALUE"""),5.17)</f>
        <v>5.17</v>
      </c>
      <c r="G422" s="5">
        <f>IFERROR(__xludf.DUMMYFUNCTION("""COMPUTED_VALUE"""),11844.0)</f>
        <v>11844</v>
      </c>
      <c r="H422" s="5">
        <f>IFERROR(__xludf.DUMMYFUNCTION("""COMPUTED_VALUE"""),2291.0)</f>
        <v>2291</v>
      </c>
    </row>
    <row r="423">
      <c r="A423" s="4">
        <f>IFERROR(__xludf.DUMMYFUNCTION("""COMPUTED_VALUE"""),42791.0)</f>
        <v>42791</v>
      </c>
      <c r="B423" s="5">
        <f>IFERROR(__xludf.DUMMYFUNCTION("""COMPUTED_VALUE"""),1652.0)</f>
        <v>1652</v>
      </c>
      <c r="C423" s="6">
        <f>IFERROR(__xludf.DUMMYFUNCTION("""COMPUTED_VALUE"""),0.5043)</f>
        <v>0.5043</v>
      </c>
      <c r="D423" s="2">
        <f>IFERROR(__xludf.DUMMYFUNCTION("""COMPUTED_VALUE"""),0.0017592592592592592)</f>
        <v>0.001759259259</v>
      </c>
      <c r="E423" s="1">
        <f>IFERROR(__xludf.DUMMYFUNCTION("""COMPUTED_VALUE"""),1.07)</f>
        <v>1.07</v>
      </c>
      <c r="F423" s="1">
        <f>IFERROR(__xludf.DUMMYFUNCTION("""COMPUTED_VALUE"""),4.54)</f>
        <v>4.54</v>
      </c>
      <c r="G423" s="5">
        <f>IFERROR(__xludf.DUMMYFUNCTION("""COMPUTED_VALUE"""),8012.0)</f>
        <v>8012</v>
      </c>
      <c r="H423" s="5">
        <f>IFERROR(__xludf.DUMMYFUNCTION("""COMPUTED_VALUE"""),1763.0)</f>
        <v>1763</v>
      </c>
    </row>
    <row r="424">
      <c r="A424" s="4">
        <f>IFERROR(__xludf.DUMMYFUNCTION("""COMPUTED_VALUE"""),42792.0)</f>
        <v>42792</v>
      </c>
      <c r="B424" s="5">
        <f>IFERROR(__xludf.DUMMYFUNCTION("""COMPUTED_VALUE"""),1652.0)</f>
        <v>1652</v>
      </c>
      <c r="C424" s="6">
        <f>IFERROR(__xludf.DUMMYFUNCTION("""COMPUTED_VALUE"""),0.5234)</f>
        <v>0.5234</v>
      </c>
      <c r="D424" s="2">
        <f>IFERROR(__xludf.DUMMYFUNCTION("""COMPUTED_VALUE"""),0.0013194444444444445)</f>
        <v>0.001319444444</v>
      </c>
      <c r="E424" s="1">
        <f>IFERROR(__xludf.DUMMYFUNCTION("""COMPUTED_VALUE"""),1.08)</f>
        <v>1.08</v>
      </c>
      <c r="F424" s="1">
        <f>IFERROR(__xludf.DUMMYFUNCTION("""COMPUTED_VALUE"""),3.55)</f>
        <v>3.55</v>
      </c>
      <c r="G424" s="5">
        <f>IFERROR(__xludf.DUMMYFUNCTION("""COMPUTED_VALUE"""),6304.0)</f>
        <v>6304</v>
      </c>
      <c r="H424" s="5">
        <f>IFERROR(__xludf.DUMMYFUNCTION("""COMPUTED_VALUE"""),1777.0)</f>
        <v>1777</v>
      </c>
    </row>
    <row r="425">
      <c r="A425" s="4">
        <f>IFERROR(__xludf.DUMMYFUNCTION("""COMPUTED_VALUE"""),42793.0)</f>
        <v>42793</v>
      </c>
      <c r="B425" s="5">
        <f>IFERROR(__xludf.DUMMYFUNCTION("""COMPUTED_VALUE"""),2416.0)</f>
        <v>2416</v>
      </c>
      <c r="C425" s="6">
        <f>IFERROR(__xludf.DUMMYFUNCTION("""COMPUTED_VALUE"""),0.4129)</f>
        <v>0.4129</v>
      </c>
      <c r="D425" s="2">
        <f>IFERROR(__xludf.DUMMYFUNCTION("""COMPUTED_VALUE"""),0.001400462962962963)</f>
        <v>0.001400462963</v>
      </c>
      <c r="E425" s="1">
        <f>IFERROR(__xludf.DUMMYFUNCTION("""COMPUTED_VALUE"""),1.06)</f>
        <v>1.06</v>
      </c>
      <c r="F425" s="1">
        <f>IFERROR(__xludf.DUMMYFUNCTION("""COMPUTED_VALUE"""),3.86)</f>
        <v>3.86</v>
      </c>
      <c r="G425" s="5">
        <f>IFERROR(__xludf.DUMMYFUNCTION("""COMPUTED_VALUE"""),9873.0)</f>
        <v>9873</v>
      </c>
      <c r="H425" s="5">
        <f>IFERROR(__xludf.DUMMYFUNCTION("""COMPUTED_VALUE"""),2555.0)</f>
        <v>2555</v>
      </c>
    </row>
    <row r="426">
      <c r="A426" s="4">
        <f>IFERROR(__xludf.DUMMYFUNCTION("""COMPUTED_VALUE"""),42794.0)</f>
        <v>42794</v>
      </c>
      <c r="B426" s="5">
        <f>IFERROR(__xludf.DUMMYFUNCTION("""COMPUTED_VALUE"""),2319.0)</f>
        <v>2319</v>
      </c>
      <c r="C426" s="6">
        <f>IFERROR(__xludf.DUMMYFUNCTION("""COMPUTED_VALUE"""),0.5222)</f>
        <v>0.5222</v>
      </c>
      <c r="D426" s="2">
        <f>IFERROR(__xludf.DUMMYFUNCTION("""COMPUTED_VALUE"""),0.0017476851851851852)</f>
        <v>0.001747685185</v>
      </c>
      <c r="E426" s="1">
        <f>IFERROR(__xludf.DUMMYFUNCTION("""COMPUTED_VALUE"""),1.08)</f>
        <v>1.08</v>
      </c>
      <c r="F426" s="1">
        <f>IFERROR(__xludf.DUMMYFUNCTION("""COMPUTED_VALUE"""),4.08)</f>
        <v>4.08</v>
      </c>
      <c r="G426" s="5">
        <f>IFERROR(__xludf.DUMMYFUNCTION("""COMPUTED_VALUE"""),10192.0)</f>
        <v>10192</v>
      </c>
      <c r="H426" s="5">
        <f>IFERROR(__xludf.DUMMYFUNCTION("""COMPUTED_VALUE"""),2499.0)</f>
        <v>2499</v>
      </c>
    </row>
    <row r="427">
      <c r="A427" s="4">
        <f>IFERROR(__xludf.DUMMYFUNCTION("""COMPUTED_VALUE"""),42795.0)</f>
        <v>42795</v>
      </c>
      <c r="B427" s="5">
        <f>IFERROR(__xludf.DUMMYFUNCTION("""COMPUTED_VALUE"""),2444.0)</f>
        <v>2444</v>
      </c>
      <c r="C427" s="6">
        <f>IFERROR(__xludf.DUMMYFUNCTION("""COMPUTED_VALUE"""),0.4657)</f>
        <v>0.4657</v>
      </c>
      <c r="D427" s="2">
        <f>IFERROR(__xludf.DUMMYFUNCTION("""COMPUTED_VALUE"""),0.0020601851851851853)</f>
        <v>0.002060185185</v>
      </c>
      <c r="E427" s="1">
        <f>IFERROR(__xludf.DUMMYFUNCTION("""COMPUTED_VALUE"""),1.07)</f>
        <v>1.07</v>
      </c>
      <c r="F427" s="1">
        <f>IFERROR(__xludf.DUMMYFUNCTION("""COMPUTED_VALUE"""),4.88)</f>
        <v>4.88</v>
      </c>
      <c r="G427" s="5">
        <f>IFERROR(__xludf.DUMMYFUNCTION("""COMPUTED_VALUE"""),12816.0)</f>
        <v>12816</v>
      </c>
      <c r="H427" s="5">
        <f>IFERROR(__xludf.DUMMYFUNCTION("""COMPUTED_VALUE"""),2624.0)</f>
        <v>2624</v>
      </c>
    </row>
    <row r="428">
      <c r="A428" s="4">
        <f>IFERROR(__xludf.DUMMYFUNCTION("""COMPUTED_VALUE"""),42796.0)</f>
        <v>42796</v>
      </c>
      <c r="B428" s="5">
        <f>IFERROR(__xludf.DUMMYFUNCTION("""COMPUTED_VALUE"""),2194.0)</f>
        <v>2194</v>
      </c>
      <c r="C428" s="6">
        <f>IFERROR(__xludf.DUMMYFUNCTION("""COMPUTED_VALUE"""),0.4805)</f>
        <v>0.4805</v>
      </c>
      <c r="D428" s="2">
        <f>IFERROR(__xludf.DUMMYFUNCTION("""COMPUTED_VALUE"""),0.0016319444444444445)</f>
        <v>0.001631944444</v>
      </c>
      <c r="E428" s="1">
        <f>IFERROR(__xludf.DUMMYFUNCTION("""COMPUTED_VALUE"""),1.13)</f>
        <v>1.13</v>
      </c>
      <c r="F428" s="1">
        <f>IFERROR(__xludf.DUMMYFUNCTION("""COMPUTED_VALUE"""),4.45)</f>
        <v>4.45</v>
      </c>
      <c r="G428" s="5">
        <f>IFERROR(__xludf.DUMMYFUNCTION("""COMPUTED_VALUE"""),11067.0)</f>
        <v>11067</v>
      </c>
      <c r="H428" s="5">
        <f>IFERROR(__xludf.DUMMYFUNCTION("""COMPUTED_VALUE"""),2485.0)</f>
        <v>2485</v>
      </c>
    </row>
    <row r="429">
      <c r="A429" s="4">
        <f>IFERROR(__xludf.DUMMYFUNCTION("""COMPUTED_VALUE"""),42797.0)</f>
        <v>42797</v>
      </c>
      <c r="B429" s="5">
        <f>IFERROR(__xludf.DUMMYFUNCTION("""COMPUTED_VALUE"""),2083.0)</f>
        <v>2083</v>
      </c>
      <c r="C429" s="6">
        <f>IFERROR(__xludf.DUMMYFUNCTION("""COMPUTED_VALUE"""),0.4516)</f>
        <v>0.4516</v>
      </c>
      <c r="D429" s="2">
        <f>IFERROR(__xludf.DUMMYFUNCTION("""COMPUTED_VALUE"""),0.0019328703703703704)</f>
        <v>0.00193287037</v>
      </c>
      <c r="E429" s="1">
        <f>IFERROR(__xludf.DUMMYFUNCTION("""COMPUTED_VALUE"""),1.11)</f>
        <v>1.11</v>
      </c>
      <c r="F429" s="1">
        <f>IFERROR(__xludf.DUMMYFUNCTION("""COMPUTED_VALUE"""),4.78)</f>
        <v>4.78</v>
      </c>
      <c r="G429" s="5">
        <f>IFERROR(__xludf.DUMMYFUNCTION("""COMPUTED_VALUE"""),11011.0)</f>
        <v>11011</v>
      </c>
      <c r="H429" s="5">
        <f>IFERROR(__xludf.DUMMYFUNCTION("""COMPUTED_VALUE"""),2305.0)</f>
        <v>2305</v>
      </c>
    </row>
    <row r="430">
      <c r="A430" s="4">
        <f>IFERROR(__xludf.DUMMYFUNCTION("""COMPUTED_VALUE"""),42798.0)</f>
        <v>42798</v>
      </c>
      <c r="B430" s="5">
        <f>IFERROR(__xludf.DUMMYFUNCTION("""COMPUTED_VALUE"""),1652.0)</f>
        <v>1652</v>
      </c>
      <c r="C430" s="6">
        <f>IFERROR(__xludf.DUMMYFUNCTION("""COMPUTED_VALUE"""),0.489)</f>
        <v>0.489</v>
      </c>
      <c r="D430" s="2">
        <f>IFERROR(__xludf.DUMMYFUNCTION("""COMPUTED_VALUE"""),0.001863425925925926)</f>
        <v>0.001863425926</v>
      </c>
      <c r="E430" s="1">
        <f>IFERROR(__xludf.DUMMYFUNCTION("""COMPUTED_VALUE"""),1.15)</f>
        <v>1.15</v>
      </c>
      <c r="F430" s="1">
        <f>IFERROR(__xludf.DUMMYFUNCTION("""COMPUTED_VALUE"""),4.61)</f>
        <v>4.61</v>
      </c>
      <c r="G430" s="5">
        <f>IFERROR(__xludf.DUMMYFUNCTION("""COMPUTED_VALUE"""),8776.0)</f>
        <v>8776</v>
      </c>
      <c r="H430" s="5">
        <f>IFERROR(__xludf.DUMMYFUNCTION("""COMPUTED_VALUE"""),1902.0)</f>
        <v>1902</v>
      </c>
    </row>
    <row r="431">
      <c r="A431" s="4">
        <f>IFERROR(__xludf.DUMMYFUNCTION("""COMPUTED_VALUE"""),42799.0)</f>
        <v>42799</v>
      </c>
      <c r="B431" s="5">
        <f>IFERROR(__xludf.DUMMYFUNCTION("""COMPUTED_VALUE"""),1750.0)</f>
        <v>1750</v>
      </c>
      <c r="C431" s="6">
        <f>IFERROR(__xludf.DUMMYFUNCTION("""COMPUTED_VALUE"""),0.4824)</f>
        <v>0.4824</v>
      </c>
      <c r="D431" s="2">
        <f>IFERROR(__xludf.DUMMYFUNCTION("""COMPUTED_VALUE"""),0.0020949074074074073)</f>
        <v>0.002094907407</v>
      </c>
      <c r="E431" s="1">
        <f>IFERROR(__xludf.DUMMYFUNCTION("""COMPUTED_VALUE"""),1.13)</f>
        <v>1.13</v>
      </c>
      <c r="F431" s="1">
        <f>IFERROR(__xludf.DUMMYFUNCTION("""COMPUTED_VALUE"""),3.73)</f>
        <v>3.73</v>
      </c>
      <c r="G431" s="5">
        <f>IFERROR(__xludf.DUMMYFUNCTION("""COMPUTED_VALUE"""),7401.0)</f>
        <v>7401</v>
      </c>
      <c r="H431" s="5">
        <f>IFERROR(__xludf.DUMMYFUNCTION("""COMPUTED_VALUE"""),1986.0)</f>
        <v>1986</v>
      </c>
    </row>
    <row r="432">
      <c r="A432" s="4">
        <f>IFERROR(__xludf.DUMMYFUNCTION("""COMPUTED_VALUE"""),42800.0)</f>
        <v>42800</v>
      </c>
      <c r="B432" s="5">
        <f>IFERROR(__xludf.DUMMYFUNCTION("""COMPUTED_VALUE"""),2291.0)</f>
        <v>2291</v>
      </c>
      <c r="C432" s="6">
        <f>IFERROR(__xludf.DUMMYFUNCTION("""COMPUTED_VALUE"""),0.4158)</f>
        <v>0.4158</v>
      </c>
      <c r="D432" s="2">
        <f>IFERROR(__xludf.DUMMYFUNCTION("""COMPUTED_VALUE"""),0.0024074074074074076)</f>
        <v>0.002407407407</v>
      </c>
      <c r="E432" s="1">
        <f>IFERROR(__xludf.DUMMYFUNCTION("""COMPUTED_VALUE"""),1.15)</f>
        <v>1.15</v>
      </c>
      <c r="F432" s="1">
        <f>IFERROR(__xludf.DUMMYFUNCTION("""COMPUTED_VALUE"""),5.32)</f>
        <v>5.32</v>
      </c>
      <c r="G432" s="5">
        <f>IFERROR(__xludf.DUMMYFUNCTION("""COMPUTED_VALUE"""),14024.0)</f>
        <v>14024</v>
      </c>
      <c r="H432" s="5">
        <f>IFERROR(__xludf.DUMMYFUNCTION("""COMPUTED_VALUE"""),2638.0)</f>
        <v>2638</v>
      </c>
    </row>
    <row r="433">
      <c r="A433" s="4">
        <f>IFERROR(__xludf.DUMMYFUNCTION("""COMPUTED_VALUE"""),42801.0)</f>
        <v>42801</v>
      </c>
      <c r="B433" s="5">
        <f>IFERROR(__xludf.DUMMYFUNCTION("""COMPUTED_VALUE"""),2569.0)</f>
        <v>2569</v>
      </c>
      <c r="C433" s="6">
        <f>IFERROR(__xludf.DUMMYFUNCTION("""COMPUTED_VALUE"""),0.4501)</f>
        <v>0.4501</v>
      </c>
      <c r="D433" s="2">
        <f>IFERROR(__xludf.DUMMYFUNCTION("""COMPUTED_VALUE"""),0.0019328703703703704)</f>
        <v>0.00193287037</v>
      </c>
      <c r="E433" s="1">
        <f>IFERROR(__xludf.DUMMYFUNCTION("""COMPUTED_VALUE"""),1.08)</f>
        <v>1.08</v>
      </c>
      <c r="F433" s="1">
        <f>IFERROR(__xludf.DUMMYFUNCTION("""COMPUTED_VALUE"""),4.78)</f>
        <v>4.78</v>
      </c>
      <c r="G433" s="5">
        <f>IFERROR(__xludf.DUMMYFUNCTION("""COMPUTED_VALUE"""),13274.0)</f>
        <v>13274</v>
      </c>
      <c r="H433" s="5">
        <f>IFERROR(__xludf.DUMMYFUNCTION("""COMPUTED_VALUE"""),2777.0)</f>
        <v>2777</v>
      </c>
    </row>
    <row r="434">
      <c r="A434" s="4">
        <f>IFERROR(__xludf.DUMMYFUNCTION("""COMPUTED_VALUE"""),42802.0)</f>
        <v>42802</v>
      </c>
      <c r="B434" s="5">
        <f>IFERROR(__xludf.DUMMYFUNCTION("""COMPUTED_VALUE"""),2444.0)</f>
        <v>2444</v>
      </c>
      <c r="C434" s="6">
        <f>IFERROR(__xludf.DUMMYFUNCTION("""COMPUTED_VALUE"""),0.492)</f>
        <v>0.492</v>
      </c>
      <c r="D434" s="2">
        <f>IFERROR(__xludf.DUMMYFUNCTION("""COMPUTED_VALUE"""),0.0020486111111111113)</f>
        <v>0.002048611111</v>
      </c>
      <c r="E434" s="1">
        <f>IFERROR(__xludf.DUMMYFUNCTION("""COMPUTED_VALUE"""),1.07)</f>
        <v>1.07</v>
      </c>
      <c r="F434" s="1">
        <f>IFERROR(__xludf.DUMMYFUNCTION("""COMPUTED_VALUE"""),4.23)</f>
        <v>4.23</v>
      </c>
      <c r="G434" s="5">
        <f>IFERROR(__xludf.DUMMYFUNCTION("""COMPUTED_VALUE"""),11108.0)</f>
        <v>11108</v>
      </c>
      <c r="H434" s="5">
        <f>IFERROR(__xludf.DUMMYFUNCTION("""COMPUTED_VALUE"""),2624.0)</f>
        <v>2624</v>
      </c>
    </row>
    <row r="435">
      <c r="A435" s="4">
        <f>IFERROR(__xludf.DUMMYFUNCTION("""COMPUTED_VALUE"""),42803.0)</f>
        <v>42803</v>
      </c>
      <c r="B435" s="5">
        <f>IFERROR(__xludf.DUMMYFUNCTION("""COMPUTED_VALUE"""),2291.0)</f>
        <v>2291</v>
      </c>
      <c r="C435" s="6">
        <f>IFERROR(__xludf.DUMMYFUNCTION("""COMPUTED_VALUE"""),0.4942)</f>
        <v>0.4942</v>
      </c>
      <c r="D435" s="2">
        <f>IFERROR(__xludf.DUMMYFUNCTION("""COMPUTED_VALUE"""),0.0017013888888888888)</f>
        <v>0.001701388889</v>
      </c>
      <c r="E435" s="1">
        <f>IFERROR(__xludf.DUMMYFUNCTION("""COMPUTED_VALUE"""),1.05)</f>
        <v>1.05</v>
      </c>
      <c r="F435" s="1">
        <f>IFERROR(__xludf.DUMMYFUNCTION("""COMPUTED_VALUE"""),4.36)</f>
        <v>4.36</v>
      </c>
      <c r="G435" s="5">
        <f>IFERROR(__xludf.DUMMYFUNCTION("""COMPUTED_VALUE"""),10539.0)</f>
        <v>10539</v>
      </c>
      <c r="H435" s="5">
        <f>IFERROR(__xludf.DUMMYFUNCTION("""COMPUTED_VALUE"""),2416.0)</f>
        <v>2416</v>
      </c>
    </row>
    <row r="436">
      <c r="A436" s="4">
        <f>IFERROR(__xludf.DUMMYFUNCTION("""COMPUTED_VALUE"""),42804.0)</f>
        <v>42804</v>
      </c>
      <c r="B436" s="5">
        <f>IFERROR(__xludf.DUMMYFUNCTION("""COMPUTED_VALUE"""),2249.0)</f>
        <v>2249</v>
      </c>
      <c r="C436" s="6">
        <f>IFERROR(__xludf.DUMMYFUNCTION("""COMPUTED_VALUE"""),0.4535)</f>
        <v>0.4535</v>
      </c>
      <c r="D436" s="2">
        <f>IFERROR(__xludf.DUMMYFUNCTION("""COMPUTED_VALUE"""),0.0017824074074074075)</f>
        <v>0.001782407407</v>
      </c>
      <c r="E436" s="1">
        <f>IFERROR(__xludf.DUMMYFUNCTION("""COMPUTED_VALUE"""),1.06)</f>
        <v>1.06</v>
      </c>
      <c r="F436" s="1">
        <f>IFERROR(__xludf.DUMMYFUNCTION("""COMPUTED_VALUE"""),4.23)</f>
        <v>4.23</v>
      </c>
      <c r="G436" s="5">
        <f>IFERROR(__xludf.DUMMYFUNCTION("""COMPUTED_VALUE"""),10109.0)</f>
        <v>10109</v>
      </c>
      <c r="H436" s="5">
        <f>IFERROR(__xludf.DUMMYFUNCTION("""COMPUTED_VALUE"""),2388.0)</f>
        <v>2388</v>
      </c>
    </row>
    <row r="437">
      <c r="A437" s="4">
        <f>IFERROR(__xludf.DUMMYFUNCTION("""COMPUTED_VALUE"""),42805.0)</f>
        <v>42805</v>
      </c>
      <c r="B437" s="5">
        <f>IFERROR(__xludf.DUMMYFUNCTION("""COMPUTED_VALUE"""),1736.0)</f>
        <v>1736</v>
      </c>
      <c r="C437" s="6">
        <f>IFERROR(__xludf.DUMMYFUNCTION("""COMPUTED_VALUE"""),0.5922)</f>
        <v>0.5922</v>
      </c>
      <c r="D437" s="2">
        <f>IFERROR(__xludf.DUMMYFUNCTION("""COMPUTED_VALUE"""),0.0013657407407407407)</f>
        <v>0.001365740741</v>
      </c>
      <c r="E437" s="1">
        <f>IFERROR(__xludf.DUMMYFUNCTION("""COMPUTED_VALUE"""),1.04)</f>
        <v>1.04</v>
      </c>
      <c r="F437" s="1">
        <f>IFERROR(__xludf.DUMMYFUNCTION("""COMPUTED_VALUE"""),3.38)</f>
        <v>3.38</v>
      </c>
      <c r="G437" s="5">
        <f>IFERROR(__xludf.DUMMYFUNCTION("""COMPUTED_VALUE"""),6096.0)</f>
        <v>6096</v>
      </c>
      <c r="H437" s="5">
        <f>IFERROR(__xludf.DUMMYFUNCTION("""COMPUTED_VALUE"""),1805.0)</f>
        <v>1805</v>
      </c>
    </row>
    <row r="438">
      <c r="A438" s="4">
        <f>IFERROR(__xludf.DUMMYFUNCTION("""COMPUTED_VALUE"""),42806.0)</f>
        <v>42806</v>
      </c>
      <c r="B438" s="5">
        <f>IFERROR(__xludf.DUMMYFUNCTION("""COMPUTED_VALUE"""),1833.0)</f>
        <v>1833</v>
      </c>
      <c r="C438" s="6">
        <f>IFERROR(__xludf.DUMMYFUNCTION("""COMPUTED_VALUE"""),0.4891)</f>
        <v>0.4891</v>
      </c>
      <c r="D438" s="2">
        <f>IFERROR(__xludf.DUMMYFUNCTION("""COMPUTED_VALUE"""),0.0015625)</f>
        <v>0.0015625</v>
      </c>
      <c r="E438" s="1">
        <f>IFERROR(__xludf.DUMMYFUNCTION("""COMPUTED_VALUE"""),1.05)</f>
        <v>1.05</v>
      </c>
      <c r="F438" s="1">
        <f>IFERROR(__xludf.DUMMYFUNCTION("""COMPUTED_VALUE"""),3.61)</f>
        <v>3.61</v>
      </c>
      <c r="G438" s="5">
        <f>IFERROR(__xludf.DUMMYFUNCTION("""COMPUTED_VALUE"""),6970.0)</f>
        <v>6970</v>
      </c>
      <c r="H438" s="5">
        <f>IFERROR(__xludf.DUMMYFUNCTION("""COMPUTED_VALUE"""),1930.0)</f>
        <v>1930</v>
      </c>
    </row>
    <row r="439">
      <c r="A439" s="4">
        <f>IFERROR(__xludf.DUMMYFUNCTION("""COMPUTED_VALUE"""),42807.0)</f>
        <v>42807</v>
      </c>
      <c r="B439" s="5">
        <f>IFERROR(__xludf.DUMMYFUNCTION("""COMPUTED_VALUE"""),2541.0)</f>
        <v>2541</v>
      </c>
      <c r="C439" s="6">
        <f>IFERROR(__xludf.DUMMYFUNCTION("""COMPUTED_VALUE"""),0.5382)</f>
        <v>0.5382</v>
      </c>
      <c r="D439" s="2">
        <f>IFERROR(__xludf.DUMMYFUNCTION("""COMPUTED_VALUE"""),0.0022453703703703702)</f>
        <v>0.00224537037</v>
      </c>
      <c r="E439" s="1">
        <f>IFERROR(__xludf.DUMMYFUNCTION("""COMPUTED_VALUE"""),1.08)</f>
        <v>1.08</v>
      </c>
      <c r="F439" s="1">
        <f>IFERROR(__xludf.DUMMYFUNCTION("""COMPUTED_VALUE"""),4.05)</f>
        <v>4.05</v>
      </c>
      <c r="G439" s="5">
        <f>IFERROR(__xludf.DUMMYFUNCTION("""COMPUTED_VALUE"""),11081.0)</f>
        <v>11081</v>
      </c>
      <c r="H439" s="5">
        <f>IFERROR(__xludf.DUMMYFUNCTION("""COMPUTED_VALUE"""),2735.0)</f>
        <v>2735</v>
      </c>
    </row>
    <row r="440">
      <c r="A440" s="4">
        <f>IFERROR(__xludf.DUMMYFUNCTION("""COMPUTED_VALUE"""),42808.0)</f>
        <v>42808</v>
      </c>
      <c r="B440" s="5">
        <f>IFERROR(__xludf.DUMMYFUNCTION("""COMPUTED_VALUE"""),2347.0)</f>
        <v>2347</v>
      </c>
      <c r="C440" s="6">
        <f>IFERROR(__xludf.DUMMYFUNCTION("""COMPUTED_VALUE"""),0.5191)</f>
        <v>0.5191</v>
      </c>
      <c r="D440" s="2">
        <f>IFERROR(__xludf.DUMMYFUNCTION("""COMPUTED_VALUE"""),0.0017476851851851852)</f>
        <v>0.001747685185</v>
      </c>
      <c r="E440" s="1">
        <f>IFERROR(__xludf.DUMMYFUNCTION("""COMPUTED_VALUE"""),1.08)</f>
        <v>1.08</v>
      </c>
      <c r="F440" s="1">
        <f>IFERROR(__xludf.DUMMYFUNCTION("""COMPUTED_VALUE"""),4.13)</f>
        <v>4.13</v>
      </c>
      <c r="G440" s="5">
        <f>IFERROR(__xludf.DUMMYFUNCTION("""COMPUTED_VALUE"""),10483.0)</f>
        <v>10483</v>
      </c>
      <c r="H440" s="5">
        <f>IFERROR(__xludf.DUMMYFUNCTION("""COMPUTED_VALUE"""),2541.0)</f>
        <v>2541</v>
      </c>
    </row>
    <row r="441">
      <c r="A441" s="4">
        <f>IFERROR(__xludf.DUMMYFUNCTION("""COMPUTED_VALUE"""),42809.0)</f>
        <v>42809</v>
      </c>
      <c r="B441" s="5">
        <f>IFERROR(__xludf.DUMMYFUNCTION("""COMPUTED_VALUE"""),2583.0)</f>
        <v>2583</v>
      </c>
      <c r="C441" s="6">
        <f>IFERROR(__xludf.DUMMYFUNCTION("""COMPUTED_VALUE"""),0.4696)</f>
        <v>0.4696</v>
      </c>
      <c r="D441" s="2">
        <f>IFERROR(__xludf.DUMMYFUNCTION("""COMPUTED_VALUE"""),0.0017592592592592592)</f>
        <v>0.001759259259</v>
      </c>
      <c r="E441" s="1">
        <f>IFERROR(__xludf.DUMMYFUNCTION("""COMPUTED_VALUE"""),1.06)</f>
        <v>1.06</v>
      </c>
      <c r="F441" s="1">
        <f>IFERROR(__xludf.DUMMYFUNCTION("""COMPUTED_VALUE"""),4.11)</f>
        <v>4.11</v>
      </c>
      <c r="G441" s="5">
        <f>IFERROR(__xludf.DUMMYFUNCTION("""COMPUTED_VALUE"""),11303.0)</f>
        <v>11303</v>
      </c>
      <c r="H441" s="5">
        <f>IFERROR(__xludf.DUMMYFUNCTION("""COMPUTED_VALUE"""),2749.0)</f>
        <v>2749</v>
      </c>
    </row>
    <row r="442">
      <c r="A442" s="4">
        <f>IFERROR(__xludf.DUMMYFUNCTION("""COMPUTED_VALUE"""),42810.0)</f>
        <v>42810</v>
      </c>
      <c r="B442" s="5">
        <f>IFERROR(__xludf.DUMMYFUNCTION("""COMPUTED_VALUE"""),2361.0)</f>
        <v>2361</v>
      </c>
      <c r="C442" s="6">
        <f>IFERROR(__xludf.DUMMYFUNCTION("""COMPUTED_VALUE"""),0.5348)</f>
        <v>0.5348</v>
      </c>
      <c r="D442" s="2">
        <f>IFERROR(__xludf.DUMMYFUNCTION("""COMPUTED_VALUE"""),0.0011805555555555556)</f>
        <v>0.001180555556</v>
      </c>
      <c r="E442" s="1">
        <f>IFERROR(__xludf.DUMMYFUNCTION("""COMPUTED_VALUE"""),1.1)</f>
        <v>1.1</v>
      </c>
      <c r="F442" s="1">
        <f>IFERROR(__xludf.DUMMYFUNCTION("""COMPUTED_VALUE"""),3.71)</f>
        <v>3.71</v>
      </c>
      <c r="G442" s="5">
        <f>IFERROR(__xludf.DUMMYFUNCTION("""COMPUTED_VALUE"""),9623.0)</f>
        <v>9623</v>
      </c>
      <c r="H442" s="5">
        <f>IFERROR(__xludf.DUMMYFUNCTION("""COMPUTED_VALUE"""),2597.0)</f>
        <v>2597</v>
      </c>
    </row>
    <row r="443">
      <c r="A443" s="4">
        <f>IFERROR(__xludf.DUMMYFUNCTION("""COMPUTED_VALUE"""),42811.0)</f>
        <v>42811</v>
      </c>
      <c r="B443" s="5">
        <f>IFERROR(__xludf.DUMMYFUNCTION("""COMPUTED_VALUE"""),2152.0)</f>
        <v>2152</v>
      </c>
      <c r="C443" s="6">
        <f>IFERROR(__xludf.DUMMYFUNCTION("""COMPUTED_VALUE"""),0.4788)</f>
        <v>0.4788</v>
      </c>
      <c r="D443" s="2">
        <f>IFERROR(__xludf.DUMMYFUNCTION("""COMPUTED_VALUE"""),0.001400462962962963)</f>
        <v>0.001400462963</v>
      </c>
      <c r="E443" s="1">
        <f>IFERROR(__xludf.DUMMYFUNCTION("""COMPUTED_VALUE"""),1.06)</f>
        <v>1.06</v>
      </c>
      <c r="F443" s="1">
        <f>IFERROR(__xludf.DUMMYFUNCTION("""COMPUTED_VALUE"""),3.87)</f>
        <v>3.87</v>
      </c>
      <c r="G443" s="5">
        <f>IFERROR(__xludf.DUMMYFUNCTION("""COMPUTED_VALUE"""),8873.0)</f>
        <v>8873</v>
      </c>
      <c r="H443" s="5">
        <f>IFERROR(__xludf.DUMMYFUNCTION("""COMPUTED_VALUE"""),2291.0)</f>
        <v>2291</v>
      </c>
    </row>
    <row r="444">
      <c r="A444" s="4">
        <f>IFERROR(__xludf.DUMMYFUNCTION("""COMPUTED_VALUE"""),42812.0)</f>
        <v>42812</v>
      </c>
      <c r="B444" s="5">
        <f>IFERROR(__xludf.DUMMYFUNCTION("""COMPUTED_VALUE"""),1597.0)</f>
        <v>1597</v>
      </c>
      <c r="C444" s="6">
        <f>IFERROR(__xludf.DUMMYFUNCTION("""COMPUTED_VALUE"""),0.5)</f>
        <v>0.5</v>
      </c>
      <c r="D444" s="2">
        <f>IFERROR(__xludf.DUMMYFUNCTION("""COMPUTED_VALUE"""),0.001412037037037037)</f>
        <v>0.001412037037</v>
      </c>
      <c r="E444" s="1">
        <f>IFERROR(__xludf.DUMMYFUNCTION("""COMPUTED_VALUE"""),1.08)</f>
        <v>1.08</v>
      </c>
      <c r="F444" s="1">
        <f>IFERROR(__xludf.DUMMYFUNCTION("""COMPUTED_VALUE"""),4.35)</f>
        <v>4.35</v>
      </c>
      <c r="G444" s="5">
        <f>IFERROR(__xludf.DUMMYFUNCTION("""COMPUTED_VALUE"""),7498.0)</f>
        <v>7498</v>
      </c>
      <c r="H444" s="5">
        <f>IFERROR(__xludf.DUMMYFUNCTION("""COMPUTED_VALUE"""),1722.0)</f>
        <v>1722</v>
      </c>
    </row>
    <row r="445">
      <c r="A445" s="4">
        <f>IFERROR(__xludf.DUMMYFUNCTION("""COMPUTED_VALUE"""),42813.0)</f>
        <v>42813</v>
      </c>
      <c r="B445" s="5">
        <f>IFERROR(__xludf.DUMMYFUNCTION("""COMPUTED_VALUE"""),1736.0)</f>
        <v>1736</v>
      </c>
      <c r="C445" s="6">
        <f>IFERROR(__xludf.DUMMYFUNCTION("""COMPUTED_VALUE"""),0.5331)</f>
        <v>0.5331</v>
      </c>
      <c r="D445" s="2">
        <f>IFERROR(__xludf.DUMMYFUNCTION("""COMPUTED_VALUE"""),0.0015046296296296296)</f>
        <v>0.00150462963</v>
      </c>
      <c r="E445" s="1">
        <f>IFERROR(__xludf.DUMMYFUNCTION("""COMPUTED_VALUE"""),1.1)</f>
        <v>1.1</v>
      </c>
      <c r="F445" s="1">
        <f>IFERROR(__xludf.DUMMYFUNCTION("""COMPUTED_VALUE"""),4.08)</f>
        <v>4.08</v>
      </c>
      <c r="G445" s="5">
        <f>IFERROR(__xludf.DUMMYFUNCTION("""COMPUTED_VALUE"""),7762.0)</f>
        <v>7762</v>
      </c>
      <c r="H445" s="5">
        <f>IFERROR(__xludf.DUMMYFUNCTION("""COMPUTED_VALUE"""),1902.0)</f>
        <v>1902</v>
      </c>
    </row>
    <row r="446">
      <c r="A446" s="4">
        <f>IFERROR(__xludf.DUMMYFUNCTION("""COMPUTED_VALUE"""),42814.0)</f>
        <v>42814</v>
      </c>
      <c r="B446" s="5">
        <f>IFERROR(__xludf.DUMMYFUNCTION("""COMPUTED_VALUE"""),2458.0)</f>
        <v>2458</v>
      </c>
      <c r="C446" s="6">
        <f>IFERROR(__xludf.DUMMYFUNCTION("""COMPUTED_VALUE"""),0.5293)</f>
        <v>0.5293</v>
      </c>
      <c r="D446" s="2">
        <f>IFERROR(__xludf.DUMMYFUNCTION("""COMPUTED_VALUE"""),0.0012152777777777778)</f>
        <v>0.001215277778</v>
      </c>
      <c r="E446" s="1">
        <f>IFERROR(__xludf.DUMMYFUNCTION("""COMPUTED_VALUE"""),1.07)</f>
        <v>1.07</v>
      </c>
      <c r="F446" s="1">
        <f>IFERROR(__xludf.DUMMYFUNCTION("""COMPUTED_VALUE"""),3.51)</f>
        <v>3.51</v>
      </c>
      <c r="G446" s="5">
        <f>IFERROR(__xludf.DUMMYFUNCTION("""COMPUTED_VALUE"""),9220.0)</f>
        <v>9220</v>
      </c>
      <c r="H446" s="5">
        <f>IFERROR(__xludf.DUMMYFUNCTION("""COMPUTED_VALUE"""),2624.0)</f>
        <v>2624</v>
      </c>
    </row>
    <row r="447">
      <c r="A447" s="4">
        <f>IFERROR(__xludf.DUMMYFUNCTION("""COMPUTED_VALUE"""),42815.0)</f>
        <v>42815</v>
      </c>
      <c r="B447" s="5">
        <f>IFERROR(__xludf.DUMMYFUNCTION("""COMPUTED_VALUE"""),2624.0)</f>
        <v>2624</v>
      </c>
      <c r="C447" s="6">
        <f>IFERROR(__xludf.DUMMYFUNCTION("""COMPUTED_VALUE"""),0.4949)</f>
        <v>0.4949</v>
      </c>
      <c r="D447" s="2">
        <f>IFERROR(__xludf.DUMMYFUNCTION("""COMPUTED_VALUE"""),0.002013888888888889)</f>
        <v>0.002013888889</v>
      </c>
      <c r="E447" s="1">
        <f>IFERROR(__xludf.DUMMYFUNCTION("""COMPUTED_VALUE"""),1.08)</f>
        <v>1.08</v>
      </c>
      <c r="F447" s="1">
        <f>IFERROR(__xludf.DUMMYFUNCTION("""COMPUTED_VALUE"""),4.04)</f>
        <v>4.04</v>
      </c>
      <c r="G447" s="5">
        <f>IFERROR(__xludf.DUMMYFUNCTION("""COMPUTED_VALUE"""),11455.0)</f>
        <v>11455</v>
      </c>
      <c r="H447" s="5">
        <f>IFERROR(__xludf.DUMMYFUNCTION("""COMPUTED_VALUE"""),2833.0)</f>
        <v>2833</v>
      </c>
    </row>
    <row r="448">
      <c r="A448" s="4">
        <f>IFERROR(__xludf.DUMMYFUNCTION("""COMPUTED_VALUE"""),42816.0)</f>
        <v>42816</v>
      </c>
      <c r="B448" s="5">
        <f>IFERROR(__xludf.DUMMYFUNCTION("""COMPUTED_VALUE"""),2597.0)</f>
        <v>2597</v>
      </c>
      <c r="C448" s="6">
        <f>IFERROR(__xludf.DUMMYFUNCTION("""COMPUTED_VALUE"""),0.48)</f>
        <v>0.48</v>
      </c>
      <c r="D448" s="2">
        <f>IFERROR(__xludf.DUMMYFUNCTION("""COMPUTED_VALUE"""),0.001979166666666667)</f>
        <v>0.001979166667</v>
      </c>
      <c r="E448" s="1">
        <f>IFERROR(__xludf.DUMMYFUNCTION("""COMPUTED_VALUE"""),1.07)</f>
        <v>1.07</v>
      </c>
      <c r="F448" s="1">
        <f>IFERROR(__xludf.DUMMYFUNCTION("""COMPUTED_VALUE"""),4.16)</f>
        <v>4.16</v>
      </c>
      <c r="G448" s="5">
        <f>IFERROR(__xludf.DUMMYFUNCTION("""COMPUTED_VALUE"""),11539.0)</f>
        <v>11539</v>
      </c>
      <c r="H448" s="5">
        <f>IFERROR(__xludf.DUMMYFUNCTION("""COMPUTED_VALUE"""),2777.0)</f>
        <v>2777</v>
      </c>
    </row>
    <row r="449">
      <c r="A449" s="4">
        <f>IFERROR(__xludf.DUMMYFUNCTION("""COMPUTED_VALUE"""),42817.0)</f>
        <v>42817</v>
      </c>
      <c r="B449" s="5">
        <f>IFERROR(__xludf.DUMMYFUNCTION("""COMPUTED_VALUE"""),2791.0)</f>
        <v>2791</v>
      </c>
      <c r="C449" s="6">
        <f>IFERROR(__xludf.DUMMYFUNCTION("""COMPUTED_VALUE"""),0.5227)</f>
        <v>0.5227</v>
      </c>
      <c r="D449" s="2">
        <f>IFERROR(__xludf.DUMMYFUNCTION("""COMPUTED_VALUE"""),0.0014351851851851852)</f>
        <v>0.001435185185</v>
      </c>
      <c r="E449" s="1">
        <f>IFERROR(__xludf.DUMMYFUNCTION("""COMPUTED_VALUE"""),1.09)</f>
        <v>1.09</v>
      </c>
      <c r="F449" s="1">
        <f>IFERROR(__xludf.DUMMYFUNCTION("""COMPUTED_VALUE"""),3.86)</f>
        <v>3.86</v>
      </c>
      <c r="G449" s="5">
        <f>IFERROR(__xludf.DUMMYFUNCTION("""COMPUTED_VALUE"""),11803.0)</f>
        <v>11803</v>
      </c>
      <c r="H449" s="5">
        <f>IFERROR(__xludf.DUMMYFUNCTION("""COMPUTED_VALUE"""),3055.0)</f>
        <v>3055</v>
      </c>
    </row>
    <row r="450">
      <c r="A450" s="4">
        <f>IFERROR(__xludf.DUMMYFUNCTION("""COMPUTED_VALUE"""),42818.0)</f>
        <v>42818</v>
      </c>
      <c r="B450" s="5">
        <f>IFERROR(__xludf.DUMMYFUNCTION("""COMPUTED_VALUE"""),2194.0)</f>
        <v>2194</v>
      </c>
      <c r="C450" s="6">
        <f>IFERROR(__xludf.DUMMYFUNCTION("""COMPUTED_VALUE"""),0.5356)</f>
        <v>0.5356</v>
      </c>
      <c r="D450" s="2">
        <f>IFERROR(__xludf.DUMMYFUNCTION("""COMPUTED_VALUE"""),0.0019328703703703704)</f>
        <v>0.00193287037</v>
      </c>
      <c r="E450" s="1">
        <f>IFERROR(__xludf.DUMMYFUNCTION("""COMPUTED_VALUE"""),1.16)</f>
        <v>1.16</v>
      </c>
      <c r="F450" s="1">
        <f>IFERROR(__xludf.DUMMYFUNCTION("""COMPUTED_VALUE"""),4.12)</f>
        <v>4.12</v>
      </c>
      <c r="G450" s="5">
        <f>IFERROR(__xludf.DUMMYFUNCTION("""COMPUTED_VALUE"""),10470.0)</f>
        <v>10470</v>
      </c>
      <c r="H450" s="5">
        <f>IFERROR(__xludf.DUMMYFUNCTION("""COMPUTED_VALUE"""),2541.0)</f>
        <v>2541</v>
      </c>
    </row>
    <row r="451">
      <c r="A451" s="4">
        <f>IFERROR(__xludf.DUMMYFUNCTION("""COMPUTED_VALUE"""),42819.0)</f>
        <v>42819</v>
      </c>
      <c r="B451" s="5">
        <f>IFERROR(__xludf.DUMMYFUNCTION("""COMPUTED_VALUE"""),1694.0)</f>
        <v>1694</v>
      </c>
      <c r="C451" s="6">
        <f>IFERROR(__xludf.DUMMYFUNCTION("""COMPUTED_VALUE"""),0.5003)</f>
        <v>0.5003</v>
      </c>
      <c r="D451" s="2">
        <f>IFERROR(__xludf.DUMMYFUNCTION("""COMPUTED_VALUE"""),0.0022337962962962962)</f>
        <v>0.002233796296</v>
      </c>
      <c r="E451" s="1">
        <f>IFERROR(__xludf.DUMMYFUNCTION("""COMPUTED_VALUE"""),1.07)</f>
        <v>1.07</v>
      </c>
      <c r="F451" s="1">
        <f>IFERROR(__xludf.DUMMYFUNCTION("""COMPUTED_VALUE"""),4.59)</f>
        <v>4.59</v>
      </c>
      <c r="G451" s="5">
        <f>IFERROR(__xludf.DUMMYFUNCTION("""COMPUTED_VALUE"""),8276.0)</f>
        <v>8276</v>
      </c>
      <c r="H451" s="5">
        <f>IFERROR(__xludf.DUMMYFUNCTION("""COMPUTED_VALUE"""),1805.0)</f>
        <v>1805</v>
      </c>
    </row>
    <row r="452">
      <c r="A452" s="4">
        <f>IFERROR(__xludf.DUMMYFUNCTION("""COMPUTED_VALUE"""),42820.0)</f>
        <v>42820</v>
      </c>
      <c r="B452" s="5">
        <f>IFERROR(__xludf.DUMMYFUNCTION("""COMPUTED_VALUE"""),1750.0)</f>
        <v>1750</v>
      </c>
      <c r="C452" s="6">
        <f>IFERROR(__xludf.DUMMYFUNCTION("""COMPUTED_VALUE"""),0.5297)</f>
        <v>0.5297</v>
      </c>
      <c r="D452" s="2">
        <f>IFERROR(__xludf.DUMMYFUNCTION("""COMPUTED_VALUE"""),0.0024305555555555556)</f>
        <v>0.002430555556</v>
      </c>
      <c r="E452" s="1">
        <f>IFERROR(__xludf.DUMMYFUNCTION("""COMPUTED_VALUE"""),1.08)</f>
        <v>1.08</v>
      </c>
      <c r="F452" s="1">
        <f>IFERROR(__xludf.DUMMYFUNCTION("""COMPUTED_VALUE"""),4.77)</f>
        <v>4.77</v>
      </c>
      <c r="G452" s="5">
        <f>IFERROR(__xludf.DUMMYFUNCTION("""COMPUTED_VALUE"""),8998.0)</f>
        <v>8998</v>
      </c>
      <c r="H452" s="5">
        <f>IFERROR(__xludf.DUMMYFUNCTION("""COMPUTED_VALUE"""),1888.0)</f>
        <v>1888</v>
      </c>
    </row>
    <row r="453">
      <c r="A453" s="4">
        <f>IFERROR(__xludf.DUMMYFUNCTION("""COMPUTED_VALUE"""),42821.0)</f>
        <v>42821</v>
      </c>
      <c r="B453" s="5">
        <f>IFERROR(__xludf.DUMMYFUNCTION("""COMPUTED_VALUE"""),2458.0)</f>
        <v>2458</v>
      </c>
      <c r="C453" s="6">
        <f>IFERROR(__xludf.DUMMYFUNCTION("""COMPUTED_VALUE"""),0.4823)</f>
        <v>0.4823</v>
      </c>
      <c r="D453" s="2">
        <f>IFERROR(__xludf.DUMMYFUNCTION("""COMPUTED_VALUE"""),0.001585648148148148)</f>
        <v>0.001585648148</v>
      </c>
      <c r="E453" s="1">
        <f>IFERROR(__xludf.DUMMYFUNCTION("""COMPUTED_VALUE"""),1.11)</f>
        <v>1.11</v>
      </c>
      <c r="F453" s="1">
        <f>IFERROR(__xludf.DUMMYFUNCTION("""COMPUTED_VALUE"""),4.03)</f>
        <v>4.03</v>
      </c>
      <c r="G453" s="5">
        <f>IFERROR(__xludf.DUMMYFUNCTION("""COMPUTED_VALUE"""),11025.0)</f>
        <v>11025</v>
      </c>
      <c r="H453" s="5">
        <f>IFERROR(__xludf.DUMMYFUNCTION("""COMPUTED_VALUE"""),2735.0)</f>
        <v>2735</v>
      </c>
    </row>
    <row r="454">
      <c r="A454" s="4">
        <f>IFERROR(__xludf.DUMMYFUNCTION("""COMPUTED_VALUE"""),42822.0)</f>
        <v>42822</v>
      </c>
      <c r="B454" s="5">
        <f>IFERROR(__xludf.DUMMYFUNCTION("""COMPUTED_VALUE"""),2485.0)</f>
        <v>2485</v>
      </c>
      <c r="C454" s="6">
        <f>IFERROR(__xludf.DUMMYFUNCTION("""COMPUTED_VALUE"""),0.4072)</f>
        <v>0.4072</v>
      </c>
      <c r="D454" s="2">
        <f>IFERROR(__xludf.DUMMYFUNCTION("""COMPUTED_VALUE"""),0.0022453703703703702)</f>
        <v>0.00224537037</v>
      </c>
      <c r="E454" s="1">
        <f>IFERROR(__xludf.DUMMYFUNCTION("""COMPUTED_VALUE"""),1.11)</f>
        <v>1.11</v>
      </c>
      <c r="F454" s="1">
        <f>IFERROR(__xludf.DUMMYFUNCTION("""COMPUTED_VALUE"""),4.66)</f>
        <v>4.66</v>
      </c>
      <c r="G454" s="5">
        <f>IFERROR(__xludf.DUMMYFUNCTION("""COMPUTED_VALUE"""),12872.0)</f>
        <v>12872</v>
      </c>
      <c r="H454" s="5">
        <f>IFERROR(__xludf.DUMMYFUNCTION("""COMPUTED_VALUE"""),2763.0)</f>
        <v>2763</v>
      </c>
    </row>
    <row r="455">
      <c r="A455" s="4">
        <f>IFERROR(__xludf.DUMMYFUNCTION("""COMPUTED_VALUE"""),42823.0)</f>
        <v>42823</v>
      </c>
      <c r="B455" s="5">
        <f>IFERROR(__xludf.DUMMYFUNCTION("""COMPUTED_VALUE"""),2569.0)</f>
        <v>2569</v>
      </c>
      <c r="C455" s="6">
        <f>IFERROR(__xludf.DUMMYFUNCTION("""COMPUTED_VALUE"""),0.5177)</f>
        <v>0.5177</v>
      </c>
      <c r="D455" s="2">
        <f>IFERROR(__xludf.DUMMYFUNCTION("""COMPUTED_VALUE"""),0.0017824074074074075)</f>
        <v>0.001782407407</v>
      </c>
      <c r="E455" s="1">
        <f>IFERROR(__xludf.DUMMYFUNCTION("""COMPUTED_VALUE"""),1.06)</f>
        <v>1.06</v>
      </c>
      <c r="F455" s="1">
        <f>IFERROR(__xludf.DUMMYFUNCTION("""COMPUTED_VALUE"""),3.9)</f>
        <v>3.9</v>
      </c>
      <c r="G455" s="5">
        <f>IFERROR(__xludf.DUMMYFUNCTION("""COMPUTED_VALUE"""),10678.0)</f>
        <v>10678</v>
      </c>
      <c r="H455" s="5">
        <f>IFERROR(__xludf.DUMMYFUNCTION("""COMPUTED_VALUE"""),2735.0)</f>
        <v>2735</v>
      </c>
    </row>
    <row r="456">
      <c r="A456" s="4">
        <f>IFERROR(__xludf.DUMMYFUNCTION("""COMPUTED_VALUE"""),42824.0)</f>
        <v>42824</v>
      </c>
      <c r="B456" s="5">
        <f>IFERROR(__xludf.DUMMYFUNCTION("""COMPUTED_VALUE"""),2652.0)</f>
        <v>2652</v>
      </c>
      <c r="C456" s="6">
        <f>IFERROR(__xludf.DUMMYFUNCTION("""COMPUTED_VALUE"""),0.5336)</f>
        <v>0.5336</v>
      </c>
      <c r="D456" s="2">
        <f>IFERROR(__xludf.DUMMYFUNCTION("""COMPUTED_VALUE"""),0.0015625)</f>
        <v>0.0015625</v>
      </c>
      <c r="E456" s="1">
        <f>IFERROR(__xludf.DUMMYFUNCTION("""COMPUTED_VALUE"""),1.09)</f>
        <v>1.09</v>
      </c>
      <c r="F456" s="1">
        <f>IFERROR(__xludf.DUMMYFUNCTION("""COMPUTED_VALUE"""),3.68)</f>
        <v>3.68</v>
      </c>
      <c r="G456" s="5">
        <f>IFERROR(__xludf.DUMMYFUNCTION("""COMPUTED_VALUE"""),10636.0)</f>
        <v>10636</v>
      </c>
      <c r="H456" s="5">
        <f>IFERROR(__xludf.DUMMYFUNCTION("""COMPUTED_VALUE"""),2888.0)</f>
        <v>2888</v>
      </c>
    </row>
    <row r="457">
      <c r="A457" s="4">
        <f>IFERROR(__xludf.DUMMYFUNCTION("""COMPUTED_VALUE"""),42825.0)</f>
        <v>42825</v>
      </c>
      <c r="B457" s="5">
        <f>IFERROR(__xludf.DUMMYFUNCTION("""COMPUTED_VALUE"""),2180.0)</f>
        <v>2180</v>
      </c>
      <c r="C457" s="6">
        <f>IFERROR(__xludf.DUMMYFUNCTION("""COMPUTED_VALUE"""),0.4374)</f>
        <v>0.4374</v>
      </c>
      <c r="D457" s="2">
        <f>IFERROR(__xludf.DUMMYFUNCTION("""COMPUTED_VALUE"""),0.0017592592592592592)</f>
        <v>0.001759259259</v>
      </c>
      <c r="E457" s="1">
        <f>IFERROR(__xludf.DUMMYFUNCTION("""COMPUTED_VALUE"""),1.12)</f>
        <v>1.12</v>
      </c>
      <c r="F457" s="1">
        <f>IFERROR(__xludf.DUMMYFUNCTION("""COMPUTED_VALUE"""),4.2)</f>
        <v>4.2</v>
      </c>
      <c r="G457" s="5">
        <f>IFERROR(__xludf.DUMMYFUNCTION("""COMPUTED_VALUE"""),10261.0)</f>
        <v>10261</v>
      </c>
      <c r="H457" s="5">
        <f>IFERROR(__xludf.DUMMYFUNCTION("""COMPUTED_VALUE"""),2444.0)</f>
        <v>2444</v>
      </c>
    </row>
    <row r="458">
      <c r="A458" s="4">
        <f>IFERROR(__xludf.DUMMYFUNCTION("""COMPUTED_VALUE"""),42826.0)</f>
        <v>42826</v>
      </c>
      <c r="B458" s="5">
        <f>IFERROR(__xludf.DUMMYFUNCTION("""COMPUTED_VALUE"""),2138.0)</f>
        <v>2138</v>
      </c>
      <c r="C458" s="6">
        <f>IFERROR(__xludf.DUMMYFUNCTION("""COMPUTED_VALUE"""),0.5121)</f>
        <v>0.5121</v>
      </c>
      <c r="D458" s="2">
        <f>IFERROR(__xludf.DUMMYFUNCTION("""COMPUTED_VALUE"""),0.0014814814814814814)</f>
        <v>0.001481481481</v>
      </c>
      <c r="E458" s="1">
        <f>IFERROR(__xludf.DUMMYFUNCTION("""COMPUTED_VALUE"""),1.07)</f>
        <v>1.07</v>
      </c>
      <c r="F458" s="1">
        <f>IFERROR(__xludf.DUMMYFUNCTION("""COMPUTED_VALUE"""),3.93)</f>
        <v>3.93</v>
      </c>
      <c r="G458" s="5">
        <f>IFERROR(__xludf.DUMMYFUNCTION("""COMPUTED_VALUE"""),8956.0)</f>
        <v>8956</v>
      </c>
      <c r="H458" s="5">
        <f>IFERROR(__xludf.DUMMYFUNCTION("""COMPUTED_VALUE"""),2277.0)</f>
        <v>2277</v>
      </c>
    </row>
    <row r="459">
      <c r="A459" s="4">
        <f>IFERROR(__xludf.DUMMYFUNCTION("""COMPUTED_VALUE"""),42827.0)</f>
        <v>42827</v>
      </c>
      <c r="B459" s="5">
        <f>IFERROR(__xludf.DUMMYFUNCTION("""COMPUTED_VALUE"""),1861.0)</f>
        <v>1861</v>
      </c>
      <c r="C459" s="6">
        <f>IFERROR(__xludf.DUMMYFUNCTION("""COMPUTED_VALUE"""),0.621)</f>
        <v>0.621</v>
      </c>
      <c r="D459" s="2">
        <f>IFERROR(__xludf.DUMMYFUNCTION("""COMPUTED_VALUE"""),0.0016319444444444445)</f>
        <v>0.001631944444</v>
      </c>
      <c r="E459" s="1">
        <f>IFERROR(__xludf.DUMMYFUNCTION("""COMPUTED_VALUE"""),1.08)</f>
        <v>1.08</v>
      </c>
      <c r="F459" s="1">
        <f>IFERROR(__xludf.DUMMYFUNCTION("""COMPUTED_VALUE"""),3.72)</f>
        <v>3.72</v>
      </c>
      <c r="G459" s="5">
        <f>IFERROR(__xludf.DUMMYFUNCTION("""COMPUTED_VALUE"""),7498.0)</f>
        <v>7498</v>
      </c>
      <c r="H459" s="5">
        <f>IFERROR(__xludf.DUMMYFUNCTION("""COMPUTED_VALUE"""),2013.0)</f>
        <v>2013</v>
      </c>
    </row>
    <row r="460">
      <c r="A460" s="4">
        <f>IFERROR(__xludf.DUMMYFUNCTION("""COMPUTED_VALUE"""),42828.0)</f>
        <v>42828</v>
      </c>
      <c r="B460" s="5">
        <f>IFERROR(__xludf.DUMMYFUNCTION("""COMPUTED_VALUE"""),2222.0)</f>
        <v>2222</v>
      </c>
      <c r="C460" s="6">
        <f>IFERROR(__xludf.DUMMYFUNCTION("""COMPUTED_VALUE"""),0.4509)</f>
        <v>0.4509</v>
      </c>
      <c r="D460" s="2">
        <f>IFERROR(__xludf.DUMMYFUNCTION("""COMPUTED_VALUE"""),0.0017824074074074075)</f>
        <v>0.001782407407</v>
      </c>
      <c r="E460" s="1">
        <f>IFERROR(__xludf.DUMMYFUNCTION("""COMPUTED_VALUE"""),1.15)</f>
        <v>1.15</v>
      </c>
      <c r="F460" s="1">
        <f>IFERROR(__xludf.DUMMYFUNCTION("""COMPUTED_VALUE"""),3.28)</f>
        <v>3.28</v>
      </c>
      <c r="G460" s="5">
        <f>IFERROR(__xludf.DUMMYFUNCTION("""COMPUTED_VALUE"""),8373.0)</f>
        <v>8373</v>
      </c>
      <c r="H460" s="5">
        <f>IFERROR(__xludf.DUMMYFUNCTION("""COMPUTED_VALUE"""),2555.0)</f>
        <v>2555</v>
      </c>
    </row>
    <row r="461">
      <c r="A461" s="4">
        <f>IFERROR(__xludf.DUMMYFUNCTION("""COMPUTED_VALUE"""),42829.0)</f>
        <v>42829</v>
      </c>
      <c r="B461" s="5">
        <f>IFERROR(__xludf.DUMMYFUNCTION("""COMPUTED_VALUE"""),2930.0)</f>
        <v>2930</v>
      </c>
      <c r="C461" s="6">
        <f>IFERROR(__xludf.DUMMYFUNCTION("""COMPUTED_VALUE"""),0.5133)</f>
        <v>0.5133</v>
      </c>
      <c r="D461" s="2">
        <f>IFERROR(__xludf.DUMMYFUNCTION("""COMPUTED_VALUE"""),0.001400462962962963)</f>
        <v>0.001400462963</v>
      </c>
      <c r="E461" s="1">
        <f>IFERROR(__xludf.DUMMYFUNCTION("""COMPUTED_VALUE"""),1.08)</f>
        <v>1.08</v>
      </c>
      <c r="F461" s="1">
        <f>IFERROR(__xludf.DUMMYFUNCTION("""COMPUTED_VALUE"""),3.6)</f>
        <v>3.6</v>
      </c>
      <c r="G461" s="5">
        <f>IFERROR(__xludf.DUMMYFUNCTION("""COMPUTED_VALUE"""),11400.0)</f>
        <v>11400</v>
      </c>
      <c r="H461" s="5">
        <f>IFERROR(__xludf.DUMMYFUNCTION("""COMPUTED_VALUE"""),3166.0)</f>
        <v>3166</v>
      </c>
    </row>
    <row r="462">
      <c r="A462" s="4">
        <f>IFERROR(__xludf.DUMMYFUNCTION("""COMPUTED_VALUE"""),42830.0)</f>
        <v>42830</v>
      </c>
      <c r="B462" s="5">
        <f>IFERROR(__xludf.DUMMYFUNCTION("""COMPUTED_VALUE"""),2583.0)</f>
        <v>2583</v>
      </c>
      <c r="C462" s="6">
        <f>IFERROR(__xludf.DUMMYFUNCTION("""COMPUTED_VALUE"""),0.4736)</f>
        <v>0.4736</v>
      </c>
      <c r="D462" s="2">
        <f>IFERROR(__xludf.DUMMYFUNCTION("""COMPUTED_VALUE"""),0.0019328703703703704)</f>
        <v>0.00193287037</v>
      </c>
      <c r="E462" s="1">
        <f>IFERROR(__xludf.DUMMYFUNCTION("""COMPUTED_VALUE"""),1.11)</f>
        <v>1.11</v>
      </c>
      <c r="F462" s="1">
        <f>IFERROR(__xludf.DUMMYFUNCTION("""COMPUTED_VALUE"""),3.94)</f>
        <v>3.94</v>
      </c>
      <c r="G462" s="5">
        <f>IFERROR(__xludf.DUMMYFUNCTION("""COMPUTED_VALUE"""),11317.0)</f>
        <v>11317</v>
      </c>
      <c r="H462" s="5">
        <f>IFERROR(__xludf.DUMMYFUNCTION("""COMPUTED_VALUE"""),2874.0)</f>
        <v>2874</v>
      </c>
    </row>
    <row r="463">
      <c r="A463" s="4">
        <f>IFERROR(__xludf.DUMMYFUNCTION("""COMPUTED_VALUE"""),42831.0)</f>
        <v>42831</v>
      </c>
      <c r="B463" s="5">
        <f>IFERROR(__xludf.DUMMYFUNCTION("""COMPUTED_VALUE"""),2666.0)</f>
        <v>2666</v>
      </c>
      <c r="C463" s="6">
        <f>IFERROR(__xludf.DUMMYFUNCTION("""COMPUTED_VALUE"""),0.5262)</f>
        <v>0.5262</v>
      </c>
      <c r="D463" s="2">
        <f>IFERROR(__xludf.DUMMYFUNCTION("""COMPUTED_VALUE"""),0.001400462962962963)</f>
        <v>0.001400462963</v>
      </c>
      <c r="E463" s="1">
        <f>IFERROR(__xludf.DUMMYFUNCTION("""COMPUTED_VALUE"""),1.09)</f>
        <v>1.09</v>
      </c>
      <c r="F463" s="1">
        <f>IFERROR(__xludf.DUMMYFUNCTION("""COMPUTED_VALUE"""),3.17)</f>
        <v>3.17</v>
      </c>
      <c r="G463" s="5">
        <f>IFERROR(__xludf.DUMMYFUNCTION("""COMPUTED_VALUE"""),9192.0)</f>
        <v>9192</v>
      </c>
      <c r="H463" s="5">
        <f>IFERROR(__xludf.DUMMYFUNCTION("""COMPUTED_VALUE"""),2902.0)</f>
        <v>2902</v>
      </c>
    </row>
    <row r="464">
      <c r="A464" s="4">
        <f>IFERROR(__xludf.DUMMYFUNCTION("""COMPUTED_VALUE"""),42832.0)</f>
        <v>42832</v>
      </c>
      <c r="B464" s="5">
        <f>IFERROR(__xludf.DUMMYFUNCTION("""COMPUTED_VALUE"""),2319.0)</f>
        <v>2319</v>
      </c>
      <c r="C464" s="6">
        <f>IFERROR(__xludf.DUMMYFUNCTION("""COMPUTED_VALUE"""),0.5222)</f>
        <v>0.5222</v>
      </c>
      <c r="D464" s="2">
        <f>IFERROR(__xludf.DUMMYFUNCTION("""COMPUTED_VALUE"""),0.0016782407407407408)</f>
        <v>0.001678240741</v>
      </c>
      <c r="E464" s="1">
        <f>IFERROR(__xludf.DUMMYFUNCTION("""COMPUTED_VALUE"""),1.08)</f>
        <v>1.08</v>
      </c>
      <c r="F464" s="1">
        <f>IFERROR(__xludf.DUMMYFUNCTION("""COMPUTED_VALUE"""),3.72)</f>
        <v>3.72</v>
      </c>
      <c r="G464" s="5">
        <f>IFERROR(__xludf.DUMMYFUNCTION("""COMPUTED_VALUE"""),9303.0)</f>
        <v>9303</v>
      </c>
      <c r="H464" s="5">
        <f>IFERROR(__xludf.DUMMYFUNCTION("""COMPUTED_VALUE"""),2499.0)</f>
        <v>2499</v>
      </c>
    </row>
    <row r="465">
      <c r="A465" s="4">
        <f>IFERROR(__xludf.DUMMYFUNCTION("""COMPUTED_VALUE"""),42833.0)</f>
        <v>42833</v>
      </c>
      <c r="B465" s="5">
        <f>IFERROR(__xludf.DUMMYFUNCTION("""COMPUTED_VALUE"""),1680.0)</f>
        <v>1680</v>
      </c>
      <c r="C465" s="6">
        <f>IFERROR(__xludf.DUMMYFUNCTION("""COMPUTED_VALUE"""),0.4645)</f>
        <v>0.4645</v>
      </c>
      <c r="D465" s="2">
        <f>IFERROR(__xludf.DUMMYFUNCTION("""COMPUTED_VALUE"""),0.001851851851851852)</f>
        <v>0.001851851852</v>
      </c>
      <c r="E465" s="1">
        <f>IFERROR(__xludf.DUMMYFUNCTION("""COMPUTED_VALUE"""),1.16)</f>
        <v>1.16</v>
      </c>
      <c r="F465" s="1">
        <f>IFERROR(__xludf.DUMMYFUNCTION("""COMPUTED_VALUE"""),4.76)</f>
        <v>4.76</v>
      </c>
      <c r="G465" s="5">
        <f>IFERROR(__xludf.DUMMYFUNCTION("""COMPUTED_VALUE"""),9248.0)</f>
        <v>9248</v>
      </c>
      <c r="H465" s="5">
        <f>IFERROR(__xludf.DUMMYFUNCTION("""COMPUTED_VALUE"""),1944.0)</f>
        <v>1944</v>
      </c>
    </row>
    <row r="466">
      <c r="A466" s="4">
        <f>IFERROR(__xludf.DUMMYFUNCTION("""COMPUTED_VALUE"""),42834.0)</f>
        <v>42834</v>
      </c>
      <c r="B466" s="5">
        <f>IFERROR(__xludf.DUMMYFUNCTION("""COMPUTED_VALUE"""),1847.0)</f>
        <v>1847</v>
      </c>
      <c r="C466" s="6">
        <f>IFERROR(__xludf.DUMMYFUNCTION("""COMPUTED_VALUE"""),0.5146)</f>
        <v>0.5146</v>
      </c>
      <c r="D466" s="2">
        <f>IFERROR(__xludf.DUMMYFUNCTION("""COMPUTED_VALUE"""),0.0019097222222222222)</f>
        <v>0.001909722222</v>
      </c>
      <c r="E466" s="1">
        <f>IFERROR(__xludf.DUMMYFUNCTION("""COMPUTED_VALUE"""),1.04)</f>
        <v>1.04</v>
      </c>
      <c r="F466" s="1">
        <f>IFERROR(__xludf.DUMMYFUNCTION("""COMPUTED_VALUE"""),4.4)</f>
        <v>4.4</v>
      </c>
      <c r="G466" s="5">
        <f>IFERROR(__xludf.DUMMYFUNCTION("""COMPUTED_VALUE"""),8428.0)</f>
        <v>8428</v>
      </c>
      <c r="H466" s="5">
        <f>IFERROR(__xludf.DUMMYFUNCTION("""COMPUTED_VALUE"""),1916.0)</f>
        <v>1916</v>
      </c>
    </row>
    <row r="467">
      <c r="A467" s="4">
        <f>IFERROR(__xludf.DUMMYFUNCTION("""COMPUTED_VALUE"""),42835.0)</f>
        <v>42835</v>
      </c>
      <c r="B467" s="5">
        <f>IFERROR(__xludf.DUMMYFUNCTION("""COMPUTED_VALUE"""),2666.0)</f>
        <v>2666</v>
      </c>
      <c r="C467" s="6">
        <f>IFERROR(__xludf.DUMMYFUNCTION("""COMPUTED_VALUE"""),0.4322)</f>
        <v>0.4322</v>
      </c>
      <c r="D467" s="2">
        <f>IFERROR(__xludf.DUMMYFUNCTION("""COMPUTED_VALUE"""),0.002199074074074074)</f>
        <v>0.002199074074</v>
      </c>
      <c r="E467" s="1">
        <f>IFERROR(__xludf.DUMMYFUNCTION("""COMPUTED_VALUE"""),1.07)</f>
        <v>1.07</v>
      </c>
      <c r="F467" s="1">
        <f>IFERROR(__xludf.DUMMYFUNCTION("""COMPUTED_VALUE"""),4.82)</f>
        <v>4.82</v>
      </c>
      <c r="G467" s="5">
        <f>IFERROR(__xludf.DUMMYFUNCTION("""COMPUTED_VALUE"""),13774.0)</f>
        <v>13774</v>
      </c>
      <c r="H467" s="5">
        <f>IFERROR(__xludf.DUMMYFUNCTION("""COMPUTED_VALUE"""),2860.0)</f>
        <v>2860</v>
      </c>
    </row>
    <row r="468">
      <c r="A468" s="4">
        <f>IFERROR(__xludf.DUMMYFUNCTION("""COMPUTED_VALUE"""),42836.0)</f>
        <v>42836</v>
      </c>
      <c r="B468" s="5">
        <f>IFERROR(__xludf.DUMMYFUNCTION("""COMPUTED_VALUE"""),2416.0)</f>
        <v>2416</v>
      </c>
      <c r="C468" s="6">
        <f>IFERROR(__xludf.DUMMYFUNCTION("""COMPUTED_VALUE"""),0.474)</f>
        <v>0.474</v>
      </c>
      <c r="D468" s="2">
        <f>IFERROR(__xludf.DUMMYFUNCTION("""COMPUTED_VALUE"""),0.0015277777777777779)</f>
        <v>0.001527777778</v>
      </c>
      <c r="E468" s="1">
        <f>IFERROR(__xludf.DUMMYFUNCTION("""COMPUTED_VALUE"""),1.12)</f>
        <v>1.12</v>
      </c>
      <c r="F468" s="1">
        <f>IFERROR(__xludf.DUMMYFUNCTION("""COMPUTED_VALUE"""),4.06)</f>
        <v>4.06</v>
      </c>
      <c r="G468" s="5">
        <f>IFERROR(__xludf.DUMMYFUNCTION("""COMPUTED_VALUE"""),10942.0)</f>
        <v>10942</v>
      </c>
      <c r="H468" s="5">
        <f>IFERROR(__xludf.DUMMYFUNCTION("""COMPUTED_VALUE"""),2694.0)</f>
        <v>2694</v>
      </c>
    </row>
    <row r="469">
      <c r="A469" s="4">
        <f>IFERROR(__xludf.DUMMYFUNCTION("""COMPUTED_VALUE"""),42837.0)</f>
        <v>42837</v>
      </c>
      <c r="B469" s="5">
        <f>IFERROR(__xludf.DUMMYFUNCTION("""COMPUTED_VALUE"""),2138.0)</f>
        <v>2138</v>
      </c>
      <c r="C469" s="6">
        <f>IFERROR(__xludf.DUMMYFUNCTION("""COMPUTED_VALUE"""),0.4068)</f>
        <v>0.4068</v>
      </c>
      <c r="D469" s="2">
        <f>IFERROR(__xludf.DUMMYFUNCTION("""COMPUTED_VALUE"""),0.0022569444444444442)</f>
        <v>0.002256944444</v>
      </c>
      <c r="E469" s="1">
        <f>IFERROR(__xludf.DUMMYFUNCTION("""COMPUTED_VALUE"""),1.18)</f>
        <v>1.18</v>
      </c>
      <c r="F469" s="1">
        <f>IFERROR(__xludf.DUMMYFUNCTION("""COMPUTED_VALUE"""),4.52)</f>
        <v>4.52</v>
      </c>
      <c r="G469" s="5">
        <f>IFERROR(__xludf.DUMMYFUNCTION("""COMPUTED_VALUE"""),11428.0)</f>
        <v>11428</v>
      </c>
      <c r="H469" s="5">
        <f>IFERROR(__xludf.DUMMYFUNCTION("""COMPUTED_VALUE"""),2527.0)</f>
        <v>2527</v>
      </c>
    </row>
    <row r="470">
      <c r="A470" s="4">
        <f>IFERROR(__xludf.DUMMYFUNCTION("""COMPUTED_VALUE"""),42838.0)</f>
        <v>42838</v>
      </c>
      <c r="B470" s="5">
        <f>IFERROR(__xludf.DUMMYFUNCTION("""COMPUTED_VALUE"""),2374.0)</f>
        <v>2374</v>
      </c>
      <c r="C470" s="6">
        <f>IFERROR(__xludf.DUMMYFUNCTION("""COMPUTED_VALUE"""),0.467)</f>
        <v>0.467</v>
      </c>
      <c r="D470" s="2">
        <f>IFERROR(__xludf.DUMMYFUNCTION("""COMPUTED_VALUE"""),0.0019097222222222222)</f>
        <v>0.001909722222</v>
      </c>
      <c r="E470" s="1">
        <f>IFERROR(__xludf.DUMMYFUNCTION("""COMPUTED_VALUE"""),1.06)</f>
        <v>1.06</v>
      </c>
      <c r="F470" s="1">
        <f>IFERROR(__xludf.DUMMYFUNCTION("""COMPUTED_VALUE"""),4.03)</f>
        <v>4.03</v>
      </c>
      <c r="G470" s="5">
        <f>IFERROR(__xludf.DUMMYFUNCTION("""COMPUTED_VALUE"""),10192.0)</f>
        <v>10192</v>
      </c>
      <c r="H470" s="5">
        <f>IFERROR(__xludf.DUMMYFUNCTION("""COMPUTED_VALUE"""),2527.0)</f>
        <v>2527</v>
      </c>
    </row>
    <row r="471">
      <c r="A471" s="4">
        <f>IFERROR(__xludf.DUMMYFUNCTION("""COMPUTED_VALUE"""),42839.0)</f>
        <v>42839</v>
      </c>
      <c r="B471" s="5">
        <f>IFERROR(__xludf.DUMMYFUNCTION("""COMPUTED_VALUE"""),1750.0)</f>
        <v>1750</v>
      </c>
      <c r="C471" s="6">
        <f>IFERROR(__xludf.DUMMYFUNCTION("""COMPUTED_VALUE"""),0.5002)</f>
        <v>0.5002</v>
      </c>
      <c r="D471" s="2">
        <f>IFERROR(__xludf.DUMMYFUNCTION("""COMPUTED_VALUE"""),0.001979166666666667)</f>
        <v>0.001979166667</v>
      </c>
      <c r="E471" s="1">
        <f>IFERROR(__xludf.DUMMYFUNCTION("""COMPUTED_VALUE"""),1.16)</f>
        <v>1.16</v>
      </c>
      <c r="F471" s="1">
        <f>IFERROR(__xludf.DUMMYFUNCTION("""COMPUTED_VALUE"""),4.5)</f>
        <v>4.5</v>
      </c>
      <c r="G471" s="5">
        <f>IFERROR(__xludf.DUMMYFUNCTION("""COMPUTED_VALUE"""),9123.0)</f>
        <v>9123</v>
      </c>
      <c r="H471" s="5">
        <f>IFERROR(__xludf.DUMMYFUNCTION("""COMPUTED_VALUE"""),2027.0)</f>
        <v>2027</v>
      </c>
    </row>
    <row r="472">
      <c r="A472" s="4">
        <f>IFERROR(__xludf.DUMMYFUNCTION("""COMPUTED_VALUE"""),42840.0)</f>
        <v>42840</v>
      </c>
      <c r="B472" s="5">
        <f>IFERROR(__xludf.DUMMYFUNCTION("""COMPUTED_VALUE"""),1527.0)</f>
        <v>1527</v>
      </c>
      <c r="C472" s="6">
        <f>IFERROR(__xludf.DUMMYFUNCTION("""COMPUTED_VALUE"""),0.4997)</f>
        <v>0.4997</v>
      </c>
      <c r="D472" s="2">
        <f>IFERROR(__xludf.DUMMYFUNCTION("""COMPUTED_VALUE"""),0.0019212962962962964)</f>
        <v>0.001921296296</v>
      </c>
      <c r="E472" s="1">
        <f>IFERROR(__xludf.DUMMYFUNCTION("""COMPUTED_VALUE"""),1.06)</f>
        <v>1.06</v>
      </c>
      <c r="F472" s="1">
        <f>IFERROR(__xludf.DUMMYFUNCTION("""COMPUTED_VALUE"""),4.25)</f>
        <v>4.25</v>
      </c>
      <c r="G472" s="5">
        <f>IFERROR(__xludf.DUMMYFUNCTION("""COMPUTED_VALUE"""),6845.0)</f>
        <v>6845</v>
      </c>
      <c r="H472" s="5">
        <f>IFERROR(__xludf.DUMMYFUNCTION("""COMPUTED_VALUE"""),1611.0)</f>
        <v>1611</v>
      </c>
    </row>
    <row r="473">
      <c r="A473" s="4">
        <f>IFERROR(__xludf.DUMMYFUNCTION("""COMPUTED_VALUE"""),42841.0)</f>
        <v>42841</v>
      </c>
      <c r="B473" s="5">
        <f>IFERROR(__xludf.DUMMYFUNCTION("""COMPUTED_VALUE"""),1514.0)</f>
        <v>1514</v>
      </c>
      <c r="C473" s="6">
        <f>IFERROR(__xludf.DUMMYFUNCTION("""COMPUTED_VALUE"""),0.5174)</f>
        <v>0.5174</v>
      </c>
      <c r="D473" s="2">
        <f>IFERROR(__xludf.DUMMYFUNCTION("""COMPUTED_VALUE"""),0.001724537037037037)</f>
        <v>0.001724537037</v>
      </c>
      <c r="E473" s="1">
        <f>IFERROR(__xludf.DUMMYFUNCTION("""COMPUTED_VALUE"""),1.05)</f>
        <v>1.05</v>
      </c>
      <c r="F473" s="1">
        <f>IFERROR(__xludf.DUMMYFUNCTION("""COMPUTED_VALUE"""),3.72)</f>
        <v>3.72</v>
      </c>
      <c r="G473" s="5">
        <f>IFERROR(__xludf.DUMMYFUNCTION("""COMPUTED_VALUE"""),5887.0)</f>
        <v>5887</v>
      </c>
      <c r="H473" s="5">
        <f>IFERROR(__xludf.DUMMYFUNCTION("""COMPUTED_VALUE"""),1583.0)</f>
        <v>1583</v>
      </c>
    </row>
    <row r="474">
      <c r="A474" s="4">
        <f>IFERROR(__xludf.DUMMYFUNCTION("""COMPUTED_VALUE"""),42842.0)</f>
        <v>42842</v>
      </c>
      <c r="B474" s="5">
        <f>IFERROR(__xludf.DUMMYFUNCTION("""COMPUTED_VALUE"""),2236.0)</f>
        <v>2236</v>
      </c>
      <c r="C474" s="6">
        <f>IFERROR(__xludf.DUMMYFUNCTION("""COMPUTED_VALUE"""),0.4943)</f>
        <v>0.4943</v>
      </c>
      <c r="D474" s="2">
        <f>IFERROR(__xludf.DUMMYFUNCTION("""COMPUTED_VALUE"""),0.0014351851851851852)</f>
        <v>0.001435185185</v>
      </c>
      <c r="E474" s="1">
        <f>IFERROR(__xludf.DUMMYFUNCTION("""COMPUTED_VALUE"""),1.11)</f>
        <v>1.11</v>
      </c>
      <c r="F474" s="1">
        <f>IFERROR(__xludf.DUMMYFUNCTION("""COMPUTED_VALUE"""),3.86)</f>
        <v>3.86</v>
      </c>
      <c r="G474" s="5">
        <f>IFERROR(__xludf.DUMMYFUNCTION("""COMPUTED_VALUE"""),9553.0)</f>
        <v>9553</v>
      </c>
      <c r="H474" s="5">
        <f>IFERROR(__xludf.DUMMYFUNCTION("""COMPUTED_VALUE"""),2472.0)</f>
        <v>2472</v>
      </c>
    </row>
    <row r="475">
      <c r="A475" s="4">
        <f>IFERROR(__xludf.DUMMYFUNCTION("""COMPUTED_VALUE"""),42843.0)</f>
        <v>42843</v>
      </c>
      <c r="B475" s="5">
        <f>IFERROR(__xludf.DUMMYFUNCTION("""COMPUTED_VALUE"""),2361.0)</f>
        <v>2361</v>
      </c>
      <c r="C475" s="6">
        <f>IFERROR(__xludf.DUMMYFUNCTION("""COMPUTED_VALUE"""),0.4813)</f>
        <v>0.4813</v>
      </c>
      <c r="D475" s="2">
        <f>IFERROR(__xludf.DUMMYFUNCTION("""COMPUTED_VALUE"""),0.002037037037037037)</f>
        <v>0.002037037037</v>
      </c>
      <c r="E475" s="1">
        <f>IFERROR(__xludf.DUMMYFUNCTION("""COMPUTED_VALUE"""),1.1)</f>
        <v>1.1</v>
      </c>
      <c r="F475" s="1">
        <f>IFERROR(__xludf.DUMMYFUNCTION("""COMPUTED_VALUE"""),4.14)</f>
        <v>4.14</v>
      </c>
      <c r="G475" s="5">
        <f>IFERROR(__xludf.DUMMYFUNCTION("""COMPUTED_VALUE"""),10747.0)</f>
        <v>10747</v>
      </c>
      <c r="H475" s="5">
        <f>IFERROR(__xludf.DUMMYFUNCTION("""COMPUTED_VALUE"""),2597.0)</f>
        <v>2597</v>
      </c>
    </row>
    <row r="476">
      <c r="A476" s="4">
        <f>IFERROR(__xludf.DUMMYFUNCTION("""COMPUTED_VALUE"""),42844.0)</f>
        <v>42844</v>
      </c>
      <c r="B476" s="5">
        <f>IFERROR(__xludf.DUMMYFUNCTION("""COMPUTED_VALUE"""),2430.0)</f>
        <v>2430</v>
      </c>
      <c r="C476" s="6">
        <f>IFERROR(__xludf.DUMMYFUNCTION("""COMPUTED_VALUE"""),0.5518)</f>
        <v>0.5518</v>
      </c>
      <c r="D476" s="2">
        <f>IFERROR(__xludf.DUMMYFUNCTION("""COMPUTED_VALUE"""),0.0015625)</f>
        <v>0.0015625</v>
      </c>
      <c r="E476" s="1">
        <f>IFERROR(__xludf.DUMMYFUNCTION("""COMPUTED_VALUE"""),1.05)</f>
        <v>1.05</v>
      </c>
      <c r="F476" s="1">
        <f>IFERROR(__xludf.DUMMYFUNCTION("""COMPUTED_VALUE"""),3.83)</f>
        <v>3.83</v>
      </c>
      <c r="G476" s="5">
        <f>IFERROR(__xludf.DUMMYFUNCTION("""COMPUTED_VALUE"""),9720.0)</f>
        <v>9720</v>
      </c>
      <c r="H476" s="5">
        <f>IFERROR(__xludf.DUMMYFUNCTION("""COMPUTED_VALUE"""),2541.0)</f>
        <v>2541</v>
      </c>
    </row>
    <row r="477">
      <c r="A477" s="4">
        <f>IFERROR(__xludf.DUMMYFUNCTION("""COMPUTED_VALUE"""),42845.0)</f>
        <v>42845</v>
      </c>
      <c r="B477" s="5">
        <f>IFERROR(__xludf.DUMMYFUNCTION("""COMPUTED_VALUE"""),2305.0)</f>
        <v>2305</v>
      </c>
      <c r="C477" s="6">
        <f>IFERROR(__xludf.DUMMYFUNCTION("""COMPUTED_VALUE"""),0.4507)</f>
        <v>0.4507</v>
      </c>
      <c r="D477" s="2">
        <f>IFERROR(__xludf.DUMMYFUNCTION("""COMPUTED_VALUE"""),0.002349537037037037)</f>
        <v>0.002349537037</v>
      </c>
      <c r="E477" s="1">
        <f>IFERROR(__xludf.DUMMYFUNCTION("""COMPUTED_VALUE"""),1.1)</f>
        <v>1.1</v>
      </c>
      <c r="F477" s="1">
        <f>IFERROR(__xludf.DUMMYFUNCTION("""COMPUTED_VALUE"""),4.18)</f>
        <v>4.18</v>
      </c>
      <c r="G477" s="5">
        <f>IFERROR(__xludf.DUMMYFUNCTION("""COMPUTED_VALUE"""),10553.0)</f>
        <v>10553</v>
      </c>
      <c r="H477" s="5">
        <f>IFERROR(__xludf.DUMMYFUNCTION("""COMPUTED_VALUE"""),2527.0)</f>
        <v>2527</v>
      </c>
    </row>
    <row r="478">
      <c r="A478" s="4">
        <f>IFERROR(__xludf.DUMMYFUNCTION("""COMPUTED_VALUE"""),42846.0)</f>
        <v>42846</v>
      </c>
      <c r="B478" s="5">
        <f>IFERROR(__xludf.DUMMYFUNCTION("""COMPUTED_VALUE"""),2180.0)</f>
        <v>2180</v>
      </c>
      <c r="C478" s="6">
        <f>IFERROR(__xludf.DUMMYFUNCTION("""COMPUTED_VALUE"""),0.5206)</f>
        <v>0.5206</v>
      </c>
      <c r="D478" s="2">
        <f>IFERROR(__xludf.DUMMYFUNCTION("""COMPUTED_VALUE"""),0.001574074074074074)</f>
        <v>0.001574074074</v>
      </c>
      <c r="E478" s="1">
        <f>IFERROR(__xludf.DUMMYFUNCTION("""COMPUTED_VALUE"""),1.09)</f>
        <v>1.09</v>
      </c>
      <c r="F478" s="1">
        <f>IFERROR(__xludf.DUMMYFUNCTION("""COMPUTED_VALUE"""),4.08)</f>
        <v>4.08</v>
      </c>
      <c r="G478" s="5">
        <f>IFERROR(__xludf.DUMMYFUNCTION("""COMPUTED_VALUE"""),9678.0)</f>
        <v>9678</v>
      </c>
      <c r="H478" s="5">
        <f>IFERROR(__xludf.DUMMYFUNCTION("""COMPUTED_VALUE"""),2374.0)</f>
        <v>2374</v>
      </c>
    </row>
    <row r="479">
      <c r="A479" s="4">
        <f>IFERROR(__xludf.DUMMYFUNCTION("""COMPUTED_VALUE"""),42847.0)</f>
        <v>42847</v>
      </c>
      <c r="B479" s="5">
        <f>IFERROR(__xludf.DUMMYFUNCTION("""COMPUTED_VALUE"""),1541.0)</f>
        <v>1541</v>
      </c>
      <c r="C479" s="6">
        <f>IFERROR(__xludf.DUMMYFUNCTION("""COMPUTED_VALUE"""),0.5375)</f>
        <v>0.5375</v>
      </c>
      <c r="D479" s="2">
        <f>IFERROR(__xludf.DUMMYFUNCTION("""COMPUTED_VALUE"""),0.001863425925925926)</f>
        <v>0.001863425926</v>
      </c>
      <c r="E479" s="1">
        <f>IFERROR(__xludf.DUMMYFUNCTION("""COMPUTED_VALUE"""),1.09)</f>
        <v>1.09</v>
      </c>
      <c r="F479" s="1">
        <f>IFERROR(__xludf.DUMMYFUNCTION("""COMPUTED_VALUE"""),3.89)</f>
        <v>3.89</v>
      </c>
      <c r="G479" s="5">
        <f>IFERROR(__xludf.DUMMYFUNCTION("""COMPUTED_VALUE"""),6540.0)</f>
        <v>6540</v>
      </c>
      <c r="H479" s="5">
        <f>IFERROR(__xludf.DUMMYFUNCTION("""COMPUTED_VALUE"""),1680.0)</f>
        <v>1680</v>
      </c>
    </row>
    <row r="480">
      <c r="A480" s="4">
        <f>IFERROR(__xludf.DUMMYFUNCTION("""COMPUTED_VALUE"""),42848.0)</f>
        <v>42848</v>
      </c>
      <c r="B480" s="5">
        <f>IFERROR(__xludf.DUMMYFUNCTION("""COMPUTED_VALUE"""),1472.0)</f>
        <v>1472</v>
      </c>
      <c r="C480" s="6">
        <f>IFERROR(__xludf.DUMMYFUNCTION("""COMPUTED_VALUE"""),0.5041)</f>
        <v>0.5041</v>
      </c>
      <c r="D480" s="2">
        <f>IFERROR(__xludf.DUMMYFUNCTION("""COMPUTED_VALUE"""),0.0013078703703703703)</f>
        <v>0.00130787037</v>
      </c>
      <c r="E480" s="1">
        <f>IFERROR(__xludf.DUMMYFUNCTION("""COMPUTED_VALUE"""),1.08)</f>
        <v>1.08</v>
      </c>
      <c r="F480" s="1">
        <f>IFERROR(__xludf.DUMMYFUNCTION("""COMPUTED_VALUE"""),3.67)</f>
        <v>3.67</v>
      </c>
      <c r="G480" s="5">
        <f>IFERROR(__xludf.DUMMYFUNCTION("""COMPUTED_VALUE"""),5860.0)</f>
        <v>5860</v>
      </c>
      <c r="H480" s="5">
        <f>IFERROR(__xludf.DUMMYFUNCTION("""COMPUTED_VALUE"""),1597.0)</f>
        <v>1597</v>
      </c>
    </row>
    <row r="481">
      <c r="A481" s="4">
        <f>IFERROR(__xludf.DUMMYFUNCTION("""COMPUTED_VALUE"""),42849.0)</f>
        <v>42849</v>
      </c>
      <c r="B481" s="5">
        <f>IFERROR(__xludf.DUMMYFUNCTION("""COMPUTED_VALUE"""),2194.0)</f>
        <v>2194</v>
      </c>
      <c r="C481" s="6">
        <f>IFERROR(__xludf.DUMMYFUNCTION("""COMPUTED_VALUE"""),0.4856)</f>
        <v>0.4856</v>
      </c>
      <c r="D481" s="2">
        <f>IFERROR(__xludf.DUMMYFUNCTION("""COMPUTED_VALUE"""),0.0019097222222222222)</f>
        <v>0.001909722222</v>
      </c>
      <c r="E481" s="1">
        <f>IFERROR(__xludf.DUMMYFUNCTION("""COMPUTED_VALUE"""),1.11)</f>
        <v>1.11</v>
      </c>
      <c r="F481" s="1">
        <f>IFERROR(__xludf.DUMMYFUNCTION("""COMPUTED_VALUE"""),4.18)</f>
        <v>4.18</v>
      </c>
      <c r="G481" s="5">
        <f>IFERROR(__xludf.DUMMYFUNCTION("""COMPUTED_VALUE"""),10164.0)</f>
        <v>10164</v>
      </c>
      <c r="H481" s="5">
        <f>IFERROR(__xludf.DUMMYFUNCTION("""COMPUTED_VALUE"""),2430.0)</f>
        <v>2430</v>
      </c>
    </row>
    <row r="482">
      <c r="A482" s="4">
        <f>IFERROR(__xludf.DUMMYFUNCTION("""COMPUTED_VALUE"""),42850.0)</f>
        <v>42850</v>
      </c>
      <c r="B482" s="5">
        <f>IFERROR(__xludf.DUMMYFUNCTION("""COMPUTED_VALUE"""),2263.0)</f>
        <v>2263</v>
      </c>
      <c r="C482" s="6">
        <f>IFERROR(__xludf.DUMMYFUNCTION("""COMPUTED_VALUE"""),0.4494)</f>
        <v>0.4494</v>
      </c>
      <c r="D482" s="2">
        <f>IFERROR(__xludf.DUMMYFUNCTION("""COMPUTED_VALUE"""),0.001875)</f>
        <v>0.001875</v>
      </c>
      <c r="E482" s="1">
        <f>IFERROR(__xludf.DUMMYFUNCTION("""COMPUTED_VALUE"""),1.09)</f>
        <v>1.09</v>
      </c>
      <c r="F482" s="1">
        <f>IFERROR(__xludf.DUMMYFUNCTION("""COMPUTED_VALUE"""),4.18)</f>
        <v>4.18</v>
      </c>
      <c r="G482" s="5">
        <f>IFERROR(__xludf.DUMMYFUNCTION("""COMPUTED_VALUE"""),10345.0)</f>
        <v>10345</v>
      </c>
      <c r="H482" s="5">
        <f>IFERROR(__xludf.DUMMYFUNCTION("""COMPUTED_VALUE"""),2472.0)</f>
        <v>2472</v>
      </c>
    </row>
    <row r="483">
      <c r="A483" s="4">
        <f>IFERROR(__xludf.DUMMYFUNCTION("""COMPUTED_VALUE"""),42851.0)</f>
        <v>42851</v>
      </c>
      <c r="B483" s="5">
        <f>IFERROR(__xludf.DUMMYFUNCTION("""COMPUTED_VALUE"""),4082.0)</f>
        <v>4082</v>
      </c>
      <c r="C483" s="6">
        <f>IFERROR(__xludf.DUMMYFUNCTION("""COMPUTED_VALUE"""),0.4764)</f>
        <v>0.4764</v>
      </c>
      <c r="D483" s="2">
        <f>IFERROR(__xludf.DUMMYFUNCTION("""COMPUTED_VALUE"""),0.0017939814814814815)</f>
        <v>0.001793981481</v>
      </c>
      <c r="E483" s="1">
        <f>IFERROR(__xludf.DUMMYFUNCTION("""COMPUTED_VALUE"""),1.08)</f>
        <v>1.08</v>
      </c>
      <c r="F483" s="1">
        <f>IFERROR(__xludf.DUMMYFUNCTION("""COMPUTED_VALUE"""),3.52)</f>
        <v>3.52</v>
      </c>
      <c r="G483" s="5">
        <f>IFERROR(__xludf.DUMMYFUNCTION("""COMPUTED_VALUE"""),15482.0)</f>
        <v>15482</v>
      </c>
      <c r="H483" s="5">
        <f>IFERROR(__xludf.DUMMYFUNCTION("""COMPUTED_VALUE"""),4402.0)</f>
        <v>4402</v>
      </c>
    </row>
    <row r="484">
      <c r="A484" s="4">
        <f>IFERROR(__xludf.DUMMYFUNCTION("""COMPUTED_VALUE"""),42852.0)</f>
        <v>42852</v>
      </c>
      <c r="B484" s="5">
        <f>IFERROR(__xludf.DUMMYFUNCTION("""COMPUTED_VALUE"""),2708.0)</f>
        <v>2708</v>
      </c>
      <c r="C484" s="6">
        <f>IFERROR(__xludf.DUMMYFUNCTION("""COMPUTED_VALUE"""),0.4736)</f>
        <v>0.4736</v>
      </c>
      <c r="D484" s="2">
        <f>IFERROR(__xludf.DUMMYFUNCTION("""COMPUTED_VALUE"""),0.0015625)</f>
        <v>0.0015625</v>
      </c>
      <c r="E484" s="1">
        <f>IFERROR(__xludf.DUMMYFUNCTION("""COMPUTED_VALUE"""),1.06)</f>
        <v>1.06</v>
      </c>
      <c r="F484" s="1">
        <f>IFERROR(__xludf.DUMMYFUNCTION("""COMPUTED_VALUE"""),3.68)</f>
        <v>3.68</v>
      </c>
      <c r="G484" s="5">
        <f>IFERROR(__xludf.DUMMYFUNCTION("""COMPUTED_VALUE"""),10567.0)</f>
        <v>10567</v>
      </c>
      <c r="H484" s="5">
        <f>IFERROR(__xludf.DUMMYFUNCTION("""COMPUTED_VALUE"""),2874.0)</f>
        <v>2874</v>
      </c>
    </row>
    <row r="485">
      <c r="A485" s="4">
        <f>IFERROR(__xludf.DUMMYFUNCTION("""COMPUTED_VALUE"""),42853.0)</f>
        <v>42853</v>
      </c>
      <c r="B485" s="5">
        <f>IFERROR(__xludf.DUMMYFUNCTION("""COMPUTED_VALUE"""),2374.0)</f>
        <v>2374</v>
      </c>
      <c r="C485" s="6">
        <f>IFERROR(__xludf.DUMMYFUNCTION("""COMPUTED_VALUE"""),0.4216)</f>
        <v>0.4216</v>
      </c>
      <c r="D485" s="2">
        <f>IFERROR(__xludf.DUMMYFUNCTION("""COMPUTED_VALUE"""),0.0024305555555555556)</f>
        <v>0.002430555556</v>
      </c>
      <c r="E485" s="1">
        <f>IFERROR(__xludf.DUMMYFUNCTION("""COMPUTED_VALUE"""),1.08)</f>
        <v>1.08</v>
      </c>
      <c r="F485" s="1">
        <f>IFERROR(__xludf.DUMMYFUNCTION("""COMPUTED_VALUE"""),5.39)</f>
        <v>5.39</v>
      </c>
      <c r="G485" s="5">
        <f>IFERROR(__xludf.DUMMYFUNCTION("""COMPUTED_VALUE"""),13858.0)</f>
        <v>13858</v>
      </c>
      <c r="H485" s="5">
        <f>IFERROR(__xludf.DUMMYFUNCTION("""COMPUTED_VALUE"""),2569.0)</f>
        <v>2569</v>
      </c>
    </row>
    <row r="486">
      <c r="A486" s="4">
        <f>IFERROR(__xludf.DUMMYFUNCTION("""COMPUTED_VALUE"""),42854.0)</f>
        <v>42854</v>
      </c>
      <c r="B486" s="5">
        <f>IFERROR(__xludf.DUMMYFUNCTION("""COMPUTED_VALUE"""),1402.0)</f>
        <v>1402</v>
      </c>
      <c r="C486" s="6">
        <f>IFERROR(__xludf.DUMMYFUNCTION("""COMPUTED_VALUE"""),0.5773)</f>
        <v>0.5773</v>
      </c>
      <c r="D486" s="2">
        <f>IFERROR(__xludf.DUMMYFUNCTION("""COMPUTED_VALUE"""),0.0013194444444444445)</f>
        <v>0.001319444444</v>
      </c>
      <c r="E486" s="1">
        <f>IFERROR(__xludf.DUMMYFUNCTION("""COMPUTED_VALUE"""),1.15)</f>
        <v>1.15</v>
      </c>
      <c r="F486" s="1">
        <f>IFERROR(__xludf.DUMMYFUNCTION("""COMPUTED_VALUE"""),2.78)</f>
        <v>2.78</v>
      </c>
      <c r="G486" s="5">
        <f>IFERROR(__xludf.DUMMYFUNCTION("""COMPUTED_VALUE"""),4485.0)</f>
        <v>4485</v>
      </c>
      <c r="H486" s="5">
        <f>IFERROR(__xludf.DUMMYFUNCTION("""COMPUTED_VALUE"""),1611.0)</f>
        <v>1611</v>
      </c>
    </row>
    <row r="487">
      <c r="A487" s="4">
        <f>IFERROR(__xludf.DUMMYFUNCTION("""COMPUTED_VALUE"""),42855.0)</f>
        <v>42855</v>
      </c>
      <c r="B487" s="5">
        <f>IFERROR(__xludf.DUMMYFUNCTION("""COMPUTED_VALUE"""),1569.0)</f>
        <v>1569</v>
      </c>
      <c r="C487" s="6">
        <f>IFERROR(__xludf.DUMMYFUNCTION("""COMPUTED_VALUE"""),0.4788)</f>
        <v>0.4788</v>
      </c>
      <c r="D487" s="2">
        <f>IFERROR(__xludf.DUMMYFUNCTION("""COMPUTED_VALUE"""),0.0014467592592592592)</f>
        <v>0.001446759259</v>
      </c>
      <c r="E487" s="1">
        <f>IFERROR(__xludf.DUMMYFUNCTION("""COMPUTED_VALUE"""),1.05)</f>
        <v>1.05</v>
      </c>
      <c r="F487" s="1">
        <f>IFERROR(__xludf.DUMMYFUNCTION("""COMPUTED_VALUE"""),3.77)</f>
        <v>3.77</v>
      </c>
      <c r="G487" s="5">
        <f>IFERROR(__xludf.DUMMYFUNCTION("""COMPUTED_VALUE"""),6221.0)</f>
        <v>6221</v>
      </c>
      <c r="H487" s="5">
        <f>IFERROR(__xludf.DUMMYFUNCTION("""COMPUTED_VALUE"""),1652.0)</f>
        <v>1652</v>
      </c>
    </row>
    <row r="488">
      <c r="A488" s="4">
        <f>IFERROR(__xludf.DUMMYFUNCTION("""COMPUTED_VALUE"""),42856.0)</f>
        <v>42856</v>
      </c>
      <c r="B488" s="5">
        <f>IFERROR(__xludf.DUMMYFUNCTION("""COMPUTED_VALUE"""),2444.0)</f>
        <v>2444</v>
      </c>
      <c r="C488" s="6">
        <f>IFERROR(__xludf.DUMMYFUNCTION("""COMPUTED_VALUE"""),0.4292)</f>
        <v>0.4292</v>
      </c>
      <c r="D488" s="2">
        <f>IFERROR(__xludf.DUMMYFUNCTION("""COMPUTED_VALUE"""),0.0021180555555555558)</f>
        <v>0.002118055556</v>
      </c>
      <c r="E488" s="1">
        <f>IFERROR(__xludf.DUMMYFUNCTION("""COMPUTED_VALUE"""),1.12)</f>
        <v>1.12</v>
      </c>
      <c r="F488" s="1">
        <f>IFERROR(__xludf.DUMMYFUNCTION("""COMPUTED_VALUE"""),4.83)</f>
        <v>4.83</v>
      </c>
      <c r="G488" s="5">
        <f>IFERROR(__xludf.DUMMYFUNCTION("""COMPUTED_VALUE"""),13288.0)</f>
        <v>13288</v>
      </c>
      <c r="H488" s="5">
        <f>IFERROR(__xludf.DUMMYFUNCTION("""COMPUTED_VALUE"""),2749.0)</f>
        <v>2749</v>
      </c>
    </row>
    <row r="489">
      <c r="A489" s="4">
        <f>IFERROR(__xludf.DUMMYFUNCTION("""COMPUTED_VALUE"""),42857.0)</f>
        <v>42857</v>
      </c>
      <c r="B489" s="5">
        <f>IFERROR(__xludf.DUMMYFUNCTION("""COMPUTED_VALUE"""),2416.0)</f>
        <v>2416</v>
      </c>
      <c r="C489" s="6">
        <f>IFERROR(__xludf.DUMMYFUNCTION("""COMPUTED_VALUE"""),0.4689)</f>
        <v>0.4689</v>
      </c>
      <c r="D489" s="2">
        <f>IFERROR(__xludf.DUMMYFUNCTION("""COMPUTED_VALUE"""),0.002002314814814815)</f>
        <v>0.002002314815</v>
      </c>
      <c r="E489" s="1">
        <f>IFERROR(__xludf.DUMMYFUNCTION("""COMPUTED_VALUE"""),1.1)</f>
        <v>1.1</v>
      </c>
      <c r="F489" s="1">
        <f>IFERROR(__xludf.DUMMYFUNCTION("""COMPUTED_VALUE"""),4.18)</f>
        <v>4.18</v>
      </c>
      <c r="G489" s="5">
        <f>IFERROR(__xludf.DUMMYFUNCTION("""COMPUTED_VALUE"""),11136.0)</f>
        <v>11136</v>
      </c>
      <c r="H489" s="5">
        <f>IFERROR(__xludf.DUMMYFUNCTION("""COMPUTED_VALUE"""),2666.0)</f>
        <v>2666</v>
      </c>
    </row>
    <row r="490">
      <c r="A490" s="4">
        <f>IFERROR(__xludf.DUMMYFUNCTION("""COMPUTED_VALUE"""),42858.0)</f>
        <v>42858</v>
      </c>
      <c r="B490" s="5">
        <f>IFERROR(__xludf.DUMMYFUNCTION("""COMPUTED_VALUE"""),2416.0)</f>
        <v>2416</v>
      </c>
      <c r="C490" s="6">
        <f>IFERROR(__xludf.DUMMYFUNCTION("""COMPUTED_VALUE"""),0.4869)</f>
        <v>0.4869</v>
      </c>
      <c r="D490" s="2">
        <f>IFERROR(__xludf.DUMMYFUNCTION("""COMPUTED_VALUE"""),0.0020486111111111113)</f>
        <v>0.002048611111</v>
      </c>
      <c r="E490" s="1">
        <f>IFERROR(__xludf.DUMMYFUNCTION("""COMPUTED_VALUE"""),1.11)</f>
        <v>1.11</v>
      </c>
      <c r="F490" s="1">
        <f>IFERROR(__xludf.DUMMYFUNCTION("""COMPUTED_VALUE"""),4.45)</f>
        <v>4.45</v>
      </c>
      <c r="G490" s="5">
        <f>IFERROR(__xludf.DUMMYFUNCTION("""COMPUTED_VALUE"""),11914.0)</f>
        <v>11914</v>
      </c>
      <c r="H490" s="5">
        <f>IFERROR(__xludf.DUMMYFUNCTION("""COMPUTED_VALUE"""),2680.0)</f>
        <v>2680</v>
      </c>
    </row>
    <row r="491">
      <c r="A491" s="4">
        <f>IFERROR(__xludf.DUMMYFUNCTION("""COMPUTED_VALUE"""),42859.0)</f>
        <v>42859</v>
      </c>
      <c r="B491" s="5">
        <f>IFERROR(__xludf.DUMMYFUNCTION("""COMPUTED_VALUE"""),2694.0)</f>
        <v>2694</v>
      </c>
      <c r="C491" s="6">
        <f>IFERROR(__xludf.DUMMYFUNCTION("""COMPUTED_VALUE"""),0.5328)</f>
        <v>0.5328</v>
      </c>
      <c r="D491" s="2">
        <f>IFERROR(__xludf.DUMMYFUNCTION("""COMPUTED_VALUE"""),9.143518518518518E-4)</f>
        <v>0.0009143518519</v>
      </c>
      <c r="E491" s="1">
        <f>IFERROR(__xludf.DUMMYFUNCTION("""COMPUTED_VALUE"""),1.1)</f>
        <v>1.1</v>
      </c>
      <c r="F491" s="1">
        <f>IFERROR(__xludf.DUMMYFUNCTION("""COMPUTED_VALUE"""),3.24)</f>
        <v>3.24</v>
      </c>
      <c r="G491" s="5">
        <f>IFERROR(__xludf.DUMMYFUNCTION("""COMPUTED_VALUE"""),9636.0)</f>
        <v>9636</v>
      </c>
      <c r="H491" s="5">
        <f>IFERROR(__xludf.DUMMYFUNCTION("""COMPUTED_VALUE"""),2971.0)</f>
        <v>2971</v>
      </c>
    </row>
    <row r="492">
      <c r="A492" s="4">
        <f>IFERROR(__xludf.DUMMYFUNCTION("""COMPUTED_VALUE"""),42860.0)</f>
        <v>42860</v>
      </c>
      <c r="B492" s="5">
        <f>IFERROR(__xludf.DUMMYFUNCTION("""COMPUTED_VALUE"""),1763.0)</f>
        <v>1763</v>
      </c>
      <c r="C492" s="6">
        <f>IFERROR(__xludf.DUMMYFUNCTION("""COMPUTED_VALUE"""),0.4898)</f>
        <v>0.4898</v>
      </c>
      <c r="D492" s="2">
        <f>IFERROR(__xludf.DUMMYFUNCTION("""COMPUTED_VALUE"""),0.0015509259259259259)</f>
        <v>0.001550925926</v>
      </c>
      <c r="E492" s="1">
        <f>IFERROR(__xludf.DUMMYFUNCTION("""COMPUTED_VALUE"""),1.14)</f>
        <v>1.14</v>
      </c>
      <c r="F492" s="1">
        <f>IFERROR(__xludf.DUMMYFUNCTION("""COMPUTED_VALUE"""),4.08)</f>
        <v>4.08</v>
      </c>
      <c r="G492" s="5">
        <f>IFERROR(__xludf.DUMMYFUNCTION("""COMPUTED_VALUE"""),8206.0)</f>
        <v>8206</v>
      </c>
      <c r="H492" s="5">
        <f>IFERROR(__xludf.DUMMYFUNCTION("""COMPUTED_VALUE"""),2013.0)</f>
        <v>2013</v>
      </c>
    </row>
    <row r="493">
      <c r="A493" s="4">
        <f>IFERROR(__xludf.DUMMYFUNCTION("""COMPUTED_VALUE"""),42861.0)</f>
        <v>42861</v>
      </c>
      <c r="B493" s="5">
        <f>IFERROR(__xludf.DUMMYFUNCTION("""COMPUTED_VALUE"""),1333.0)</f>
        <v>1333</v>
      </c>
      <c r="C493" s="6">
        <f>IFERROR(__xludf.DUMMYFUNCTION("""COMPUTED_VALUE"""),0.5769)</f>
        <v>0.5769</v>
      </c>
      <c r="D493" s="2">
        <f>IFERROR(__xludf.DUMMYFUNCTION("""COMPUTED_VALUE"""),0.0020949074074074073)</f>
        <v>0.002094907407</v>
      </c>
      <c r="E493" s="1">
        <f>IFERROR(__xludf.DUMMYFUNCTION("""COMPUTED_VALUE"""),1.08)</f>
        <v>1.08</v>
      </c>
      <c r="F493" s="1">
        <f>IFERROR(__xludf.DUMMYFUNCTION("""COMPUTED_VALUE"""),4.51)</f>
        <v>4.51</v>
      </c>
      <c r="G493" s="5">
        <f>IFERROR(__xludf.DUMMYFUNCTION("""COMPUTED_VALUE"""),6512.0)</f>
        <v>6512</v>
      </c>
      <c r="H493" s="5">
        <f>IFERROR(__xludf.DUMMYFUNCTION("""COMPUTED_VALUE"""),1444.0)</f>
        <v>1444</v>
      </c>
    </row>
    <row r="494">
      <c r="A494" s="4">
        <f>IFERROR(__xludf.DUMMYFUNCTION("""COMPUTED_VALUE"""),42862.0)</f>
        <v>42862</v>
      </c>
      <c r="B494" s="5">
        <f>IFERROR(__xludf.DUMMYFUNCTION("""COMPUTED_VALUE"""),1347.0)</f>
        <v>1347</v>
      </c>
      <c r="C494" s="6">
        <f>IFERROR(__xludf.DUMMYFUNCTION("""COMPUTED_VALUE"""),0.5754)</f>
        <v>0.5754</v>
      </c>
      <c r="D494" s="2">
        <f>IFERROR(__xludf.DUMMYFUNCTION("""COMPUTED_VALUE"""),0.001412037037037037)</f>
        <v>0.001412037037</v>
      </c>
      <c r="E494" s="1">
        <f>IFERROR(__xludf.DUMMYFUNCTION("""COMPUTED_VALUE"""),1.09)</f>
        <v>1.09</v>
      </c>
      <c r="F494" s="1">
        <f>IFERROR(__xludf.DUMMYFUNCTION("""COMPUTED_VALUE"""),3.57)</f>
        <v>3.57</v>
      </c>
      <c r="G494" s="5">
        <f>IFERROR(__xludf.DUMMYFUNCTION("""COMPUTED_VALUE"""),5249.0)</f>
        <v>5249</v>
      </c>
      <c r="H494" s="5">
        <f>IFERROR(__xludf.DUMMYFUNCTION("""COMPUTED_VALUE"""),1472.0)</f>
        <v>1472</v>
      </c>
    </row>
    <row r="495">
      <c r="A495" s="4">
        <f>IFERROR(__xludf.DUMMYFUNCTION("""COMPUTED_VALUE"""),42863.0)</f>
        <v>42863</v>
      </c>
      <c r="B495" s="5">
        <f>IFERROR(__xludf.DUMMYFUNCTION("""COMPUTED_VALUE"""),1902.0)</f>
        <v>1902</v>
      </c>
      <c r="C495" s="6">
        <f>IFERROR(__xludf.DUMMYFUNCTION("""COMPUTED_VALUE"""),0.4444)</f>
        <v>0.4444</v>
      </c>
      <c r="D495" s="2">
        <f>IFERROR(__xludf.DUMMYFUNCTION("""COMPUTED_VALUE"""),0.0025694444444444445)</f>
        <v>0.002569444444</v>
      </c>
      <c r="E495" s="1">
        <f>IFERROR(__xludf.DUMMYFUNCTION("""COMPUTED_VALUE"""),1.12)</f>
        <v>1.12</v>
      </c>
      <c r="F495" s="1">
        <f>IFERROR(__xludf.DUMMYFUNCTION("""COMPUTED_VALUE"""),5.04)</f>
        <v>5.04</v>
      </c>
      <c r="G495" s="5">
        <f>IFERROR(__xludf.DUMMYFUNCTION("""COMPUTED_VALUE"""),10706.0)</f>
        <v>10706</v>
      </c>
      <c r="H495" s="5">
        <f>IFERROR(__xludf.DUMMYFUNCTION("""COMPUTED_VALUE"""),2124.0)</f>
        <v>2124</v>
      </c>
    </row>
    <row r="496">
      <c r="A496" s="4">
        <f>IFERROR(__xludf.DUMMYFUNCTION("""COMPUTED_VALUE"""),42864.0)</f>
        <v>42864</v>
      </c>
      <c r="B496" s="5">
        <f>IFERROR(__xludf.DUMMYFUNCTION("""COMPUTED_VALUE"""),2111.0)</f>
        <v>2111</v>
      </c>
      <c r="C496" s="6">
        <f>IFERROR(__xludf.DUMMYFUNCTION("""COMPUTED_VALUE"""),0.4592)</f>
        <v>0.4592</v>
      </c>
      <c r="D496" s="2">
        <f>IFERROR(__xludf.DUMMYFUNCTION("""COMPUTED_VALUE"""),0.002025462962962963)</f>
        <v>0.002025462963</v>
      </c>
      <c r="E496" s="1">
        <f>IFERROR(__xludf.DUMMYFUNCTION("""COMPUTED_VALUE"""),1.05)</f>
        <v>1.05</v>
      </c>
      <c r="F496" s="1">
        <f>IFERROR(__xludf.DUMMYFUNCTION("""COMPUTED_VALUE"""),4.75)</f>
        <v>4.75</v>
      </c>
      <c r="G496" s="5">
        <f>IFERROR(__xludf.DUMMYFUNCTION("""COMPUTED_VALUE"""),10497.0)</f>
        <v>10497</v>
      </c>
      <c r="H496" s="5">
        <f>IFERROR(__xludf.DUMMYFUNCTION("""COMPUTED_VALUE"""),2208.0)</f>
        <v>2208</v>
      </c>
    </row>
    <row r="497">
      <c r="A497" s="4">
        <f>IFERROR(__xludf.DUMMYFUNCTION("""COMPUTED_VALUE"""),42865.0)</f>
        <v>42865</v>
      </c>
      <c r="B497" s="5">
        <f>IFERROR(__xludf.DUMMYFUNCTION("""COMPUTED_VALUE"""),1930.0)</f>
        <v>1930</v>
      </c>
      <c r="C497" s="6">
        <f>IFERROR(__xludf.DUMMYFUNCTION("""COMPUTED_VALUE"""),0.3988)</f>
        <v>0.3988</v>
      </c>
      <c r="D497" s="2">
        <f>IFERROR(__xludf.DUMMYFUNCTION("""COMPUTED_VALUE"""),0.0030902777777777777)</f>
        <v>0.003090277778</v>
      </c>
      <c r="E497" s="1">
        <f>IFERROR(__xludf.DUMMYFUNCTION("""COMPUTED_VALUE"""),1.14)</f>
        <v>1.14</v>
      </c>
      <c r="F497" s="1">
        <f>IFERROR(__xludf.DUMMYFUNCTION("""COMPUTED_VALUE"""),4.99)</f>
        <v>4.99</v>
      </c>
      <c r="G497" s="5">
        <f>IFERROR(__xludf.DUMMYFUNCTION("""COMPUTED_VALUE"""),10942.0)</f>
        <v>10942</v>
      </c>
      <c r="H497" s="5">
        <f>IFERROR(__xludf.DUMMYFUNCTION("""COMPUTED_VALUE"""),2194.0)</f>
        <v>2194</v>
      </c>
    </row>
    <row r="498">
      <c r="A498" s="4">
        <f>IFERROR(__xludf.DUMMYFUNCTION("""COMPUTED_VALUE"""),42866.0)</f>
        <v>42866</v>
      </c>
      <c r="B498" s="5">
        <f>IFERROR(__xludf.DUMMYFUNCTION("""COMPUTED_VALUE"""),2152.0)</f>
        <v>2152</v>
      </c>
      <c r="C498" s="6">
        <f>IFERROR(__xludf.DUMMYFUNCTION("""COMPUTED_VALUE"""),0.4312)</f>
        <v>0.4312</v>
      </c>
      <c r="D498" s="2">
        <f>IFERROR(__xludf.DUMMYFUNCTION("""COMPUTED_VALUE"""),0.0021759259259259258)</f>
        <v>0.002175925926</v>
      </c>
      <c r="E498" s="1">
        <f>IFERROR(__xludf.DUMMYFUNCTION("""COMPUTED_VALUE"""),1.08)</f>
        <v>1.08</v>
      </c>
      <c r="F498" s="1">
        <f>IFERROR(__xludf.DUMMYFUNCTION("""COMPUTED_VALUE"""),4.48)</f>
        <v>4.48</v>
      </c>
      <c r="G498" s="5">
        <f>IFERROR(__xludf.DUMMYFUNCTION("""COMPUTED_VALUE"""),10400.0)</f>
        <v>10400</v>
      </c>
      <c r="H498" s="5">
        <f>IFERROR(__xludf.DUMMYFUNCTION("""COMPUTED_VALUE"""),2319.0)</f>
        <v>2319</v>
      </c>
    </row>
    <row r="499">
      <c r="A499" s="4">
        <f>IFERROR(__xludf.DUMMYFUNCTION("""COMPUTED_VALUE"""),42867.0)</f>
        <v>42867</v>
      </c>
      <c r="B499" s="5">
        <f>IFERROR(__xludf.DUMMYFUNCTION("""COMPUTED_VALUE"""),1916.0)</f>
        <v>1916</v>
      </c>
      <c r="C499" s="6">
        <f>IFERROR(__xludf.DUMMYFUNCTION("""COMPUTED_VALUE"""),0.4557)</f>
        <v>0.4557</v>
      </c>
      <c r="D499" s="2">
        <f>IFERROR(__xludf.DUMMYFUNCTION("""COMPUTED_VALUE"""),0.002210648148148148)</f>
        <v>0.002210648148</v>
      </c>
      <c r="E499" s="1">
        <f>IFERROR(__xludf.DUMMYFUNCTION("""COMPUTED_VALUE"""),1.07)</f>
        <v>1.07</v>
      </c>
      <c r="F499" s="1">
        <f>IFERROR(__xludf.DUMMYFUNCTION("""COMPUTED_VALUE"""),4.28)</f>
        <v>4.28</v>
      </c>
      <c r="G499" s="5">
        <f>IFERROR(__xludf.DUMMYFUNCTION("""COMPUTED_VALUE"""),8734.0)</f>
        <v>8734</v>
      </c>
      <c r="H499" s="5">
        <f>IFERROR(__xludf.DUMMYFUNCTION("""COMPUTED_VALUE"""),2041.0)</f>
        <v>2041</v>
      </c>
    </row>
    <row r="500">
      <c r="A500" s="4">
        <f>IFERROR(__xludf.DUMMYFUNCTION("""COMPUTED_VALUE"""),42868.0)</f>
        <v>42868</v>
      </c>
      <c r="B500" s="5">
        <f>IFERROR(__xludf.DUMMYFUNCTION("""COMPUTED_VALUE"""),1194.0)</f>
        <v>1194</v>
      </c>
      <c r="C500" s="6">
        <f>IFERROR(__xludf.DUMMYFUNCTION("""COMPUTED_VALUE"""),0.3806)</f>
        <v>0.3806</v>
      </c>
      <c r="D500" s="2">
        <f>IFERROR(__xludf.DUMMYFUNCTION("""COMPUTED_VALUE"""),0.003460648148148148)</f>
        <v>0.003460648148</v>
      </c>
      <c r="E500" s="1">
        <f>IFERROR(__xludf.DUMMYFUNCTION("""COMPUTED_VALUE"""),1.07)</f>
        <v>1.07</v>
      </c>
      <c r="F500" s="1">
        <f>IFERROR(__xludf.DUMMYFUNCTION("""COMPUTED_VALUE"""),6.71)</f>
        <v>6.71</v>
      </c>
      <c r="G500" s="5">
        <f>IFERROR(__xludf.DUMMYFUNCTION("""COMPUTED_VALUE"""),8567.0)</f>
        <v>8567</v>
      </c>
      <c r="H500" s="5">
        <f>IFERROR(__xludf.DUMMYFUNCTION("""COMPUTED_VALUE"""),1277.0)</f>
        <v>1277</v>
      </c>
    </row>
    <row r="501">
      <c r="A501" s="4">
        <f>IFERROR(__xludf.DUMMYFUNCTION("""COMPUTED_VALUE"""),42869.0)</f>
        <v>42869</v>
      </c>
      <c r="B501" s="5">
        <f>IFERROR(__xludf.DUMMYFUNCTION("""COMPUTED_VALUE"""),1152.0)</f>
        <v>1152</v>
      </c>
      <c r="C501" s="6">
        <f>IFERROR(__xludf.DUMMYFUNCTION("""COMPUTED_VALUE"""),0.3981)</f>
        <v>0.3981</v>
      </c>
      <c r="D501" s="2">
        <f>IFERROR(__xludf.DUMMYFUNCTION("""COMPUTED_VALUE"""),0.0019444444444444444)</f>
        <v>0.001944444444</v>
      </c>
      <c r="E501" s="1">
        <f>IFERROR(__xludf.DUMMYFUNCTION("""COMPUTED_VALUE"""),1.12)</f>
        <v>1.12</v>
      </c>
      <c r="F501" s="1">
        <f>IFERROR(__xludf.DUMMYFUNCTION("""COMPUTED_VALUE"""),5.39)</f>
        <v>5.39</v>
      </c>
      <c r="G501" s="5">
        <f>IFERROR(__xludf.DUMMYFUNCTION("""COMPUTED_VALUE"""),6957.0)</f>
        <v>6957</v>
      </c>
      <c r="H501" s="5">
        <f>IFERROR(__xludf.DUMMYFUNCTION("""COMPUTED_VALUE"""),1291.0)</f>
        <v>1291</v>
      </c>
    </row>
    <row r="502">
      <c r="A502" s="4">
        <f>IFERROR(__xludf.DUMMYFUNCTION("""COMPUTED_VALUE"""),42870.0)</f>
        <v>42870</v>
      </c>
      <c r="B502" s="5">
        <f>IFERROR(__xludf.DUMMYFUNCTION("""COMPUTED_VALUE"""),2152.0)</f>
        <v>2152</v>
      </c>
      <c r="C502" s="6">
        <f>IFERROR(__xludf.DUMMYFUNCTION("""COMPUTED_VALUE"""),0.4034)</f>
        <v>0.4034</v>
      </c>
      <c r="D502" s="2">
        <f>IFERROR(__xludf.DUMMYFUNCTION("""COMPUTED_VALUE"""),0.002372685185185185)</f>
        <v>0.002372685185</v>
      </c>
      <c r="E502" s="1">
        <f>IFERROR(__xludf.DUMMYFUNCTION("""COMPUTED_VALUE"""),1.14)</f>
        <v>1.14</v>
      </c>
      <c r="F502" s="1">
        <f>IFERROR(__xludf.DUMMYFUNCTION("""COMPUTED_VALUE"""),4.37)</f>
        <v>4.37</v>
      </c>
      <c r="G502" s="5">
        <f>IFERROR(__xludf.DUMMYFUNCTION("""COMPUTED_VALUE"""),10692.0)</f>
        <v>10692</v>
      </c>
      <c r="H502" s="5">
        <f>IFERROR(__xludf.DUMMYFUNCTION("""COMPUTED_VALUE"""),2444.0)</f>
        <v>2444</v>
      </c>
    </row>
    <row r="503">
      <c r="A503" s="4">
        <f>IFERROR(__xludf.DUMMYFUNCTION("""COMPUTED_VALUE"""),42871.0)</f>
        <v>42871</v>
      </c>
      <c r="B503" s="5">
        <f>IFERROR(__xludf.DUMMYFUNCTION("""COMPUTED_VALUE"""),2666.0)</f>
        <v>2666</v>
      </c>
      <c r="C503" s="6">
        <f>IFERROR(__xludf.DUMMYFUNCTION("""COMPUTED_VALUE"""),0.485)</f>
        <v>0.485</v>
      </c>
      <c r="D503" s="2">
        <f>IFERROR(__xludf.DUMMYFUNCTION("""COMPUTED_VALUE"""),0.0014930555555555556)</f>
        <v>0.001493055556</v>
      </c>
      <c r="E503" s="1">
        <f>IFERROR(__xludf.DUMMYFUNCTION("""COMPUTED_VALUE"""),1.21)</f>
        <v>1.21</v>
      </c>
      <c r="F503" s="1">
        <f>IFERROR(__xludf.DUMMYFUNCTION("""COMPUTED_VALUE"""),3.61)</f>
        <v>3.61</v>
      </c>
      <c r="G503" s="5">
        <f>IFERROR(__xludf.DUMMYFUNCTION("""COMPUTED_VALUE"""),11678.0)</f>
        <v>11678</v>
      </c>
      <c r="H503" s="5">
        <f>IFERROR(__xludf.DUMMYFUNCTION("""COMPUTED_VALUE"""),3235.0)</f>
        <v>3235</v>
      </c>
    </row>
    <row r="504">
      <c r="A504" s="4">
        <f>IFERROR(__xludf.DUMMYFUNCTION("""COMPUTED_VALUE"""),42872.0)</f>
        <v>42872</v>
      </c>
      <c r="B504" s="5">
        <f>IFERROR(__xludf.DUMMYFUNCTION("""COMPUTED_VALUE"""),2860.0)</f>
        <v>2860</v>
      </c>
      <c r="C504" s="6">
        <f>IFERROR(__xludf.DUMMYFUNCTION("""COMPUTED_VALUE"""),0.5167)</f>
        <v>0.5167</v>
      </c>
      <c r="D504" s="2">
        <f>IFERROR(__xludf.DUMMYFUNCTION("""COMPUTED_VALUE"""),0.0024421296296296296)</f>
        <v>0.00244212963</v>
      </c>
      <c r="E504" s="1">
        <f>IFERROR(__xludf.DUMMYFUNCTION("""COMPUTED_VALUE"""),1.17)</f>
        <v>1.17</v>
      </c>
      <c r="F504" s="1">
        <f>IFERROR(__xludf.DUMMYFUNCTION("""COMPUTED_VALUE"""),4.86)</f>
        <v>4.86</v>
      </c>
      <c r="G504" s="5">
        <f>IFERROR(__xludf.DUMMYFUNCTION("""COMPUTED_VALUE"""),16315.0)</f>
        <v>16315</v>
      </c>
      <c r="H504" s="5">
        <f>IFERROR(__xludf.DUMMYFUNCTION("""COMPUTED_VALUE"""),3360.0)</f>
        <v>3360</v>
      </c>
    </row>
    <row r="505">
      <c r="A505" s="4">
        <f>IFERROR(__xludf.DUMMYFUNCTION("""COMPUTED_VALUE"""),42873.0)</f>
        <v>42873</v>
      </c>
      <c r="B505" s="5">
        <f>IFERROR(__xludf.DUMMYFUNCTION("""COMPUTED_VALUE"""),2610.0)</f>
        <v>2610</v>
      </c>
      <c r="C505" s="6">
        <f>IFERROR(__xludf.DUMMYFUNCTION("""COMPUTED_VALUE"""),0.3961)</f>
        <v>0.3961</v>
      </c>
      <c r="D505" s="2">
        <f>IFERROR(__xludf.DUMMYFUNCTION("""COMPUTED_VALUE"""),0.0021180555555555558)</f>
        <v>0.002118055556</v>
      </c>
      <c r="E505" s="1">
        <f>IFERROR(__xludf.DUMMYFUNCTION("""COMPUTED_VALUE"""),1.13)</f>
        <v>1.13</v>
      </c>
      <c r="F505" s="1">
        <f>IFERROR(__xludf.DUMMYFUNCTION("""COMPUTED_VALUE"""),5.23)</f>
        <v>5.23</v>
      </c>
      <c r="G505" s="5">
        <f>IFERROR(__xludf.DUMMYFUNCTION("""COMPUTED_VALUE"""),15399.0)</f>
        <v>15399</v>
      </c>
      <c r="H505" s="5">
        <f>IFERROR(__xludf.DUMMYFUNCTION("""COMPUTED_VALUE"""),2944.0)</f>
        <v>2944</v>
      </c>
    </row>
    <row r="506">
      <c r="A506" s="4">
        <f>IFERROR(__xludf.DUMMYFUNCTION("""COMPUTED_VALUE"""),42874.0)</f>
        <v>42874</v>
      </c>
      <c r="B506" s="5">
        <f>IFERROR(__xludf.DUMMYFUNCTION("""COMPUTED_VALUE"""),2249.0)</f>
        <v>2249</v>
      </c>
      <c r="C506" s="6">
        <f>IFERROR(__xludf.DUMMYFUNCTION("""COMPUTED_VALUE"""),0.3351)</f>
        <v>0.3351</v>
      </c>
      <c r="D506" s="2">
        <f>IFERROR(__xludf.DUMMYFUNCTION("""COMPUTED_VALUE"""),0.0022800925925925927)</f>
        <v>0.002280092593</v>
      </c>
      <c r="E506" s="1">
        <f>IFERROR(__xludf.DUMMYFUNCTION("""COMPUTED_VALUE"""),1.09)</f>
        <v>1.09</v>
      </c>
      <c r="F506" s="1">
        <f>IFERROR(__xludf.DUMMYFUNCTION("""COMPUTED_VALUE"""),5.2)</f>
        <v>5.2</v>
      </c>
      <c r="G506" s="5">
        <f>IFERROR(__xludf.DUMMYFUNCTION("""COMPUTED_VALUE"""),12705.0)</f>
        <v>12705</v>
      </c>
      <c r="H506" s="5">
        <f>IFERROR(__xludf.DUMMYFUNCTION("""COMPUTED_VALUE"""),2444.0)</f>
        <v>2444</v>
      </c>
    </row>
    <row r="507">
      <c r="A507" s="4">
        <f>IFERROR(__xludf.DUMMYFUNCTION("""COMPUTED_VALUE"""),42875.0)</f>
        <v>42875</v>
      </c>
      <c r="B507" s="5">
        <f>IFERROR(__xludf.DUMMYFUNCTION("""COMPUTED_VALUE"""),1861.0)</f>
        <v>1861</v>
      </c>
      <c r="C507" s="6">
        <f>IFERROR(__xludf.DUMMYFUNCTION("""COMPUTED_VALUE"""),0.3402)</f>
        <v>0.3402</v>
      </c>
      <c r="D507" s="2">
        <f>IFERROR(__xludf.DUMMYFUNCTION("""COMPUTED_VALUE"""),0.0024189814814814816)</f>
        <v>0.002418981481</v>
      </c>
      <c r="E507" s="1">
        <f>IFERROR(__xludf.DUMMYFUNCTION("""COMPUTED_VALUE"""),1.07)</f>
        <v>1.07</v>
      </c>
      <c r="F507" s="1">
        <f>IFERROR(__xludf.DUMMYFUNCTION("""COMPUTED_VALUE"""),5.37)</f>
        <v>5.37</v>
      </c>
      <c r="G507" s="5">
        <f>IFERROR(__xludf.DUMMYFUNCTION("""COMPUTED_VALUE"""),10733.0)</f>
        <v>10733</v>
      </c>
      <c r="H507" s="5">
        <f>IFERROR(__xludf.DUMMYFUNCTION("""COMPUTED_VALUE"""),1999.0)</f>
        <v>1999</v>
      </c>
    </row>
    <row r="508">
      <c r="A508" s="4">
        <f>IFERROR(__xludf.DUMMYFUNCTION("""COMPUTED_VALUE"""),42876.0)</f>
        <v>42876</v>
      </c>
      <c r="B508" s="5">
        <f>IFERROR(__xludf.DUMMYFUNCTION("""COMPUTED_VALUE"""),1514.0)</f>
        <v>1514</v>
      </c>
      <c r="C508" s="6">
        <f>IFERROR(__xludf.DUMMYFUNCTION("""COMPUTED_VALUE"""),0.4609)</f>
        <v>0.4609</v>
      </c>
      <c r="D508" s="2">
        <f>IFERROR(__xludf.DUMMYFUNCTION("""COMPUTED_VALUE"""),0.001990740740740741)</f>
        <v>0.001990740741</v>
      </c>
      <c r="E508" s="1">
        <f>IFERROR(__xludf.DUMMYFUNCTION("""COMPUTED_VALUE"""),1.17)</f>
        <v>1.17</v>
      </c>
      <c r="F508" s="1">
        <f>IFERROR(__xludf.DUMMYFUNCTION("""COMPUTED_VALUE"""),4.41)</f>
        <v>4.41</v>
      </c>
      <c r="G508" s="5">
        <f>IFERROR(__xludf.DUMMYFUNCTION("""COMPUTED_VALUE"""),7845.0)</f>
        <v>7845</v>
      </c>
      <c r="H508" s="5">
        <f>IFERROR(__xludf.DUMMYFUNCTION("""COMPUTED_VALUE"""),1777.0)</f>
        <v>1777</v>
      </c>
    </row>
    <row r="509">
      <c r="A509" s="4">
        <f>IFERROR(__xludf.DUMMYFUNCTION("""COMPUTED_VALUE"""),42877.0)</f>
        <v>42877</v>
      </c>
      <c r="B509" s="5">
        <f>IFERROR(__xludf.DUMMYFUNCTION("""COMPUTED_VALUE"""),2305.0)</f>
        <v>2305</v>
      </c>
      <c r="C509" s="6">
        <f>IFERROR(__xludf.DUMMYFUNCTION("""COMPUTED_VALUE"""),0.3875)</f>
        <v>0.3875</v>
      </c>
      <c r="D509" s="2">
        <f>IFERROR(__xludf.DUMMYFUNCTION("""COMPUTED_VALUE"""),0.0027083333333333334)</f>
        <v>0.002708333333</v>
      </c>
      <c r="E509" s="1">
        <f>IFERROR(__xludf.DUMMYFUNCTION("""COMPUTED_VALUE"""),1.07)</f>
        <v>1.07</v>
      </c>
      <c r="F509" s="1">
        <f>IFERROR(__xludf.DUMMYFUNCTION("""COMPUTED_VALUE"""),5.86)</f>
        <v>5.86</v>
      </c>
      <c r="G509" s="5">
        <f>IFERROR(__xludf.DUMMYFUNCTION("""COMPUTED_VALUE"""),14482.0)</f>
        <v>14482</v>
      </c>
      <c r="H509" s="5">
        <f>IFERROR(__xludf.DUMMYFUNCTION("""COMPUTED_VALUE"""),2472.0)</f>
        <v>2472</v>
      </c>
    </row>
    <row r="510">
      <c r="A510" s="4">
        <f>IFERROR(__xludf.DUMMYFUNCTION("""COMPUTED_VALUE"""),42878.0)</f>
        <v>42878</v>
      </c>
      <c r="B510" s="5">
        <f>IFERROR(__xludf.DUMMYFUNCTION("""COMPUTED_VALUE"""),2013.0)</f>
        <v>2013</v>
      </c>
      <c r="C510" s="6">
        <f>IFERROR(__xludf.DUMMYFUNCTION("""COMPUTED_VALUE"""),0.3713)</f>
        <v>0.3713</v>
      </c>
      <c r="D510" s="2">
        <f>IFERROR(__xludf.DUMMYFUNCTION("""COMPUTED_VALUE"""),0.002395833333333333)</f>
        <v>0.002395833333</v>
      </c>
      <c r="E510" s="1">
        <f>IFERROR(__xludf.DUMMYFUNCTION("""COMPUTED_VALUE"""),1.15)</f>
        <v>1.15</v>
      </c>
      <c r="F510" s="1">
        <f>IFERROR(__xludf.DUMMYFUNCTION("""COMPUTED_VALUE"""),4.8)</f>
        <v>4.8</v>
      </c>
      <c r="G510" s="5">
        <f>IFERROR(__xludf.DUMMYFUNCTION("""COMPUTED_VALUE"""),11136.0)</f>
        <v>11136</v>
      </c>
      <c r="H510" s="5">
        <f>IFERROR(__xludf.DUMMYFUNCTION("""COMPUTED_VALUE"""),2319.0)</f>
        <v>2319</v>
      </c>
    </row>
    <row r="511">
      <c r="A511" s="4">
        <f>IFERROR(__xludf.DUMMYFUNCTION("""COMPUTED_VALUE"""),42879.0)</f>
        <v>42879</v>
      </c>
      <c r="B511" s="5">
        <f>IFERROR(__xludf.DUMMYFUNCTION("""COMPUTED_VALUE"""),2208.0)</f>
        <v>2208</v>
      </c>
      <c r="C511" s="6">
        <f>IFERROR(__xludf.DUMMYFUNCTION("""COMPUTED_VALUE"""),0.4234)</f>
        <v>0.4234</v>
      </c>
      <c r="D511" s="2">
        <f>IFERROR(__xludf.DUMMYFUNCTION("""COMPUTED_VALUE"""),0.002372685185185185)</f>
        <v>0.002372685185</v>
      </c>
      <c r="E511" s="1">
        <f>IFERROR(__xludf.DUMMYFUNCTION("""COMPUTED_VALUE"""),1.19)</f>
        <v>1.19</v>
      </c>
      <c r="F511" s="1">
        <f>IFERROR(__xludf.DUMMYFUNCTION("""COMPUTED_VALUE"""),5.12)</f>
        <v>5.12</v>
      </c>
      <c r="G511" s="5">
        <f>IFERROR(__xludf.DUMMYFUNCTION("""COMPUTED_VALUE"""),13427.0)</f>
        <v>13427</v>
      </c>
      <c r="H511" s="5">
        <f>IFERROR(__xludf.DUMMYFUNCTION("""COMPUTED_VALUE"""),2624.0)</f>
        <v>2624</v>
      </c>
    </row>
    <row r="512">
      <c r="A512" s="4">
        <f>IFERROR(__xludf.DUMMYFUNCTION("""COMPUTED_VALUE"""),42880.0)</f>
        <v>42880</v>
      </c>
      <c r="B512" s="5">
        <f>IFERROR(__xludf.DUMMYFUNCTION("""COMPUTED_VALUE"""),2166.0)</f>
        <v>2166</v>
      </c>
      <c r="C512" s="6">
        <f>IFERROR(__xludf.DUMMYFUNCTION("""COMPUTED_VALUE"""),0.4284)</f>
        <v>0.4284</v>
      </c>
      <c r="D512" s="2">
        <f>IFERROR(__xludf.DUMMYFUNCTION("""COMPUTED_VALUE"""),0.0017708333333333332)</f>
        <v>0.001770833333</v>
      </c>
      <c r="E512" s="1">
        <f>IFERROR(__xludf.DUMMYFUNCTION("""COMPUTED_VALUE"""),1.12)</f>
        <v>1.12</v>
      </c>
      <c r="F512" s="1">
        <f>IFERROR(__xludf.DUMMYFUNCTION("""COMPUTED_VALUE"""),4.42)</f>
        <v>4.42</v>
      </c>
      <c r="G512" s="5">
        <f>IFERROR(__xludf.DUMMYFUNCTION("""COMPUTED_VALUE"""),10733.0)</f>
        <v>10733</v>
      </c>
      <c r="H512" s="5">
        <f>IFERROR(__xludf.DUMMYFUNCTION("""COMPUTED_VALUE"""),2430.0)</f>
        <v>2430</v>
      </c>
    </row>
    <row r="513">
      <c r="A513" s="4">
        <f>IFERROR(__xludf.DUMMYFUNCTION("""COMPUTED_VALUE"""),42881.0)</f>
        <v>42881</v>
      </c>
      <c r="B513" s="5">
        <f>IFERROR(__xludf.DUMMYFUNCTION("""COMPUTED_VALUE"""),1875.0)</f>
        <v>1875</v>
      </c>
      <c r="C513" s="6">
        <f>IFERROR(__xludf.DUMMYFUNCTION("""COMPUTED_VALUE"""),0.4447)</f>
        <v>0.4447</v>
      </c>
      <c r="D513" s="2">
        <f>IFERROR(__xludf.DUMMYFUNCTION("""COMPUTED_VALUE"""),0.0015162037037037036)</f>
        <v>0.001516203704</v>
      </c>
      <c r="E513" s="1">
        <f>IFERROR(__xludf.DUMMYFUNCTION("""COMPUTED_VALUE"""),1.07)</f>
        <v>1.07</v>
      </c>
      <c r="F513" s="1">
        <f>IFERROR(__xludf.DUMMYFUNCTION("""COMPUTED_VALUE"""),4.15)</f>
        <v>4.15</v>
      </c>
      <c r="G513" s="5">
        <f>IFERROR(__xludf.DUMMYFUNCTION("""COMPUTED_VALUE"""),8290.0)</f>
        <v>8290</v>
      </c>
      <c r="H513" s="5">
        <f>IFERROR(__xludf.DUMMYFUNCTION("""COMPUTED_VALUE"""),1999.0)</f>
        <v>1999</v>
      </c>
    </row>
    <row r="514">
      <c r="A514" s="4">
        <f>IFERROR(__xludf.DUMMYFUNCTION("""COMPUTED_VALUE"""),42882.0)</f>
        <v>42882</v>
      </c>
      <c r="B514" s="5">
        <f>IFERROR(__xludf.DUMMYFUNCTION("""COMPUTED_VALUE"""),1458.0)</f>
        <v>1458</v>
      </c>
      <c r="C514" s="6">
        <f>IFERROR(__xludf.DUMMYFUNCTION("""COMPUTED_VALUE"""),0.5717)</f>
        <v>0.5717</v>
      </c>
      <c r="D514" s="2">
        <f>IFERROR(__xludf.DUMMYFUNCTION("""COMPUTED_VALUE"""),0.0014351851851851852)</f>
        <v>0.001435185185</v>
      </c>
      <c r="E514" s="1">
        <f>IFERROR(__xludf.DUMMYFUNCTION("""COMPUTED_VALUE"""),1.07)</f>
        <v>1.07</v>
      </c>
      <c r="F514" s="1">
        <f>IFERROR(__xludf.DUMMYFUNCTION("""COMPUTED_VALUE"""),3.54)</f>
        <v>3.54</v>
      </c>
      <c r="G514" s="5">
        <f>IFERROR(__xludf.DUMMYFUNCTION("""COMPUTED_VALUE"""),5499.0)</f>
        <v>5499</v>
      </c>
      <c r="H514" s="5">
        <f>IFERROR(__xludf.DUMMYFUNCTION("""COMPUTED_VALUE"""),1555.0)</f>
        <v>1555</v>
      </c>
    </row>
    <row r="515">
      <c r="A515" s="4">
        <f>IFERROR(__xludf.DUMMYFUNCTION("""COMPUTED_VALUE"""),42883.0)</f>
        <v>42883</v>
      </c>
      <c r="B515" s="5">
        <f>IFERROR(__xludf.DUMMYFUNCTION("""COMPUTED_VALUE"""),1389.0)</f>
        <v>1389</v>
      </c>
      <c r="C515" s="6">
        <f>IFERROR(__xludf.DUMMYFUNCTION("""COMPUTED_VALUE"""),0.6373)</f>
        <v>0.6373</v>
      </c>
      <c r="D515" s="2">
        <f>IFERROR(__xludf.DUMMYFUNCTION("""COMPUTED_VALUE"""),0.0013657407407407407)</f>
        <v>0.001365740741</v>
      </c>
      <c r="E515" s="1">
        <f>IFERROR(__xludf.DUMMYFUNCTION("""COMPUTED_VALUE"""),1.13)</f>
        <v>1.13</v>
      </c>
      <c r="F515" s="1">
        <f>IFERROR(__xludf.DUMMYFUNCTION("""COMPUTED_VALUE"""),3.66)</f>
        <v>3.66</v>
      </c>
      <c r="G515" s="5">
        <f>IFERROR(__xludf.DUMMYFUNCTION("""COMPUTED_VALUE"""),5749.0)</f>
        <v>5749</v>
      </c>
      <c r="H515" s="5">
        <f>IFERROR(__xludf.DUMMYFUNCTION("""COMPUTED_VALUE"""),1569.0)</f>
        <v>1569</v>
      </c>
    </row>
    <row r="516">
      <c r="A516" s="4">
        <f>IFERROR(__xludf.DUMMYFUNCTION("""COMPUTED_VALUE"""),42884.0)</f>
        <v>42884</v>
      </c>
      <c r="B516" s="5">
        <f>IFERROR(__xludf.DUMMYFUNCTION("""COMPUTED_VALUE"""),1638.0)</f>
        <v>1638</v>
      </c>
      <c r="C516" s="6">
        <f>IFERROR(__xludf.DUMMYFUNCTION("""COMPUTED_VALUE"""),0.5385)</f>
        <v>0.5385</v>
      </c>
      <c r="D516" s="2">
        <f>IFERROR(__xludf.DUMMYFUNCTION("""COMPUTED_VALUE"""),0.0021180555555555558)</f>
        <v>0.002118055556</v>
      </c>
      <c r="E516" s="1">
        <f>IFERROR(__xludf.DUMMYFUNCTION("""COMPUTED_VALUE"""),1.1)</f>
        <v>1.1</v>
      </c>
      <c r="F516" s="1">
        <f>IFERROR(__xludf.DUMMYFUNCTION("""COMPUTED_VALUE"""),4.11)</f>
        <v>4.11</v>
      </c>
      <c r="G516" s="5">
        <f>IFERROR(__xludf.DUMMYFUNCTION("""COMPUTED_VALUE"""),7415.0)</f>
        <v>7415</v>
      </c>
      <c r="H516" s="5">
        <f>IFERROR(__xludf.DUMMYFUNCTION("""COMPUTED_VALUE"""),1805.0)</f>
        <v>1805</v>
      </c>
    </row>
    <row r="517">
      <c r="A517" s="4">
        <f>IFERROR(__xludf.DUMMYFUNCTION("""COMPUTED_VALUE"""),42885.0)</f>
        <v>42885</v>
      </c>
      <c r="B517" s="5">
        <f>IFERROR(__xludf.DUMMYFUNCTION("""COMPUTED_VALUE"""),2124.0)</f>
        <v>2124</v>
      </c>
      <c r="C517" s="6">
        <f>IFERROR(__xludf.DUMMYFUNCTION("""COMPUTED_VALUE"""),0.3728)</f>
        <v>0.3728</v>
      </c>
      <c r="D517" s="2">
        <f>IFERROR(__xludf.DUMMYFUNCTION("""COMPUTED_VALUE"""),0.0024652777777777776)</f>
        <v>0.002465277778</v>
      </c>
      <c r="E517" s="1">
        <f>IFERROR(__xludf.DUMMYFUNCTION("""COMPUTED_VALUE"""),1.1)</f>
        <v>1.1</v>
      </c>
      <c r="F517" s="1">
        <f>IFERROR(__xludf.DUMMYFUNCTION("""COMPUTED_VALUE"""),4.97)</f>
        <v>4.97</v>
      </c>
      <c r="G517" s="5">
        <f>IFERROR(__xludf.DUMMYFUNCTION("""COMPUTED_VALUE"""),11664.0)</f>
        <v>11664</v>
      </c>
      <c r="H517" s="5">
        <f>IFERROR(__xludf.DUMMYFUNCTION("""COMPUTED_VALUE"""),2347.0)</f>
        <v>2347</v>
      </c>
    </row>
    <row r="518">
      <c r="A518" s="4">
        <f>IFERROR(__xludf.DUMMYFUNCTION("""COMPUTED_VALUE"""),42886.0)</f>
        <v>42886</v>
      </c>
      <c r="B518" s="5">
        <f>IFERROR(__xludf.DUMMYFUNCTION("""COMPUTED_VALUE"""),2291.0)</f>
        <v>2291</v>
      </c>
      <c r="C518" s="6">
        <f>IFERROR(__xludf.DUMMYFUNCTION("""COMPUTED_VALUE"""),0.3817)</f>
        <v>0.3817</v>
      </c>
      <c r="D518" s="2">
        <f>IFERROR(__xludf.DUMMYFUNCTION("""COMPUTED_VALUE"""),0.002777777777777778)</f>
        <v>0.002777777778</v>
      </c>
      <c r="E518" s="1">
        <f>IFERROR(__xludf.DUMMYFUNCTION("""COMPUTED_VALUE"""),1.13)</f>
        <v>1.13</v>
      </c>
      <c r="F518" s="1">
        <f>IFERROR(__xludf.DUMMYFUNCTION("""COMPUTED_VALUE"""),4.93)</f>
        <v>4.93</v>
      </c>
      <c r="G518" s="5">
        <f>IFERROR(__xludf.DUMMYFUNCTION("""COMPUTED_VALUE"""),12747.0)</f>
        <v>12747</v>
      </c>
      <c r="H518" s="5">
        <f>IFERROR(__xludf.DUMMYFUNCTION("""COMPUTED_VALUE"""),2583.0)</f>
        <v>2583</v>
      </c>
    </row>
    <row r="519">
      <c r="A519" s="4">
        <f>IFERROR(__xludf.DUMMYFUNCTION("""COMPUTED_VALUE"""),42887.0)</f>
        <v>42887</v>
      </c>
      <c r="B519" s="5">
        <f>IFERROR(__xludf.DUMMYFUNCTION("""COMPUTED_VALUE"""),2777.0)</f>
        <v>2777</v>
      </c>
      <c r="C519" s="6">
        <f>IFERROR(__xludf.DUMMYFUNCTION("""COMPUTED_VALUE"""),0.4404)</f>
        <v>0.4404</v>
      </c>
      <c r="D519" s="2">
        <f>IFERROR(__xludf.DUMMYFUNCTION("""COMPUTED_VALUE"""),0.001736111111111111)</f>
        <v>0.001736111111</v>
      </c>
      <c r="E519" s="1">
        <f>IFERROR(__xludf.DUMMYFUNCTION("""COMPUTED_VALUE"""),1.09)</f>
        <v>1.09</v>
      </c>
      <c r="F519" s="1">
        <f>IFERROR(__xludf.DUMMYFUNCTION("""COMPUTED_VALUE"""),4.27)</f>
        <v>4.27</v>
      </c>
      <c r="G519" s="5">
        <f>IFERROR(__xludf.DUMMYFUNCTION("""COMPUTED_VALUE"""),12927.0)</f>
        <v>12927</v>
      </c>
      <c r="H519" s="5">
        <f>IFERROR(__xludf.DUMMYFUNCTION("""COMPUTED_VALUE"""),3027.0)</f>
        <v>3027</v>
      </c>
    </row>
    <row r="520">
      <c r="A520" s="4">
        <f>IFERROR(__xludf.DUMMYFUNCTION("""COMPUTED_VALUE"""),42888.0)</f>
        <v>42888</v>
      </c>
      <c r="B520" s="5">
        <f>IFERROR(__xludf.DUMMYFUNCTION("""COMPUTED_VALUE"""),2249.0)</f>
        <v>2249</v>
      </c>
      <c r="C520" s="6">
        <f>IFERROR(__xludf.DUMMYFUNCTION("""COMPUTED_VALUE"""),0.4528)</f>
        <v>0.4528</v>
      </c>
      <c r="D520" s="2">
        <f>IFERROR(__xludf.DUMMYFUNCTION("""COMPUTED_VALUE"""),0.0014699074074074074)</f>
        <v>0.001469907407</v>
      </c>
      <c r="E520" s="1">
        <f>IFERROR(__xludf.DUMMYFUNCTION("""COMPUTED_VALUE"""),1.05)</f>
        <v>1.05</v>
      </c>
      <c r="F520" s="1">
        <f>IFERROR(__xludf.DUMMYFUNCTION("""COMPUTED_VALUE"""),4.23)</f>
        <v>4.23</v>
      </c>
      <c r="G520" s="5">
        <f>IFERROR(__xludf.DUMMYFUNCTION("""COMPUTED_VALUE"""),9997.0)</f>
        <v>9997</v>
      </c>
      <c r="H520" s="5">
        <f>IFERROR(__xludf.DUMMYFUNCTION("""COMPUTED_VALUE"""),2361.0)</f>
        <v>2361</v>
      </c>
    </row>
    <row r="521">
      <c r="A521" s="4">
        <f>IFERROR(__xludf.DUMMYFUNCTION("""COMPUTED_VALUE"""),42889.0)</f>
        <v>42889</v>
      </c>
      <c r="B521" s="5">
        <f>IFERROR(__xludf.DUMMYFUNCTION("""COMPUTED_VALUE"""),1402.0)</f>
        <v>1402</v>
      </c>
      <c r="C521" s="6">
        <f>IFERROR(__xludf.DUMMYFUNCTION("""COMPUTED_VALUE"""),0.4568)</f>
        <v>0.4568</v>
      </c>
      <c r="D521" s="2">
        <f>IFERROR(__xludf.DUMMYFUNCTION("""COMPUTED_VALUE"""),0.0018981481481481482)</f>
        <v>0.001898148148</v>
      </c>
      <c r="E521" s="1">
        <f>IFERROR(__xludf.DUMMYFUNCTION("""COMPUTED_VALUE"""),1.04)</f>
        <v>1.04</v>
      </c>
      <c r="F521" s="1">
        <f>IFERROR(__xludf.DUMMYFUNCTION("""COMPUTED_VALUE"""),4.43)</f>
        <v>4.43</v>
      </c>
      <c r="G521" s="5">
        <f>IFERROR(__xludf.DUMMYFUNCTION("""COMPUTED_VALUE"""),6457.0)</f>
        <v>6457</v>
      </c>
      <c r="H521" s="5">
        <f>IFERROR(__xludf.DUMMYFUNCTION("""COMPUTED_VALUE"""),1458.0)</f>
        <v>1458</v>
      </c>
    </row>
    <row r="522">
      <c r="A522" s="4">
        <f>IFERROR(__xludf.DUMMYFUNCTION("""COMPUTED_VALUE"""),42890.0)</f>
        <v>42890</v>
      </c>
      <c r="B522" s="5">
        <f>IFERROR(__xludf.DUMMYFUNCTION("""COMPUTED_VALUE"""),1514.0)</f>
        <v>1514</v>
      </c>
      <c r="C522" s="6">
        <f>IFERROR(__xludf.DUMMYFUNCTION("""COMPUTED_VALUE"""),0.4709)</f>
        <v>0.4709</v>
      </c>
      <c r="D522" s="2">
        <f>IFERROR(__xludf.DUMMYFUNCTION("""COMPUTED_VALUE"""),0.001863425925925926)</f>
        <v>0.001863425926</v>
      </c>
      <c r="E522" s="1">
        <f>IFERROR(__xludf.DUMMYFUNCTION("""COMPUTED_VALUE"""),1.09)</f>
        <v>1.09</v>
      </c>
      <c r="F522" s="1">
        <f>IFERROR(__xludf.DUMMYFUNCTION("""COMPUTED_VALUE"""),3.87)</f>
        <v>3.87</v>
      </c>
      <c r="G522" s="5">
        <f>IFERROR(__xludf.DUMMYFUNCTION("""COMPUTED_VALUE"""),6401.0)</f>
        <v>6401</v>
      </c>
      <c r="H522" s="5">
        <f>IFERROR(__xludf.DUMMYFUNCTION("""COMPUTED_VALUE"""),1652.0)</f>
        <v>1652</v>
      </c>
    </row>
    <row r="523">
      <c r="A523" s="4">
        <f>IFERROR(__xludf.DUMMYFUNCTION("""COMPUTED_VALUE"""),42891.0)</f>
        <v>42891</v>
      </c>
      <c r="B523" s="5">
        <f>IFERROR(__xludf.DUMMYFUNCTION("""COMPUTED_VALUE"""),2388.0)</f>
        <v>2388</v>
      </c>
      <c r="C523" s="6">
        <f>IFERROR(__xludf.DUMMYFUNCTION("""COMPUTED_VALUE"""),0.5158)</f>
        <v>0.5158</v>
      </c>
      <c r="D523" s="2">
        <f>IFERROR(__xludf.DUMMYFUNCTION("""COMPUTED_VALUE"""),0.0015625)</f>
        <v>0.0015625</v>
      </c>
      <c r="E523" s="1">
        <f>IFERROR(__xludf.DUMMYFUNCTION("""COMPUTED_VALUE"""),1.12)</f>
        <v>1.12</v>
      </c>
      <c r="F523" s="1">
        <f>IFERROR(__xludf.DUMMYFUNCTION("""COMPUTED_VALUE"""),3.33)</f>
        <v>3.33</v>
      </c>
      <c r="G523" s="5">
        <f>IFERROR(__xludf.DUMMYFUNCTION("""COMPUTED_VALUE"""),8887.0)</f>
        <v>8887</v>
      </c>
      <c r="H523" s="5">
        <f>IFERROR(__xludf.DUMMYFUNCTION("""COMPUTED_VALUE"""),2666.0)</f>
        <v>2666</v>
      </c>
    </row>
    <row r="524">
      <c r="A524" s="4">
        <f>IFERROR(__xludf.DUMMYFUNCTION("""COMPUTED_VALUE"""),42892.0)</f>
        <v>42892</v>
      </c>
      <c r="B524" s="5">
        <f>IFERROR(__xludf.DUMMYFUNCTION("""COMPUTED_VALUE"""),2180.0)</f>
        <v>2180</v>
      </c>
      <c r="C524" s="6">
        <f>IFERROR(__xludf.DUMMYFUNCTION("""COMPUTED_VALUE"""),0.3914)</f>
        <v>0.3914</v>
      </c>
      <c r="D524" s="2">
        <f>IFERROR(__xludf.DUMMYFUNCTION("""COMPUTED_VALUE"""),0.002534722222222222)</f>
        <v>0.002534722222</v>
      </c>
      <c r="E524" s="1">
        <f>IFERROR(__xludf.DUMMYFUNCTION("""COMPUTED_VALUE"""),1.17)</f>
        <v>1.17</v>
      </c>
      <c r="F524" s="1">
        <f>IFERROR(__xludf.DUMMYFUNCTION("""COMPUTED_VALUE"""),4.6)</f>
        <v>4.6</v>
      </c>
      <c r="G524" s="5">
        <f>IFERROR(__xludf.DUMMYFUNCTION("""COMPUTED_VALUE"""),11747.0)</f>
        <v>11747</v>
      </c>
      <c r="H524" s="5">
        <f>IFERROR(__xludf.DUMMYFUNCTION("""COMPUTED_VALUE"""),2555.0)</f>
        <v>2555</v>
      </c>
    </row>
    <row r="525">
      <c r="A525" s="4">
        <f>IFERROR(__xludf.DUMMYFUNCTION("""COMPUTED_VALUE"""),42893.0)</f>
        <v>42893</v>
      </c>
      <c r="B525" s="5">
        <f>IFERROR(__xludf.DUMMYFUNCTION("""COMPUTED_VALUE"""),2291.0)</f>
        <v>2291</v>
      </c>
      <c r="C525" s="6">
        <f>IFERROR(__xludf.DUMMYFUNCTION("""COMPUTED_VALUE"""),0.4807)</f>
        <v>0.4807</v>
      </c>
      <c r="D525" s="2">
        <f>IFERROR(__xludf.DUMMYFUNCTION("""COMPUTED_VALUE"""),0.002013888888888889)</f>
        <v>0.002013888889</v>
      </c>
      <c r="E525" s="1">
        <f>IFERROR(__xludf.DUMMYFUNCTION("""COMPUTED_VALUE"""),1.1)</f>
        <v>1.1</v>
      </c>
      <c r="F525" s="1">
        <f>IFERROR(__xludf.DUMMYFUNCTION("""COMPUTED_VALUE"""),4.58)</f>
        <v>4.58</v>
      </c>
      <c r="G525" s="5">
        <f>IFERROR(__xludf.DUMMYFUNCTION("""COMPUTED_VALUE"""),11497.0)</f>
        <v>11497</v>
      </c>
      <c r="H525" s="5">
        <f>IFERROR(__xludf.DUMMYFUNCTION("""COMPUTED_VALUE"""),2513.0)</f>
        <v>2513</v>
      </c>
    </row>
    <row r="526">
      <c r="A526" s="4">
        <f>IFERROR(__xludf.DUMMYFUNCTION("""COMPUTED_VALUE"""),42894.0)</f>
        <v>42894</v>
      </c>
      <c r="B526" s="5">
        <f>IFERROR(__xludf.DUMMYFUNCTION("""COMPUTED_VALUE"""),2097.0)</f>
        <v>2097</v>
      </c>
      <c r="C526" s="6">
        <f>IFERROR(__xludf.DUMMYFUNCTION("""COMPUTED_VALUE"""),0.4912)</f>
        <v>0.4912</v>
      </c>
      <c r="D526" s="2">
        <f>IFERROR(__xludf.DUMMYFUNCTION("""COMPUTED_VALUE"""),0.001724537037037037)</f>
        <v>0.001724537037</v>
      </c>
      <c r="E526" s="1">
        <f>IFERROR(__xludf.DUMMYFUNCTION("""COMPUTED_VALUE"""),1.13)</f>
        <v>1.13</v>
      </c>
      <c r="F526" s="1">
        <f>IFERROR(__xludf.DUMMYFUNCTION("""COMPUTED_VALUE"""),3.9)</f>
        <v>3.9</v>
      </c>
      <c r="G526" s="5">
        <f>IFERROR(__xludf.DUMMYFUNCTION("""COMPUTED_VALUE"""),9262.0)</f>
        <v>9262</v>
      </c>
      <c r="H526" s="5">
        <f>IFERROR(__xludf.DUMMYFUNCTION("""COMPUTED_VALUE"""),2374.0)</f>
        <v>2374</v>
      </c>
    </row>
    <row r="527">
      <c r="A527" s="4">
        <f>IFERROR(__xludf.DUMMYFUNCTION("""COMPUTED_VALUE"""),42895.0)</f>
        <v>42895</v>
      </c>
      <c r="B527" s="5">
        <f>IFERROR(__xludf.DUMMYFUNCTION("""COMPUTED_VALUE"""),1861.0)</f>
        <v>1861</v>
      </c>
      <c r="C527" s="6">
        <f>IFERROR(__xludf.DUMMYFUNCTION("""COMPUTED_VALUE"""),0.4026)</f>
        <v>0.4026</v>
      </c>
      <c r="D527" s="2">
        <f>IFERROR(__xludf.DUMMYFUNCTION("""COMPUTED_VALUE"""),0.001979166666666667)</f>
        <v>0.001979166667</v>
      </c>
      <c r="E527" s="1">
        <f>IFERROR(__xludf.DUMMYFUNCTION("""COMPUTED_VALUE"""),1.11)</f>
        <v>1.11</v>
      </c>
      <c r="F527" s="1">
        <f>IFERROR(__xludf.DUMMYFUNCTION("""COMPUTED_VALUE"""),5.33)</f>
        <v>5.33</v>
      </c>
      <c r="G527" s="5">
        <f>IFERROR(__xludf.DUMMYFUNCTION("""COMPUTED_VALUE"""),11025.0)</f>
        <v>11025</v>
      </c>
      <c r="H527" s="5">
        <f>IFERROR(__xludf.DUMMYFUNCTION("""COMPUTED_VALUE"""),2069.0)</f>
        <v>2069</v>
      </c>
    </row>
    <row r="528">
      <c r="A528" s="4">
        <f>IFERROR(__xludf.DUMMYFUNCTION("""COMPUTED_VALUE"""),42896.0)</f>
        <v>42896</v>
      </c>
      <c r="B528" s="5">
        <f>IFERROR(__xludf.DUMMYFUNCTION("""COMPUTED_VALUE"""),1416.0)</f>
        <v>1416</v>
      </c>
      <c r="C528" s="6">
        <f>IFERROR(__xludf.DUMMYFUNCTION("""COMPUTED_VALUE"""),0.5309)</f>
        <v>0.5309</v>
      </c>
      <c r="D528" s="2">
        <f>IFERROR(__xludf.DUMMYFUNCTION("""COMPUTED_VALUE"""),0.0014236111111111112)</f>
        <v>0.001423611111</v>
      </c>
      <c r="E528" s="1">
        <f>IFERROR(__xludf.DUMMYFUNCTION("""COMPUTED_VALUE"""),1.11)</f>
        <v>1.11</v>
      </c>
      <c r="F528" s="1">
        <f>IFERROR(__xludf.DUMMYFUNCTION("""COMPUTED_VALUE"""),3.27)</f>
        <v>3.27</v>
      </c>
      <c r="G528" s="5">
        <f>IFERROR(__xludf.DUMMYFUNCTION("""COMPUTED_VALUE"""),5124.0)</f>
        <v>5124</v>
      </c>
      <c r="H528" s="5">
        <f>IFERROR(__xludf.DUMMYFUNCTION("""COMPUTED_VALUE"""),1569.0)</f>
        <v>1569</v>
      </c>
    </row>
    <row r="529">
      <c r="A529" s="4">
        <f>IFERROR(__xludf.DUMMYFUNCTION("""COMPUTED_VALUE"""),42897.0)</f>
        <v>42897</v>
      </c>
      <c r="B529" s="5">
        <f>IFERROR(__xludf.DUMMYFUNCTION("""COMPUTED_VALUE"""),1375.0)</f>
        <v>1375</v>
      </c>
      <c r="C529" s="6">
        <f>IFERROR(__xludf.DUMMYFUNCTION("""COMPUTED_VALUE"""),0.4915)</f>
        <v>0.4915</v>
      </c>
      <c r="D529" s="2">
        <f>IFERROR(__xludf.DUMMYFUNCTION("""COMPUTED_VALUE"""),0.0027314814814814814)</f>
        <v>0.002731481481</v>
      </c>
      <c r="E529" s="1">
        <f>IFERROR(__xludf.DUMMYFUNCTION("""COMPUTED_VALUE"""),1.19)</f>
        <v>1.19</v>
      </c>
      <c r="F529" s="1">
        <f>IFERROR(__xludf.DUMMYFUNCTION("""COMPUTED_VALUE"""),5.53)</f>
        <v>5.53</v>
      </c>
      <c r="G529" s="5">
        <f>IFERROR(__xludf.DUMMYFUNCTION("""COMPUTED_VALUE"""),9053.0)</f>
        <v>9053</v>
      </c>
      <c r="H529" s="5">
        <f>IFERROR(__xludf.DUMMYFUNCTION("""COMPUTED_VALUE"""),1638.0)</f>
        <v>1638</v>
      </c>
    </row>
    <row r="530">
      <c r="A530" s="4">
        <f>IFERROR(__xludf.DUMMYFUNCTION("""COMPUTED_VALUE"""),42898.0)</f>
        <v>42898</v>
      </c>
      <c r="B530" s="5">
        <f>IFERROR(__xludf.DUMMYFUNCTION("""COMPUTED_VALUE"""),2374.0)</f>
        <v>2374</v>
      </c>
      <c r="C530" s="6">
        <f>IFERROR(__xludf.DUMMYFUNCTION("""COMPUTED_VALUE"""),0.4509)</f>
        <v>0.4509</v>
      </c>
      <c r="D530" s="2">
        <f>IFERROR(__xludf.DUMMYFUNCTION("""COMPUTED_VALUE"""),0.0014814814814814814)</f>
        <v>0.001481481481</v>
      </c>
      <c r="E530" s="1">
        <f>IFERROR(__xludf.DUMMYFUNCTION("""COMPUTED_VALUE"""),1.08)</f>
        <v>1.08</v>
      </c>
      <c r="F530" s="1">
        <f>IFERROR(__xludf.DUMMYFUNCTION("""COMPUTED_VALUE"""),3.98)</f>
        <v>3.98</v>
      </c>
      <c r="G530" s="5">
        <f>IFERROR(__xludf.DUMMYFUNCTION("""COMPUTED_VALUE"""),10164.0)</f>
        <v>10164</v>
      </c>
      <c r="H530" s="5">
        <f>IFERROR(__xludf.DUMMYFUNCTION("""COMPUTED_VALUE"""),2555.0)</f>
        <v>2555</v>
      </c>
    </row>
    <row r="531">
      <c r="A531" s="4">
        <f>IFERROR(__xludf.DUMMYFUNCTION("""COMPUTED_VALUE"""),42899.0)</f>
        <v>42899</v>
      </c>
      <c r="B531" s="5">
        <f>IFERROR(__xludf.DUMMYFUNCTION("""COMPUTED_VALUE"""),2124.0)</f>
        <v>2124</v>
      </c>
      <c r="C531" s="6">
        <f>IFERROR(__xludf.DUMMYFUNCTION("""COMPUTED_VALUE"""),0.4418)</f>
        <v>0.4418</v>
      </c>
      <c r="D531" s="2">
        <f>IFERROR(__xludf.DUMMYFUNCTION("""COMPUTED_VALUE"""),0.002002314814814815)</f>
        <v>0.002002314815</v>
      </c>
      <c r="E531" s="1">
        <f>IFERROR(__xludf.DUMMYFUNCTION("""COMPUTED_VALUE"""),1.12)</f>
        <v>1.12</v>
      </c>
      <c r="F531" s="1">
        <f>IFERROR(__xludf.DUMMYFUNCTION("""COMPUTED_VALUE"""),4.68)</f>
        <v>4.68</v>
      </c>
      <c r="G531" s="5">
        <f>IFERROR(__xludf.DUMMYFUNCTION("""COMPUTED_VALUE"""),11164.0)</f>
        <v>11164</v>
      </c>
      <c r="H531" s="5">
        <f>IFERROR(__xludf.DUMMYFUNCTION("""COMPUTED_VALUE"""),2388.0)</f>
        <v>2388</v>
      </c>
    </row>
    <row r="532">
      <c r="A532" s="4">
        <f>IFERROR(__xludf.DUMMYFUNCTION("""COMPUTED_VALUE"""),42900.0)</f>
        <v>42900</v>
      </c>
      <c r="B532" s="5">
        <f>IFERROR(__xludf.DUMMYFUNCTION("""COMPUTED_VALUE"""),2472.0)</f>
        <v>2472</v>
      </c>
      <c r="C532" s="6">
        <f>IFERROR(__xludf.DUMMYFUNCTION("""COMPUTED_VALUE"""),0.4295)</f>
        <v>0.4295</v>
      </c>
      <c r="D532" s="2">
        <f>IFERROR(__xludf.DUMMYFUNCTION("""COMPUTED_VALUE"""),0.0022337962962962962)</f>
        <v>0.002233796296</v>
      </c>
      <c r="E532" s="1">
        <f>IFERROR(__xludf.DUMMYFUNCTION("""COMPUTED_VALUE"""),1.07)</f>
        <v>1.07</v>
      </c>
      <c r="F532" s="1">
        <f>IFERROR(__xludf.DUMMYFUNCTION("""COMPUTED_VALUE"""),4.53)</f>
        <v>4.53</v>
      </c>
      <c r="G532" s="5">
        <f>IFERROR(__xludf.DUMMYFUNCTION("""COMPUTED_VALUE"""),12011.0)</f>
        <v>12011</v>
      </c>
      <c r="H532" s="5">
        <f>IFERROR(__xludf.DUMMYFUNCTION("""COMPUTED_VALUE"""),2652.0)</f>
        <v>2652</v>
      </c>
    </row>
    <row r="533">
      <c r="A533" s="4">
        <f>IFERROR(__xludf.DUMMYFUNCTION("""COMPUTED_VALUE"""),42901.0)</f>
        <v>42901</v>
      </c>
      <c r="B533" s="5">
        <f>IFERROR(__xludf.DUMMYFUNCTION("""COMPUTED_VALUE"""),2097.0)</f>
        <v>2097</v>
      </c>
      <c r="C533" s="6">
        <f>IFERROR(__xludf.DUMMYFUNCTION("""COMPUTED_VALUE"""),0.4487)</f>
        <v>0.4487</v>
      </c>
      <c r="D533" s="2">
        <f>IFERROR(__xludf.DUMMYFUNCTION("""COMPUTED_VALUE"""),0.0019444444444444444)</f>
        <v>0.001944444444</v>
      </c>
      <c r="E533" s="1">
        <f>IFERROR(__xludf.DUMMYFUNCTION("""COMPUTED_VALUE"""),1.09)</f>
        <v>1.09</v>
      </c>
      <c r="F533" s="1">
        <f>IFERROR(__xludf.DUMMYFUNCTION("""COMPUTED_VALUE"""),4.18)</f>
        <v>4.18</v>
      </c>
      <c r="G533" s="5">
        <f>IFERROR(__xludf.DUMMYFUNCTION("""COMPUTED_VALUE"""),9567.0)</f>
        <v>9567</v>
      </c>
      <c r="H533" s="5">
        <f>IFERROR(__xludf.DUMMYFUNCTION("""COMPUTED_VALUE"""),2291.0)</f>
        <v>2291</v>
      </c>
    </row>
    <row r="534">
      <c r="A534" s="4">
        <f>IFERROR(__xludf.DUMMYFUNCTION("""COMPUTED_VALUE"""),42902.0)</f>
        <v>42902</v>
      </c>
      <c r="B534" s="5">
        <f>IFERROR(__xludf.DUMMYFUNCTION("""COMPUTED_VALUE"""),1833.0)</f>
        <v>1833</v>
      </c>
      <c r="C534" s="6">
        <f>IFERROR(__xludf.DUMMYFUNCTION("""COMPUTED_VALUE"""),0.451)</f>
        <v>0.451</v>
      </c>
      <c r="D534" s="2">
        <f>IFERROR(__xludf.DUMMYFUNCTION("""COMPUTED_VALUE"""),0.0021296296296296298)</f>
        <v>0.00212962963</v>
      </c>
      <c r="E534" s="1">
        <f>IFERROR(__xludf.DUMMYFUNCTION("""COMPUTED_VALUE"""),1.16)</f>
        <v>1.16</v>
      </c>
      <c r="F534" s="1">
        <f>IFERROR(__xludf.DUMMYFUNCTION("""COMPUTED_VALUE"""),4.78)</f>
        <v>4.78</v>
      </c>
      <c r="G534" s="5">
        <f>IFERROR(__xludf.DUMMYFUNCTION("""COMPUTED_VALUE"""),10150.0)</f>
        <v>10150</v>
      </c>
      <c r="H534" s="5">
        <f>IFERROR(__xludf.DUMMYFUNCTION("""COMPUTED_VALUE"""),2124.0)</f>
        <v>2124</v>
      </c>
    </row>
    <row r="535">
      <c r="A535" s="4">
        <f>IFERROR(__xludf.DUMMYFUNCTION("""COMPUTED_VALUE"""),42903.0)</f>
        <v>42903</v>
      </c>
      <c r="B535" s="5">
        <f>IFERROR(__xludf.DUMMYFUNCTION("""COMPUTED_VALUE"""),1389.0)</f>
        <v>1389</v>
      </c>
      <c r="C535" s="6">
        <f>IFERROR(__xludf.DUMMYFUNCTION("""COMPUTED_VALUE"""),0.5606)</f>
        <v>0.5606</v>
      </c>
      <c r="D535" s="2">
        <f>IFERROR(__xludf.DUMMYFUNCTION("""COMPUTED_VALUE"""),0.0015509259259259259)</f>
        <v>0.001550925926</v>
      </c>
      <c r="E535" s="1">
        <f>IFERROR(__xludf.DUMMYFUNCTION("""COMPUTED_VALUE"""),1.07)</f>
        <v>1.07</v>
      </c>
      <c r="F535" s="1">
        <f>IFERROR(__xludf.DUMMYFUNCTION("""COMPUTED_VALUE"""),3.15)</f>
        <v>3.15</v>
      </c>
      <c r="G535" s="5">
        <f>IFERROR(__xludf.DUMMYFUNCTION("""COMPUTED_VALUE"""),4679.0)</f>
        <v>4679</v>
      </c>
      <c r="H535" s="5">
        <f>IFERROR(__xludf.DUMMYFUNCTION("""COMPUTED_VALUE"""),1486.0)</f>
        <v>1486</v>
      </c>
    </row>
    <row r="536">
      <c r="A536" s="4">
        <f>IFERROR(__xludf.DUMMYFUNCTION("""COMPUTED_VALUE"""),42904.0)</f>
        <v>42904</v>
      </c>
      <c r="B536" s="5">
        <f>IFERROR(__xludf.DUMMYFUNCTION("""COMPUTED_VALUE"""),1375.0)</f>
        <v>1375</v>
      </c>
      <c r="C536" s="6">
        <f>IFERROR(__xludf.DUMMYFUNCTION("""COMPUTED_VALUE"""),0.4373)</f>
        <v>0.4373</v>
      </c>
      <c r="D536" s="2">
        <f>IFERROR(__xludf.DUMMYFUNCTION("""COMPUTED_VALUE"""),0.0014351851851851852)</f>
        <v>0.001435185185</v>
      </c>
      <c r="E536" s="1">
        <f>IFERROR(__xludf.DUMMYFUNCTION("""COMPUTED_VALUE"""),1.13)</f>
        <v>1.13</v>
      </c>
      <c r="F536" s="1">
        <f>IFERROR(__xludf.DUMMYFUNCTION("""COMPUTED_VALUE"""),3.63)</f>
        <v>3.63</v>
      </c>
      <c r="G536" s="5">
        <f>IFERROR(__xludf.DUMMYFUNCTION("""COMPUTED_VALUE"""),5637.0)</f>
        <v>5637</v>
      </c>
      <c r="H536" s="5">
        <f>IFERROR(__xludf.DUMMYFUNCTION("""COMPUTED_VALUE"""),1555.0)</f>
        <v>1555</v>
      </c>
    </row>
    <row r="537">
      <c r="A537" s="4">
        <f>IFERROR(__xludf.DUMMYFUNCTION("""COMPUTED_VALUE"""),42905.0)</f>
        <v>42905</v>
      </c>
      <c r="B537" s="5">
        <f>IFERROR(__xludf.DUMMYFUNCTION("""COMPUTED_VALUE"""),2097.0)</f>
        <v>2097</v>
      </c>
      <c r="C537" s="6">
        <f>IFERROR(__xludf.DUMMYFUNCTION("""COMPUTED_VALUE"""),0.3998)</f>
        <v>0.3998</v>
      </c>
      <c r="D537" s="2">
        <f>IFERROR(__xludf.DUMMYFUNCTION("""COMPUTED_VALUE"""),0.0028356481481481483)</f>
        <v>0.002835648148</v>
      </c>
      <c r="E537" s="1">
        <f>IFERROR(__xludf.DUMMYFUNCTION("""COMPUTED_VALUE"""),1.13)</f>
        <v>1.13</v>
      </c>
      <c r="F537" s="1">
        <f>IFERROR(__xludf.DUMMYFUNCTION("""COMPUTED_VALUE"""),6.17)</f>
        <v>6.17</v>
      </c>
      <c r="G537" s="5">
        <f>IFERROR(__xludf.DUMMYFUNCTION("""COMPUTED_VALUE"""),14566.0)</f>
        <v>14566</v>
      </c>
      <c r="H537" s="5">
        <f>IFERROR(__xludf.DUMMYFUNCTION("""COMPUTED_VALUE"""),2361.0)</f>
        <v>2361</v>
      </c>
    </row>
    <row r="538">
      <c r="A538" s="4">
        <f>IFERROR(__xludf.DUMMYFUNCTION("""COMPUTED_VALUE"""),42906.0)</f>
        <v>42906</v>
      </c>
      <c r="B538" s="5">
        <f>IFERROR(__xludf.DUMMYFUNCTION("""COMPUTED_VALUE"""),2166.0)</f>
        <v>2166</v>
      </c>
      <c r="C538" s="6">
        <f>IFERROR(__xludf.DUMMYFUNCTION("""COMPUTED_VALUE"""),0.5418)</f>
        <v>0.5418</v>
      </c>
      <c r="D538" s="2">
        <f>IFERROR(__xludf.DUMMYFUNCTION("""COMPUTED_VALUE"""),0.0012268518518518518)</f>
        <v>0.001226851852</v>
      </c>
      <c r="E538" s="1">
        <f>IFERROR(__xludf.DUMMYFUNCTION("""COMPUTED_VALUE"""),1.08)</f>
        <v>1.08</v>
      </c>
      <c r="F538" s="1">
        <f>IFERROR(__xludf.DUMMYFUNCTION("""COMPUTED_VALUE"""),3.33)</f>
        <v>3.33</v>
      </c>
      <c r="G538" s="5">
        <f>IFERROR(__xludf.DUMMYFUNCTION("""COMPUTED_VALUE"""),7776.0)</f>
        <v>7776</v>
      </c>
      <c r="H538" s="5">
        <f>IFERROR(__xludf.DUMMYFUNCTION("""COMPUTED_VALUE"""),2333.0)</f>
        <v>2333</v>
      </c>
    </row>
    <row r="539">
      <c r="A539" s="4">
        <f>IFERROR(__xludf.DUMMYFUNCTION("""COMPUTED_VALUE"""),42907.0)</f>
        <v>42907</v>
      </c>
      <c r="B539" s="5">
        <f>IFERROR(__xludf.DUMMYFUNCTION("""COMPUTED_VALUE"""),2291.0)</f>
        <v>2291</v>
      </c>
      <c r="C539" s="6">
        <f>IFERROR(__xludf.DUMMYFUNCTION("""COMPUTED_VALUE"""),0.4918)</f>
        <v>0.4918</v>
      </c>
      <c r="D539" s="2">
        <f>IFERROR(__xludf.DUMMYFUNCTION("""COMPUTED_VALUE"""),0.0013657407407407407)</f>
        <v>0.001365740741</v>
      </c>
      <c r="E539" s="1">
        <f>IFERROR(__xludf.DUMMYFUNCTION("""COMPUTED_VALUE"""),1.1)</f>
        <v>1.1</v>
      </c>
      <c r="F539" s="1">
        <f>IFERROR(__xludf.DUMMYFUNCTION("""COMPUTED_VALUE"""),3.33)</f>
        <v>3.33</v>
      </c>
      <c r="G539" s="5">
        <f>IFERROR(__xludf.DUMMYFUNCTION("""COMPUTED_VALUE"""),8359.0)</f>
        <v>8359</v>
      </c>
      <c r="H539" s="5">
        <f>IFERROR(__xludf.DUMMYFUNCTION("""COMPUTED_VALUE"""),2513.0)</f>
        <v>2513</v>
      </c>
    </row>
    <row r="540">
      <c r="A540" s="4">
        <f>IFERROR(__xludf.DUMMYFUNCTION("""COMPUTED_VALUE"""),42908.0)</f>
        <v>42908</v>
      </c>
      <c r="B540" s="5">
        <f>IFERROR(__xludf.DUMMYFUNCTION("""COMPUTED_VALUE"""),2194.0)</f>
        <v>2194</v>
      </c>
      <c r="C540" s="6">
        <f>IFERROR(__xludf.DUMMYFUNCTION("""COMPUTED_VALUE"""),0.4541)</f>
        <v>0.4541</v>
      </c>
      <c r="D540" s="2">
        <f>IFERROR(__xludf.DUMMYFUNCTION("""COMPUTED_VALUE"""),0.0017476851851851852)</f>
        <v>0.001747685185</v>
      </c>
      <c r="E540" s="1">
        <f>IFERROR(__xludf.DUMMYFUNCTION("""COMPUTED_VALUE"""),1.1)</f>
        <v>1.1</v>
      </c>
      <c r="F540" s="1">
        <f>IFERROR(__xludf.DUMMYFUNCTION("""COMPUTED_VALUE"""),4.37)</f>
        <v>4.37</v>
      </c>
      <c r="G540" s="5">
        <f>IFERROR(__xludf.DUMMYFUNCTION("""COMPUTED_VALUE"""),10567.0)</f>
        <v>10567</v>
      </c>
      <c r="H540" s="5">
        <f>IFERROR(__xludf.DUMMYFUNCTION("""COMPUTED_VALUE"""),2416.0)</f>
        <v>2416</v>
      </c>
    </row>
    <row r="541">
      <c r="A541" s="4">
        <f>IFERROR(__xludf.DUMMYFUNCTION("""COMPUTED_VALUE"""),42909.0)</f>
        <v>42909</v>
      </c>
      <c r="B541" s="5">
        <f>IFERROR(__xludf.DUMMYFUNCTION("""COMPUTED_VALUE"""),2069.0)</f>
        <v>2069</v>
      </c>
      <c r="C541" s="6">
        <f>IFERROR(__xludf.DUMMYFUNCTION("""COMPUTED_VALUE"""),0.5277)</f>
        <v>0.5277</v>
      </c>
      <c r="D541" s="2">
        <f>IFERROR(__xludf.DUMMYFUNCTION("""COMPUTED_VALUE"""),0.0013541666666666667)</f>
        <v>0.001354166667</v>
      </c>
      <c r="E541" s="1">
        <f>IFERROR(__xludf.DUMMYFUNCTION("""COMPUTED_VALUE"""),1.08)</f>
        <v>1.08</v>
      </c>
      <c r="F541" s="1">
        <f>IFERROR(__xludf.DUMMYFUNCTION("""COMPUTED_VALUE"""),3.26)</f>
        <v>3.26</v>
      </c>
      <c r="G541" s="5">
        <f>IFERROR(__xludf.DUMMYFUNCTION("""COMPUTED_VALUE"""),7290.0)</f>
        <v>7290</v>
      </c>
      <c r="H541" s="5">
        <f>IFERROR(__xludf.DUMMYFUNCTION("""COMPUTED_VALUE"""),2236.0)</f>
        <v>2236</v>
      </c>
    </row>
    <row r="542">
      <c r="A542" s="4">
        <f>IFERROR(__xludf.DUMMYFUNCTION("""COMPUTED_VALUE"""),42910.0)</f>
        <v>42910</v>
      </c>
      <c r="B542" s="5">
        <f>IFERROR(__xludf.DUMMYFUNCTION("""COMPUTED_VALUE"""),1472.0)</f>
        <v>1472</v>
      </c>
      <c r="C542" s="6">
        <f>IFERROR(__xludf.DUMMYFUNCTION("""COMPUTED_VALUE"""),0.4915)</f>
        <v>0.4915</v>
      </c>
      <c r="D542" s="2">
        <f>IFERROR(__xludf.DUMMYFUNCTION("""COMPUTED_VALUE"""),0.0017592592592592592)</f>
        <v>0.001759259259</v>
      </c>
      <c r="E542" s="1">
        <f>IFERROR(__xludf.DUMMYFUNCTION("""COMPUTED_VALUE"""),1.08)</f>
        <v>1.08</v>
      </c>
      <c r="F542" s="1">
        <f>IFERROR(__xludf.DUMMYFUNCTION("""COMPUTED_VALUE"""),4.3)</f>
        <v>4.3</v>
      </c>
      <c r="G542" s="5">
        <f>IFERROR(__xludf.DUMMYFUNCTION("""COMPUTED_VALUE"""),6804.0)</f>
        <v>6804</v>
      </c>
      <c r="H542" s="5">
        <f>IFERROR(__xludf.DUMMYFUNCTION("""COMPUTED_VALUE"""),1583.0)</f>
        <v>1583</v>
      </c>
    </row>
    <row r="543">
      <c r="A543" s="4">
        <f>IFERROR(__xludf.DUMMYFUNCTION("""COMPUTED_VALUE"""),42911.0)</f>
        <v>42911</v>
      </c>
      <c r="B543" s="5">
        <f>IFERROR(__xludf.DUMMYFUNCTION("""COMPUTED_VALUE"""),1583.0)</f>
        <v>1583</v>
      </c>
      <c r="C543" s="6">
        <f>IFERROR(__xludf.DUMMYFUNCTION("""COMPUTED_VALUE"""),0.4959)</f>
        <v>0.4959</v>
      </c>
      <c r="D543" s="2">
        <f>IFERROR(__xludf.DUMMYFUNCTION("""COMPUTED_VALUE"""),7.754629629629629E-4)</f>
        <v>0.000775462963</v>
      </c>
      <c r="E543" s="1">
        <f>IFERROR(__xludf.DUMMYFUNCTION("""COMPUTED_VALUE"""),1.08)</f>
        <v>1.08</v>
      </c>
      <c r="F543" s="1">
        <f>IFERROR(__xludf.DUMMYFUNCTION("""COMPUTED_VALUE"""),3.1)</f>
        <v>3.1</v>
      </c>
      <c r="G543" s="5">
        <f>IFERROR(__xludf.DUMMYFUNCTION("""COMPUTED_VALUE"""),5290.0)</f>
        <v>5290</v>
      </c>
      <c r="H543" s="5">
        <f>IFERROR(__xludf.DUMMYFUNCTION("""COMPUTED_VALUE"""),1708.0)</f>
        <v>1708</v>
      </c>
    </row>
    <row r="544">
      <c r="A544" s="4">
        <f>IFERROR(__xludf.DUMMYFUNCTION("""COMPUTED_VALUE"""),42912.0)</f>
        <v>42912</v>
      </c>
      <c r="B544" s="5">
        <f>IFERROR(__xludf.DUMMYFUNCTION("""COMPUTED_VALUE"""),2249.0)</f>
        <v>2249</v>
      </c>
      <c r="C544" s="6">
        <f>IFERROR(__xludf.DUMMYFUNCTION("""COMPUTED_VALUE"""),0.389)</f>
        <v>0.389</v>
      </c>
      <c r="D544" s="2">
        <f>IFERROR(__xludf.DUMMYFUNCTION("""COMPUTED_VALUE"""),0.002395833333333333)</f>
        <v>0.002395833333</v>
      </c>
      <c r="E544" s="1">
        <f>IFERROR(__xludf.DUMMYFUNCTION("""COMPUTED_VALUE"""),1.11)</f>
        <v>1.11</v>
      </c>
      <c r="F544" s="1">
        <f>IFERROR(__xludf.DUMMYFUNCTION("""COMPUTED_VALUE"""),5.72)</f>
        <v>5.72</v>
      </c>
      <c r="G544" s="5">
        <f>IFERROR(__xludf.DUMMYFUNCTION("""COMPUTED_VALUE"""),14288.0)</f>
        <v>14288</v>
      </c>
      <c r="H544" s="5">
        <f>IFERROR(__xludf.DUMMYFUNCTION("""COMPUTED_VALUE"""),2499.0)</f>
        <v>2499</v>
      </c>
    </row>
    <row r="545">
      <c r="A545" s="4">
        <f>IFERROR(__xludf.DUMMYFUNCTION("""COMPUTED_VALUE"""),42913.0)</f>
        <v>42913</v>
      </c>
      <c r="B545" s="5">
        <f>IFERROR(__xludf.DUMMYFUNCTION("""COMPUTED_VALUE"""),2597.0)</f>
        <v>2597</v>
      </c>
      <c r="C545" s="6">
        <f>IFERROR(__xludf.DUMMYFUNCTION("""COMPUTED_VALUE"""),0.4419)</f>
        <v>0.4419</v>
      </c>
      <c r="D545" s="2">
        <f>IFERROR(__xludf.DUMMYFUNCTION("""COMPUTED_VALUE"""),0.0021875)</f>
        <v>0.0021875</v>
      </c>
      <c r="E545" s="1">
        <f>IFERROR(__xludf.DUMMYFUNCTION("""COMPUTED_VALUE"""),1.15)</f>
        <v>1.15</v>
      </c>
      <c r="F545" s="1">
        <f>IFERROR(__xludf.DUMMYFUNCTION("""COMPUTED_VALUE"""),4.33)</f>
        <v>4.33</v>
      </c>
      <c r="G545" s="5">
        <f>IFERROR(__xludf.DUMMYFUNCTION("""COMPUTED_VALUE"""),12927.0)</f>
        <v>12927</v>
      </c>
      <c r="H545" s="5">
        <f>IFERROR(__xludf.DUMMYFUNCTION("""COMPUTED_VALUE"""),2985.0)</f>
        <v>2985</v>
      </c>
    </row>
    <row r="546">
      <c r="A546" s="4">
        <f>IFERROR(__xludf.DUMMYFUNCTION("""COMPUTED_VALUE"""),42914.0)</f>
        <v>42914</v>
      </c>
      <c r="B546" s="5">
        <f>IFERROR(__xludf.DUMMYFUNCTION("""COMPUTED_VALUE"""),2569.0)</f>
        <v>2569</v>
      </c>
      <c r="C546" s="6">
        <f>IFERROR(__xludf.DUMMYFUNCTION("""COMPUTED_VALUE"""),0.4412)</f>
        <v>0.4412</v>
      </c>
      <c r="D546" s="2">
        <f>IFERROR(__xludf.DUMMYFUNCTION("""COMPUTED_VALUE"""),0.0022222222222222222)</f>
        <v>0.002222222222</v>
      </c>
      <c r="E546" s="1">
        <f>IFERROR(__xludf.DUMMYFUNCTION("""COMPUTED_VALUE"""),1.15)</f>
        <v>1.15</v>
      </c>
      <c r="F546" s="1">
        <f>IFERROR(__xludf.DUMMYFUNCTION("""COMPUTED_VALUE"""),4.58)</f>
        <v>4.58</v>
      </c>
      <c r="G546" s="5">
        <f>IFERROR(__xludf.DUMMYFUNCTION("""COMPUTED_VALUE"""),13552.0)</f>
        <v>13552</v>
      </c>
      <c r="H546" s="5">
        <f>IFERROR(__xludf.DUMMYFUNCTION("""COMPUTED_VALUE"""),2958.0)</f>
        <v>2958</v>
      </c>
    </row>
    <row r="547">
      <c r="A547" s="4">
        <f>IFERROR(__xludf.DUMMYFUNCTION("""COMPUTED_VALUE"""),42915.0)</f>
        <v>42915</v>
      </c>
      <c r="B547" s="5">
        <f>IFERROR(__xludf.DUMMYFUNCTION("""COMPUTED_VALUE"""),2680.0)</f>
        <v>2680</v>
      </c>
      <c r="C547" s="6">
        <f>IFERROR(__xludf.DUMMYFUNCTION("""COMPUTED_VALUE"""),0.4534)</f>
        <v>0.4534</v>
      </c>
      <c r="D547" s="2">
        <f>IFERROR(__xludf.DUMMYFUNCTION("""COMPUTED_VALUE"""),0.0017824074074074075)</f>
        <v>0.001782407407</v>
      </c>
      <c r="E547" s="1">
        <f>IFERROR(__xludf.DUMMYFUNCTION("""COMPUTED_VALUE"""),1.11)</f>
        <v>1.11</v>
      </c>
      <c r="F547" s="1">
        <f>IFERROR(__xludf.DUMMYFUNCTION("""COMPUTED_VALUE"""),3.55)</f>
        <v>3.55</v>
      </c>
      <c r="G547" s="5">
        <f>IFERROR(__xludf.DUMMYFUNCTION("""COMPUTED_VALUE"""),10553.0)</f>
        <v>10553</v>
      </c>
      <c r="H547" s="5">
        <f>IFERROR(__xludf.DUMMYFUNCTION("""COMPUTED_VALUE"""),2971.0)</f>
        <v>2971</v>
      </c>
    </row>
    <row r="548">
      <c r="A548" s="4">
        <f>IFERROR(__xludf.DUMMYFUNCTION("""COMPUTED_VALUE"""),42916.0)</f>
        <v>42916</v>
      </c>
      <c r="B548" s="5">
        <f>IFERROR(__xludf.DUMMYFUNCTION("""COMPUTED_VALUE"""),2527.0)</f>
        <v>2527</v>
      </c>
      <c r="C548" s="6">
        <f>IFERROR(__xludf.DUMMYFUNCTION("""COMPUTED_VALUE"""),0.4232)</f>
        <v>0.4232</v>
      </c>
      <c r="D548" s="2">
        <f>IFERROR(__xludf.DUMMYFUNCTION("""COMPUTED_VALUE"""),0.0018287037037037037)</f>
        <v>0.001828703704</v>
      </c>
      <c r="E548" s="1">
        <f>IFERROR(__xludf.DUMMYFUNCTION("""COMPUTED_VALUE"""),1.08)</f>
        <v>1.08</v>
      </c>
      <c r="F548" s="1">
        <f>IFERROR(__xludf.DUMMYFUNCTION("""COMPUTED_VALUE"""),4.22)</f>
        <v>4.22</v>
      </c>
      <c r="G548" s="5">
        <f>IFERROR(__xludf.DUMMYFUNCTION("""COMPUTED_VALUE"""),11497.0)</f>
        <v>11497</v>
      </c>
      <c r="H548" s="5">
        <f>IFERROR(__xludf.DUMMYFUNCTION("""COMPUTED_VALUE"""),2722.0)</f>
        <v>2722</v>
      </c>
    </row>
    <row r="549">
      <c r="A549" s="4">
        <f>IFERROR(__xludf.DUMMYFUNCTION("""COMPUTED_VALUE"""),42917.0)</f>
        <v>42917</v>
      </c>
      <c r="B549" s="5">
        <f>IFERROR(__xludf.DUMMYFUNCTION("""COMPUTED_VALUE"""),2041.0)</f>
        <v>2041</v>
      </c>
      <c r="C549" s="6">
        <f>IFERROR(__xludf.DUMMYFUNCTION("""COMPUTED_VALUE"""),0.5131)</f>
        <v>0.5131</v>
      </c>
      <c r="D549" s="2">
        <f>IFERROR(__xludf.DUMMYFUNCTION("""COMPUTED_VALUE"""),0.0015393518518518519)</f>
        <v>0.001539351852</v>
      </c>
      <c r="E549" s="1">
        <f>IFERROR(__xludf.DUMMYFUNCTION("""COMPUTED_VALUE"""),1.05)</f>
        <v>1.05</v>
      </c>
      <c r="F549" s="1">
        <f>IFERROR(__xludf.DUMMYFUNCTION("""COMPUTED_VALUE"""),4.29)</f>
        <v>4.29</v>
      </c>
      <c r="G549" s="5">
        <f>IFERROR(__xludf.DUMMYFUNCTION("""COMPUTED_VALUE"""),9178.0)</f>
        <v>9178</v>
      </c>
      <c r="H549" s="5">
        <f>IFERROR(__xludf.DUMMYFUNCTION("""COMPUTED_VALUE"""),2138.0)</f>
        <v>2138</v>
      </c>
    </row>
    <row r="550">
      <c r="A550" s="4">
        <f>IFERROR(__xludf.DUMMYFUNCTION("""COMPUTED_VALUE"""),42918.0)</f>
        <v>42918</v>
      </c>
      <c r="B550" s="5">
        <f>IFERROR(__xludf.DUMMYFUNCTION("""COMPUTED_VALUE"""),1861.0)</f>
        <v>1861</v>
      </c>
      <c r="C550" s="6">
        <f>IFERROR(__xludf.DUMMYFUNCTION("""COMPUTED_VALUE"""),0.5776)</f>
        <v>0.5776</v>
      </c>
      <c r="D550" s="2">
        <f>IFERROR(__xludf.DUMMYFUNCTION("""COMPUTED_VALUE"""),0.0012847222222222223)</f>
        <v>0.001284722222</v>
      </c>
      <c r="E550" s="1">
        <f>IFERROR(__xludf.DUMMYFUNCTION("""COMPUTED_VALUE"""),1.06)</f>
        <v>1.06</v>
      </c>
      <c r="F550" s="1">
        <f>IFERROR(__xludf.DUMMYFUNCTION("""COMPUTED_VALUE"""),3.23)</f>
        <v>3.23</v>
      </c>
      <c r="G550" s="5">
        <f>IFERROR(__xludf.DUMMYFUNCTION("""COMPUTED_VALUE"""),6373.0)</f>
        <v>6373</v>
      </c>
      <c r="H550" s="5">
        <f>IFERROR(__xludf.DUMMYFUNCTION("""COMPUTED_VALUE"""),1972.0)</f>
        <v>1972</v>
      </c>
    </row>
    <row r="551">
      <c r="A551" s="4">
        <f>IFERROR(__xludf.DUMMYFUNCTION("""COMPUTED_VALUE"""),42919.0)</f>
        <v>42919</v>
      </c>
      <c r="B551" s="5">
        <f>IFERROR(__xludf.DUMMYFUNCTION("""COMPUTED_VALUE"""),1986.0)</f>
        <v>1986</v>
      </c>
      <c r="C551" s="6">
        <f>IFERROR(__xludf.DUMMYFUNCTION("""COMPUTED_VALUE"""),0.5523)</f>
        <v>0.5523</v>
      </c>
      <c r="D551" s="2">
        <f>IFERROR(__xludf.DUMMYFUNCTION("""COMPUTED_VALUE"""),0.001979166666666667)</f>
        <v>0.001979166667</v>
      </c>
      <c r="E551" s="1">
        <f>IFERROR(__xludf.DUMMYFUNCTION("""COMPUTED_VALUE"""),1.06)</f>
        <v>1.06</v>
      </c>
      <c r="F551" s="1">
        <f>IFERROR(__xludf.DUMMYFUNCTION("""COMPUTED_VALUE"""),3.88)</f>
        <v>3.88</v>
      </c>
      <c r="G551" s="5">
        <f>IFERROR(__xludf.DUMMYFUNCTION("""COMPUTED_VALUE"""),8192.0)</f>
        <v>8192</v>
      </c>
      <c r="H551" s="5">
        <f>IFERROR(__xludf.DUMMYFUNCTION("""COMPUTED_VALUE"""),2111.0)</f>
        <v>2111</v>
      </c>
    </row>
    <row r="552">
      <c r="A552" s="4">
        <f>IFERROR(__xludf.DUMMYFUNCTION("""COMPUTED_VALUE"""),42920.0)</f>
        <v>42920</v>
      </c>
      <c r="B552" s="5">
        <f>IFERROR(__xludf.DUMMYFUNCTION("""COMPUTED_VALUE"""),1902.0)</f>
        <v>1902</v>
      </c>
      <c r="C552" s="6">
        <f>IFERROR(__xludf.DUMMYFUNCTION("""COMPUTED_VALUE"""),0.5202)</f>
        <v>0.5202</v>
      </c>
      <c r="D552" s="2">
        <f>IFERROR(__xludf.DUMMYFUNCTION("""COMPUTED_VALUE"""),0.0015162037037037036)</f>
        <v>0.001516203704</v>
      </c>
      <c r="E552" s="1">
        <f>IFERROR(__xludf.DUMMYFUNCTION("""COMPUTED_VALUE"""),1.08)</f>
        <v>1.08</v>
      </c>
      <c r="F552" s="1">
        <f>IFERROR(__xludf.DUMMYFUNCTION("""COMPUTED_VALUE"""),3.39)</f>
        <v>3.39</v>
      </c>
      <c r="G552" s="5">
        <f>IFERROR(__xludf.DUMMYFUNCTION("""COMPUTED_VALUE"""),6957.0)</f>
        <v>6957</v>
      </c>
      <c r="H552" s="5">
        <f>IFERROR(__xludf.DUMMYFUNCTION("""COMPUTED_VALUE"""),2055.0)</f>
        <v>2055</v>
      </c>
    </row>
    <row r="553">
      <c r="A553" s="4">
        <f>IFERROR(__xludf.DUMMYFUNCTION("""COMPUTED_VALUE"""),42921.0)</f>
        <v>42921</v>
      </c>
      <c r="B553" s="5">
        <f>IFERROR(__xludf.DUMMYFUNCTION("""COMPUTED_VALUE"""),2958.0)</f>
        <v>2958</v>
      </c>
      <c r="C553" s="6">
        <f>IFERROR(__xludf.DUMMYFUNCTION("""COMPUTED_VALUE"""),0.474)</f>
        <v>0.474</v>
      </c>
      <c r="D553" s="2">
        <f>IFERROR(__xludf.DUMMYFUNCTION("""COMPUTED_VALUE"""),0.0021412037037037038)</f>
        <v>0.002141203704</v>
      </c>
      <c r="E553" s="1">
        <f>IFERROR(__xludf.DUMMYFUNCTION("""COMPUTED_VALUE"""),1.08)</f>
        <v>1.08</v>
      </c>
      <c r="F553" s="1">
        <f>IFERROR(__xludf.DUMMYFUNCTION("""COMPUTED_VALUE"""),4.23)</f>
        <v>4.23</v>
      </c>
      <c r="G553" s="5">
        <f>IFERROR(__xludf.DUMMYFUNCTION("""COMPUTED_VALUE"""),13510.0)</f>
        <v>13510</v>
      </c>
      <c r="H553" s="5">
        <f>IFERROR(__xludf.DUMMYFUNCTION("""COMPUTED_VALUE"""),3194.0)</f>
        <v>3194</v>
      </c>
    </row>
    <row r="554">
      <c r="A554" s="4">
        <f>IFERROR(__xludf.DUMMYFUNCTION("""COMPUTED_VALUE"""),42922.0)</f>
        <v>42922</v>
      </c>
      <c r="B554" s="5">
        <f>IFERROR(__xludf.DUMMYFUNCTION("""COMPUTED_VALUE"""),2735.0)</f>
        <v>2735</v>
      </c>
      <c r="C554" s="6">
        <f>IFERROR(__xludf.DUMMYFUNCTION("""COMPUTED_VALUE"""),0.5096)</f>
        <v>0.5096</v>
      </c>
      <c r="D554" s="2">
        <f>IFERROR(__xludf.DUMMYFUNCTION("""COMPUTED_VALUE"""),0.001574074074074074)</f>
        <v>0.001574074074</v>
      </c>
      <c r="E554" s="1">
        <f>IFERROR(__xludf.DUMMYFUNCTION("""COMPUTED_VALUE"""),1.07)</f>
        <v>1.07</v>
      </c>
      <c r="F554" s="1">
        <f>IFERROR(__xludf.DUMMYFUNCTION("""COMPUTED_VALUE"""),4.02)</f>
        <v>4.02</v>
      </c>
      <c r="G554" s="5">
        <f>IFERROR(__xludf.DUMMYFUNCTION("""COMPUTED_VALUE"""),11733.0)</f>
        <v>11733</v>
      </c>
      <c r="H554" s="5">
        <f>IFERROR(__xludf.DUMMYFUNCTION("""COMPUTED_VALUE"""),2916.0)</f>
        <v>2916</v>
      </c>
    </row>
    <row r="555">
      <c r="A555" s="4">
        <f>IFERROR(__xludf.DUMMYFUNCTION("""COMPUTED_VALUE"""),42923.0)</f>
        <v>42923</v>
      </c>
      <c r="B555" s="5">
        <f>IFERROR(__xludf.DUMMYFUNCTION("""COMPUTED_VALUE"""),2430.0)</f>
        <v>2430</v>
      </c>
      <c r="C555" s="6">
        <f>IFERROR(__xludf.DUMMYFUNCTION("""COMPUTED_VALUE"""),0.425)</f>
        <v>0.425</v>
      </c>
      <c r="D555" s="2">
        <f>IFERROR(__xludf.DUMMYFUNCTION("""COMPUTED_VALUE"""),0.0021527777777777778)</f>
        <v>0.002152777778</v>
      </c>
      <c r="E555" s="1">
        <f>IFERROR(__xludf.DUMMYFUNCTION("""COMPUTED_VALUE"""),1.1)</f>
        <v>1.1</v>
      </c>
      <c r="F555" s="1">
        <f>IFERROR(__xludf.DUMMYFUNCTION("""COMPUTED_VALUE"""),4.05)</f>
        <v>4.05</v>
      </c>
      <c r="G555" s="5">
        <f>IFERROR(__xludf.DUMMYFUNCTION("""COMPUTED_VALUE"""),10844.0)</f>
        <v>10844</v>
      </c>
      <c r="H555" s="5">
        <f>IFERROR(__xludf.DUMMYFUNCTION("""COMPUTED_VALUE"""),2680.0)</f>
        <v>2680</v>
      </c>
    </row>
    <row r="556">
      <c r="A556" s="4">
        <f>IFERROR(__xludf.DUMMYFUNCTION("""COMPUTED_VALUE"""),42924.0)</f>
        <v>42924</v>
      </c>
      <c r="B556" s="5">
        <f>IFERROR(__xludf.DUMMYFUNCTION("""COMPUTED_VALUE"""),1833.0)</f>
        <v>1833</v>
      </c>
      <c r="C556" s="6">
        <f>IFERROR(__xludf.DUMMYFUNCTION("""COMPUTED_VALUE"""),0.5036)</f>
        <v>0.5036</v>
      </c>
      <c r="D556" s="2">
        <f>IFERROR(__xludf.DUMMYFUNCTION("""COMPUTED_VALUE"""),0.0011805555555555556)</f>
        <v>0.001180555556</v>
      </c>
      <c r="E556" s="1">
        <f>IFERROR(__xludf.DUMMYFUNCTION("""COMPUTED_VALUE"""),1.05)</f>
        <v>1.05</v>
      </c>
      <c r="F556" s="1">
        <f>IFERROR(__xludf.DUMMYFUNCTION("""COMPUTED_VALUE"""),3.24)</f>
        <v>3.24</v>
      </c>
      <c r="G556" s="5">
        <f>IFERROR(__xludf.DUMMYFUNCTION("""COMPUTED_VALUE"""),6262.0)</f>
        <v>6262</v>
      </c>
      <c r="H556" s="5">
        <f>IFERROR(__xludf.DUMMYFUNCTION("""COMPUTED_VALUE"""),1930.0)</f>
        <v>1930</v>
      </c>
    </row>
    <row r="557">
      <c r="A557" s="4">
        <f>IFERROR(__xludf.DUMMYFUNCTION("""COMPUTED_VALUE"""),42925.0)</f>
        <v>42925</v>
      </c>
      <c r="B557" s="5">
        <f>IFERROR(__xludf.DUMMYFUNCTION("""COMPUTED_VALUE"""),1875.0)</f>
        <v>1875</v>
      </c>
      <c r="C557" s="6">
        <f>IFERROR(__xludf.DUMMYFUNCTION("""COMPUTED_VALUE"""),0.4933)</f>
        <v>0.4933</v>
      </c>
      <c r="D557" s="2">
        <f>IFERROR(__xludf.DUMMYFUNCTION("""COMPUTED_VALUE"""),0.001261574074074074)</f>
        <v>0.001261574074</v>
      </c>
      <c r="E557" s="1">
        <f>IFERROR(__xludf.DUMMYFUNCTION("""COMPUTED_VALUE"""),1.08)</f>
        <v>1.08</v>
      </c>
      <c r="F557" s="1">
        <f>IFERROR(__xludf.DUMMYFUNCTION("""COMPUTED_VALUE"""),3.5)</f>
        <v>3.5</v>
      </c>
      <c r="G557" s="5">
        <f>IFERROR(__xludf.DUMMYFUNCTION("""COMPUTED_VALUE"""),7095.0)</f>
        <v>7095</v>
      </c>
      <c r="H557" s="5">
        <f>IFERROR(__xludf.DUMMYFUNCTION("""COMPUTED_VALUE"""),2027.0)</f>
        <v>2027</v>
      </c>
    </row>
    <row r="558">
      <c r="A558" s="4">
        <f>IFERROR(__xludf.DUMMYFUNCTION("""COMPUTED_VALUE"""),42926.0)</f>
        <v>42926</v>
      </c>
      <c r="B558" s="5">
        <f>IFERROR(__xludf.DUMMYFUNCTION("""COMPUTED_VALUE"""),2666.0)</f>
        <v>2666</v>
      </c>
      <c r="C558" s="6">
        <f>IFERROR(__xludf.DUMMYFUNCTION("""COMPUTED_VALUE"""),0.416)</f>
        <v>0.416</v>
      </c>
      <c r="D558" s="2">
        <f>IFERROR(__xludf.DUMMYFUNCTION("""COMPUTED_VALUE"""),0.0020486111111111113)</f>
        <v>0.002048611111</v>
      </c>
      <c r="E558" s="1">
        <f>IFERROR(__xludf.DUMMYFUNCTION("""COMPUTED_VALUE"""),1.11)</f>
        <v>1.11</v>
      </c>
      <c r="F558" s="1">
        <f>IFERROR(__xludf.DUMMYFUNCTION("""COMPUTED_VALUE"""),4.88)</f>
        <v>4.88</v>
      </c>
      <c r="G558" s="5">
        <f>IFERROR(__xludf.DUMMYFUNCTION("""COMPUTED_VALUE"""),14510.0)</f>
        <v>14510</v>
      </c>
      <c r="H558" s="5">
        <f>IFERROR(__xludf.DUMMYFUNCTION("""COMPUTED_VALUE"""),2971.0)</f>
        <v>2971</v>
      </c>
    </row>
    <row r="559">
      <c r="A559" s="4">
        <f>IFERROR(__xludf.DUMMYFUNCTION("""COMPUTED_VALUE"""),42927.0)</f>
        <v>42927</v>
      </c>
      <c r="B559" s="5">
        <f>IFERROR(__xludf.DUMMYFUNCTION("""COMPUTED_VALUE"""),2513.0)</f>
        <v>2513</v>
      </c>
      <c r="C559" s="6">
        <f>IFERROR(__xludf.DUMMYFUNCTION("""COMPUTED_VALUE"""),0.4328)</f>
        <v>0.4328</v>
      </c>
      <c r="D559" s="2">
        <f>IFERROR(__xludf.DUMMYFUNCTION("""COMPUTED_VALUE"""),0.0017592592592592592)</f>
        <v>0.001759259259</v>
      </c>
      <c r="E559" s="1">
        <f>IFERROR(__xludf.DUMMYFUNCTION("""COMPUTED_VALUE"""),1.15)</f>
        <v>1.15</v>
      </c>
      <c r="F559" s="1">
        <f>IFERROR(__xludf.DUMMYFUNCTION("""COMPUTED_VALUE"""),4.35)</f>
        <v>4.35</v>
      </c>
      <c r="G559" s="5">
        <f>IFERROR(__xludf.DUMMYFUNCTION("""COMPUTED_VALUE"""),12566.0)</f>
        <v>12566</v>
      </c>
      <c r="H559" s="5">
        <f>IFERROR(__xludf.DUMMYFUNCTION("""COMPUTED_VALUE"""),2888.0)</f>
        <v>2888</v>
      </c>
    </row>
    <row r="560">
      <c r="A560" s="4">
        <f>IFERROR(__xludf.DUMMYFUNCTION("""COMPUTED_VALUE"""),42928.0)</f>
        <v>42928</v>
      </c>
      <c r="B560" s="5">
        <f>IFERROR(__xludf.DUMMYFUNCTION("""COMPUTED_VALUE"""),2499.0)</f>
        <v>2499</v>
      </c>
      <c r="C560" s="6">
        <f>IFERROR(__xludf.DUMMYFUNCTION("""COMPUTED_VALUE"""),0.4696)</f>
        <v>0.4696</v>
      </c>
      <c r="D560" s="2">
        <f>IFERROR(__xludf.DUMMYFUNCTION("""COMPUTED_VALUE"""),0.0025578703703703705)</f>
        <v>0.00255787037</v>
      </c>
      <c r="E560" s="1">
        <f>IFERROR(__xludf.DUMMYFUNCTION("""COMPUTED_VALUE"""),1.1)</f>
        <v>1.1</v>
      </c>
      <c r="F560" s="1">
        <f>IFERROR(__xludf.DUMMYFUNCTION("""COMPUTED_VALUE"""),5.16)</f>
        <v>5.16</v>
      </c>
      <c r="G560" s="5">
        <f>IFERROR(__xludf.DUMMYFUNCTION("""COMPUTED_VALUE"""),14191.0)</f>
        <v>14191</v>
      </c>
      <c r="H560" s="5">
        <f>IFERROR(__xludf.DUMMYFUNCTION("""COMPUTED_VALUE"""),2749.0)</f>
        <v>2749</v>
      </c>
    </row>
    <row r="561">
      <c r="A561" s="4">
        <f>IFERROR(__xludf.DUMMYFUNCTION("""COMPUTED_VALUE"""),42929.0)</f>
        <v>42929</v>
      </c>
      <c r="B561" s="5">
        <f>IFERROR(__xludf.DUMMYFUNCTION("""COMPUTED_VALUE"""),2624.0)</f>
        <v>2624</v>
      </c>
      <c r="C561" s="6">
        <f>IFERROR(__xludf.DUMMYFUNCTION("""COMPUTED_VALUE"""),0.4903)</f>
        <v>0.4903</v>
      </c>
      <c r="D561" s="2">
        <f>IFERROR(__xludf.DUMMYFUNCTION("""COMPUTED_VALUE"""),0.002199074074074074)</f>
        <v>0.002199074074</v>
      </c>
      <c r="E561" s="1">
        <f>IFERROR(__xludf.DUMMYFUNCTION("""COMPUTED_VALUE"""),1.1)</f>
        <v>1.1</v>
      </c>
      <c r="F561" s="1">
        <f>IFERROR(__xludf.DUMMYFUNCTION("""COMPUTED_VALUE"""),4.62)</f>
        <v>4.62</v>
      </c>
      <c r="G561" s="5">
        <f>IFERROR(__xludf.DUMMYFUNCTION("""COMPUTED_VALUE"""),13330.0)</f>
        <v>13330</v>
      </c>
      <c r="H561" s="5">
        <f>IFERROR(__xludf.DUMMYFUNCTION("""COMPUTED_VALUE"""),2888.0)</f>
        <v>2888</v>
      </c>
    </row>
    <row r="562">
      <c r="A562" s="4">
        <f>IFERROR(__xludf.DUMMYFUNCTION("""COMPUTED_VALUE"""),42930.0)</f>
        <v>42930</v>
      </c>
      <c r="B562" s="5">
        <f>IFERROR(__xludf.DUMMYFUNCTION("""COMPUTED_VALUE"""),2333.0)</f>
        <v>2333</v>
      </c>
      <c r="C562" s="6">
        <f>IFERROR(__xludf.DUMMYFUNCTION("""COMPUTED_VALUE"""),0.5364)</f>
        <v>0.5364</v>
      </c>
      <c r="D562" s="2">
        <f>IFERROR(__xludf.DUMMYFUNCTION("""COMPUTED_VALUE"""),0.0016898148148148148)</f>
        <v>0.001689814815</v>
      </c>
      <c r="E562" s="1">
        <f>IFERROR(__xludf.DUMMYFUNCTION("""COMPUTED_VALUE"""),1.07)</f>
        <v>1.07</v>
      </c>
      <c r="F562" s="1">
        <f>IFERROR(__xludf.DUMMYFUNCTION("""COMPUTED_VALUE"""),3.82)</f>
        <v>3.82</v>
      </c>
      <c r="G562" s="5">
        <f>IFERROR(__xludf.DUMMYFUNCTION("""COMPUTED_VALUE"""),9484.0)</f>
        <v>9484</v>
      </c>
      <c r="H562" s="5">
        <f>IFERROR(__xludf.DUMMYFUNCTION("""COMPUTED_VALUE"""),2485.0)</f>
        <v>2485</v>
      </c>
    </row>
    <row r="563">
      <c r="A563" s="4">
        <f>IFERROR(__xludf.DUMMYFUNCTION("""COMPUTED_VALUE"""),42931.0)</f>
        <v>42931</v>
      </c>
      <c r="B563" s="5">
        <f>IFERROR(__xludf.DUMMYFUNCTION("""COMPUTED_VALUE"""),1680.0)</f>
        <v>1680</v>
      </c>
      <c r="C563" s="6">
        <f>IFERROR(__xludf.DUMMYFUNCTION("""COMPUTED_VALUE"""),0.5608)</f>
        <v>0.5608</v>
      </c>
      <c r="D563" s="2">
        <f>IFERROR(__xludf.DUMMYFUNCTION("""COMPUTED_VALUE"""),0.0017592592592592592)</f>
        <v>0.001759259259</v>
      </c>
      <c r="E563" s="1">
        <f>IFERROR(__xludf.DUMMYFUNCTION("""COMPUTED_VALUE"""),1.09)</f>
        <v>1.09</v>
      </c>
      <c r="F563" s="1">
        <f>IFERROR(__xludf.DUMMYFUNCTION("""COMPUTED_VALUE"""),3.47)</f>
        <v>3.47</v>
      </c>
      <c r="G563" s="5">
        <f>IFERROR(__xludf.DUMMYFUNCTION("""COMPUTED_VALUE"""),6360.0)</f>
        <v>6360</v>
      </c>
      <c r="H563" s="5">
        <f>IFERROR(__xludf.DUMMYFUNCTION("""COMPUTED_VALUE"""),1833.0)</f>
        <v>1833</v>
      </c>
    </row>
    <row r="564">
      <c r="A564" s="4">
        <f>IFERROR(__xludf.DUMMYFUNCTION("""COMPUTED_VALUE"""),42932.0)</f>
        <v>42932</v>
      </c>
      <c r="B564" s="5">
        <f>IFERROR(__xludf.DUMMYFUNCTION("""COMPUTED_VALUE"""),1763.0)</f>
        <v>1763</v>
      </c>
      <c r="C564" s="6">
        <f>IFERROR(__xludf.DUMMYFUNCTION("""COMPUTED_VALUE"""),0.4777)</f>
        <v>0.4777</v>
      </c>
      <c r="D564" s="2">
        <f>IFERROR(__xludf.DUMMYFUNCTION("""COMPUTED_VALUE"""),0.0026041666666666665)</f>
        <v>0.002604166667</v>
      </c>
      <c r="E564" s="1">
        <f>IFERROR(__xludf.DUMMYFUNCTION("""COMPUTED_VALUE"""),1.06)</f>
        <v>1.06</v>
      </c>
      <c r="F564" s="1">
        <f>IFERROR(__xludf.DUMMYFUNCTION("""COMPUTED_VALUE"""),4.32)</f>
        <v>4.32</v>
      </c>
      <c r="G564" s="5">
        <f>IFERROR(__xludf.DUMMYFUNCTION("""COMPUTED_VALUE"""),8040.0)</f>
        <v>8040</v>
      </c>
      <c r="H564" s="5">
        <f>IFERROR(__xludf.DUMMYFUNCTION("""COMPUTED_VALUE"""),1861.0)</f>
        <v>1861</v>
      </c>
    </row>
    <row r="565">
      <c r="A565" s="4">
        <f>IFERROR(__xludf.DUMMYFUNCTION("""COMPUTED_VALUE"""),42933.0)</f>
        <v>42933</v>
      </c>
      <c r="B565" s="5">
        <f>IFERROR(__xludf.DUMMYFUNCTION("""COMPUTED_VALUE"""),2222.0)</f>
        <v>2222</v>
      </c>
      <c r="C565" s="6">
        <f>IFERROR(__xludf.DUMMYFUNCTION("""COMPUTED_VALUE"""),0.5245)</f>
        <v>0.5245</v>
      </c>
      <c r="D565" s="2">
        <f>IFERROR(__xludf.DUMMYFUNCTION("""COMPUTED_VALUE"""),0.0019444444444444444)</f>
        <v>0.001944444444</v>
      </c>
      <c r="E565" s="1">
        <f>IFERROR(__xludf.DUMMYFUNCTION("""COMPUTED_VALUE"""),1.29)</f>
        <v>1.29</v>
      </c>
      <c r="F565" s="1">
        <f>IFERROR(__xludf.DUMMYFUNCTION("""COMPUTED_VALUE"""),4.61)</f>
        <v>4.61</v>
      </c>
      <c r="G565" s="5">
        <f>IFERROR(__xludf.DUMMYFUNCTION("""COMPUTED_VALUE"""),13177.0)</f>
        <v>13177</v>
      </c>
      <c r="H565" s="5">
        <f>IFERROR(__xludf.DUMMYFUNCTION("""COMPUTED_VALUE"""),2860.0)</f>
        <v>2860</v>
      </c>
    </row>
    <row r="566">
      <c r="A566" s="4">
        <f>IFERROR(__xludf.DUMMYFUNCTION("""COMPUTED_VALUE"""),42934.0)</f>
        <v>42934</v>
      </c>
      <c r="B566" s="5">
        <f>IFERROR(__xludf.DUMMYFUNCTION("""COMPUTED_VALUE"""),2624.0)</f>
        <v>2624</v>
      </c>
      <c r="C566" s="6">
        <f>IFERROR(__xludf.DUMMYFUNCTION("""COMPUTED_VALUE"""),0.4238)</f>
        <v>0.4238</v>
      </c>
      <c r="D566" s="2">
        <f>IFERROR(__xludf.DUMMYFUNCTION("""COMPUTED_VALUE"""),0.002650462962962963)</f>
        <v>0.002650462963</v>
      </c>
      <c r="E566" s="1">
        <f>IFERROR(__xludf.DUMMYFUNCTION("""COMPUTED_VALUE"""),1.15)</f>
        <v>1.15</v>
      </c>
      <c r="F566" s="1">
        <f>IFERROR(__xludf.DUMMYFUNCTION("""COMPUTED_VALUE"""),5.19)</f>
        <v>5.19</v>
      </c>
      <c r="G566" s="5">
        <f>IFERROR(__xludf.DUMMYFUNCTION("""COMPUTED_VALUE"""),15635.0)</f>
        <v>15635</v>
      </c>
      <c r="H566" s="5">
        <f>IFERROR(__xludf.DUMMYFUNCTION("""COMPUTED_VALUE"""),3013.0)</f>
        <v>3013</v>
      </c>
    </row>
    <row r="567">
      <c r="A567" s="4">
        <f>IFERROR(__xludf.DUMMYFUNCTION("""COMPUTED_VALUE"""),42935.0)</f>
        <v>42935</v>
      </c>
      <c r="B567" s="5">
        <f>IFERROR(__xludf.DUMMYFUNCTION("""COMPUTED_VALUE"""),2374.0)</f>
        <v>2374</v>
      </c>
      <c r="C567" s="6">
        <f>IFERROR(__xludf.DUMMYFUNCTION("""COMPUTED_VALUE"""),0.4664)</f>
        <v>0.4664</v>
      </c>
      <c r="D567" s="2">
        <f>IFERROR(__xludf.DUMMYFUNCTION("""COMPUTED_VALUE"""),0.0030208333333333333)</f>
        <v>0.003020833333</v>
      </c>
      <c r="E567" s="1">
        <f>IFERROR(__xludf.DUMMYFUNCTION("""COMPUTED_VALUE"""),1.13)</f>
        <v>1.13</v>
      </c>
      <c r="F567" s="1">
        <f>IFERROR(__xludf.DUMMYFUNCTION("""COMPUTED_VALUE"""),6.78)</f>
        <v>6.78</v>
      </c>
      <c r="G567" s="5">
        <f>IFERROR(__xludf.DUMMYFUNCTION("""COMPUTED_VALUE"""),18176.0)</f>
        <v>18176</v>
      </c>
      <c r="H567" s="5">
        <f>IFERROR(__xludf.DUMMYFUNCTION("""COMPUTED_VALUE"""),2680.0)</f>
        <v>2680</v>
      </c>
    </row>
    <row r="568">
      <c r="A568" s="4">
        <f>IFERROR(__xludf.DUMMYFUNCTION("""COMPUTED_VALUE"""),42936.0)</f>
        <v>42936</v>
      </c>
      <c r="B568" s="5">
        <f>IFERROR(__xludf.DUMMYFUNCTION("""COMPUTED_VALUE"""),2361.0)</f>
        <v>2361</v>
      </c>
      <c r="C568" s="6">
        <f>IFERROR(__xludf.DUMMYFUNCTION("""COMPUTED_VALUE"""),0.5226)</f>
        <v>0.5226</v>
      </c>
      <c r="D568" s="2">
        <f>IFERROR(__xludf.DUMMYFUNCTION("""COMPUTED_VALUE"""),0.0018171296296296297)</f>
        <v>0.00181712963</v>
      </c>
      <c r="E568" s="1">
        <f>IFERROR(__xludf.DUMMYFUNCTION("""COMPUTED_VALUE"""),1.17)</f>
        <v>1.17</v>
      </c>
      <c r="F568" s="1">
        <f>IFERROR(__xludf.DUMMYFUNCTION("""COMPUTED_VALUE"""),3.93)</f>
        <v>3.93</v>
      </c>
      <c r="G568" s="5">
        <f>IFERROR(__xludf.DUMMYFUNCTION("""COMPUTED_VALUE"""),10858.0)</f>
        <v>10858</v>
      </c>
      <c r="H568" s="5">
        <f>IFERROR(__xludf.DUMMYFUNCTION("""COMPUTED_VALUE"""),2763.0)</f>
        <v>2763</v>
      </c>
    </row>
    <row r="569">
      <c r="A569" s="4">
        <f>IFERROR(__xludf.DUMMYFUNCTION("""COMPUTED_VALUE"""),42937.0)</f>
        <v>42937</v>
      </c>
      <c r="B569" s="5">
        <f>IFERROR(__xludf.DUMMYFUNCTION("""COMPUTED_VALUE"""),2249.0)</f>
        <v>2249</v>
      </c>
      <c r="C569" s="6">
        <f>IFERROR(__xludf.DUMMYFUNCTION("""COMPUTED_VALUE"""),0.4403)</f>
        <v>0.4403</v>
      </c>
      <c r="D569" s="2">
        <f>IFERROR(__xludf.DUMMYFUNCTION("""COMPUTED_VALUE"""),0.0024074074074074076)</f>
        <v>0.002407407407</v>
      </c>
      <c r="E569" s="1">
        <f>IFERROR(__xludf.DUMMYFUNCTION("""COMPUTED_VALUE"""),1.14)</f>
        <v>1.14</v>
      </c>
      <c r="F569" s="1">
        <f>IFERROR(__xludf.DUMMYFUNCTION("""COMPUTED_VALUE"""),5.24)</f>
        <v>5.24</v>
      </c>
      <c r="G569" s="5">
        <f>IFERROR(__xludf.DUMMYFUNCTION("""COMPUTED_VALUE"""),13386.0)</f>
        <v>13386</v>
      </c>
      <c r="H569" s="5">
        <f>IFERROR(__xludf.DUMMYFUNCTION("""COMPUTED_VALUE"""),2555.0)</f>
        <v>2555</v>
      </c>
    </row>
    <row r="570">
      <c r="A570" s="4">
        <f>IFERROR(__xludf.DUMMYFUNCTION("""COMPUTED_VALUE"""),42938.0)</f>
        <v>42938</v>
      </c>
      <c r="B570" s="5">
        <f>IFERROR(__xludf.DUMMYFUNCTION("""COMPUTED_VALUE"""),1569.0)</f>
        <v>1569</v>
      </c>
      <c r="C570" s="6">
        <f>IFERROR(__xludf.DUMMYFUNCTION("""COMPUTED_VALUE"""),0.4964)</f>
        <v>0.4964</v>
      </c>
      <c r="D570" s="2">
        <f>IFERROR(__xludf.DUMMYFUNCTION("""COMPUTED_VALUE"""),0.001990740740740741)</f>
        <v>0.001990740741</v>
      </c>
      <c r="E570" s="1">
        <f>IFERROR(__xludf.DUMMYFUNCTION("""COMPUTED_VALUE"""),1.16)</f>
        <v>1.16</v>
      </c>
      <c r="F570" s="1">
        <f>IFERROR(__xludf.DUMMYFUNCTION("""COMPUTED_VALUE"""),5.52)</f>
        <v>5.52</v>
      </c>
      <c r="G570" s="5">
        <f>IFERROR(__xludf.DUMMYFUNCTION("""COMPUTED_VALUE"""),10039.0)</f>
        <v>10039</v>
      </c>
      <c r="H570" s="5">
        <f>IFERROR(__xludf.DUMMYFUNCTION("""COMPUTED_VALUE"""),1819.0)</f>
        <v>1819</v>
      </c>
    </row>
    <row r="571">
      <c r="A571" s="4">
        <f>IFERROR(__xludf.DUMMYFUNCTION("""COMPUTED_VALUE"""),42939.0)</f>
        <v>42939</v>
      </c>
      <c r="B571" s="5">
        <f>IFERROR(__xludf.DUMMYFUNCTION("""COMPUTED_VALUE"""),1791.0)</f>
        <v>1791</v>
      </c>
      <c r="C571" s="6">
        <f>IFERROR(__xludf.DUMMYFUNCTION("""COMPUTED_VALUE"""),0.4762)</f>
        <v>0.4762</v>
      </c>
      <c r="D571" s="2">
        <f>IFERROR(__xludf.DUMMYFUNCTION("""COMPUTED_VALUE"""),0.0020833333333333333)</f>
        <v>0.002083333333</v>
      </c>
      <c r="E571" s="1">
        <f>IFERROR(__xludf.DUMMYFUNCTION("""COMPUTED_VALUE"""),1.14)</f>
        <v>1.14</v>
      </c>
      <c r="F571" s="1">
        <f>IFERROR(__xludf.DUMMYFUNCTION("""COMPUTED_VALUE"""),4.42)</f>
        <v>4.42</v>
      </c>
      <c r="G571" s="5">
        <f>IFERROR(__xludf.DUMMYFUNCTION("""COMPUTED_VALUE"""),9025.0)</f>
        <v>9025</v>
      </c>
      <c r="H571" s="5">
        <f>IFERROR(__xludf.DUMMYFUNCTION("""COMPUTED_VALUE"""),2041.0)</f>
        <v>2041</v>
      </c>
    </row>
    <row r="572">
      <c r="A572" s="4">
        <f>IFERROR(__xludf.DUMMYFUNCTION("""COMPUTED_VALUE"""),42940.0)</f>
        <v>42940</v>
      </c>
      <c r="B572" s="5">
        <f>IFERROR(__xludf.DUMMYFUNCTION("""COMPUTED_VALUE"""),2374.0)</f>
        <v>2374</v>
      </c>
      <c r="C572" s="6">
        <f>IFERROR(__xludf.DUMMYFUNCTION("""COMPUTED_VALUE"""),0.4409)</f>
        <v>0.4409</v>
      </c>
      <c r="D572" s="2">
        <f>IFERROR(__xludf.DUMMYFUNCTION("""COMPUTED_VALUE"""),0.0021180555555555558)</f>
        <v>0.002118055556</v>
      </c>
      <c r="E572" s="1">
        <f>IFERROR(__xludf.DUMMYFUNCTION("""COMPUTED_VALUE"""),1.14)</f>
        <v>1.14</v>
      </c>
      <c r="F572" s="1">
        <f>IFERROR(__xludf.DUMMYFUNCTION("""COMPUTED_VALUE"""),4.52)</f>
        <v>4.52</v>
      </c>
      <c r="G572" s="5">
        <f>IFERROR(__xludf.DUMMYFUNCTION("""COMPUTED_VALUE"""),12233.0)</f>
        <v>12233</v>
      </c>
      <c r="H572" s="5">
        <f>IFERROR(__xludf.DUMMYFUNCTION("""COMPUTED_VALUE"""),2708.0)</f>
        <v>2708</v>
      </c>
    </row>
    <row r="573">
      <c r="A573" s="4">
        <f>IFERROR(__xludf.DUMMYFUNCTION("""COMPUTED_VALUE"""),42941.0)</f>
        <v>42941</v>
      </c>
      <c r="B573" s="5">
        <f>IFERROR(__xludf.DUMMYFUNCTION("""COMPUTED_VALUE"""),2472.0)</f>
        <v>2472</v>
      </c>
      <c r="C573" s="6">
        <f>IFERROR(__xludf.DUMMYFUNCTION("""COMPUTED_VALUE"""),0.4307)</f>
        <v>0.4307</v>
      </c>
      <c r="D573" s="2">
        <f>IFERROR(__xludf.DUMMYFUNCTION("""COMPUTED_VALUE"""),0.0021064814814814813)</f>
        <v>0.002106481481</v>
      </c>
      <c r="E573" s="1">
        <f>IFERROR(__xludf.DUMMYFUNCTION("""COMPUTED_VALUE"""),1.13)</f>
        <v>1.13</v>
      </c>
      <c r="F573" s="1">
        <f>IFERROR(__xludf.DUMMYFUNCTION("""COMPUTED_VALUE"""),4.25)</f>
        <v>4.25</v>
      </c>
      <c r="G573" s="5">
        <f>IFERROR(__xludf.DUMMYFUNCTION("""COMPUTED_VALUE"""),11928.0)</f>
        <v>11928</v>
      </c>
      <c r="H573" s="5">
        <f>IFERROR(__xludf.DUMMYFUNCTION("""COMPUTED_VALUE"""),2805.0)</f>
        <v>2805</v>
      </c>
    </row>
    <row r="574">
      <c r="A574" s="4">
        <f>IFERROR(__xludf.DUMMYFUNCTION("""COMPUTED_VALUE"""),42942.0)</f>
        <v>42942</v>
      </c>
      <c r="B574" s="5">
        <f>IFERROR(__xludf.DUMMYFUNCTION("""COMPUTED_VALUE"""),2527.0)</f>
        <v>2527</v>
      </c>
      <c r="C574" s="6">
        <f>IFERROR(__xludf.DUMMYFUNCTION("""COMPUTED_VALUE"""),0.4106)</f>
        <v>0.4106</v>
      </c>
      <c r="D574" s="2">
        <f>IFERROR(__xludf.DUMMYFUNCTION("""COMPUTED_VALUE"""),0.0020949074074074073)</f>
        <v>0.002094907407</v>
      </c>
      <c r="E574" s="1">
        <f>IFERROR(__xludf.DUMMYFUNCTION("""COMPUTED_VALUE"""),1.14)</f>
        <v>1.14</v>
      </c>
      <c r="F574" s="1">
        <f>IFERROR(__xludf.DUMMYFUNCTION("""COMPUTED_VALUE"""),4.52)</f>
        <v>4.52</v>
      </c>
      <c r="G574" s="5">
        <f>IFERROR(__xludf.DUMMYFUNCTION("""COMPUTED_VALUE"""),12997.0)</f>
        <v>12997</v>
      </c>
      <c r="H574" s="5">
        <f>IFERROR(__xludf.DUMMYFUNCTION("""COMPUTED_VALUE"""),2874.0)</f>
        <v>2874</v>
      </c>
    </row>
    <row r="575">
      <c r="A575" s="4">
        <f>IFERROR(__xludf.DUMMYFUNCTION("""COMPUTED_VALUE"""),42943.0)</f>
        <v>42943</v>
      </c>
      <c r="B575" s="5">
        <f>IFERROR(__xludf.DUMMYFUNCTION("""COMPUTED_VALUE"""),2444.0)</f>
        <v>2444</v>
      </c>
      <c r="C575" s="6">
        <f>IFERROR(__xludf.DUMMYFUNCTION("""COMPUTED_VALUE"""),0.4645)</f>
        <v>0.4645</v>
      </c>
      <c r="D575" s="2">
        <f>IFERROR(__xludf.DUMMYFUNCTION("""COMPUTED_VALUE"""),0.0018981481481481482)</f>
        <v>0.001898148148</v>
      </c>
      <c r="E575" s="1">
        <f>IFERROR(__xludf.DUMMYFUNCTION("""COMPUTED_VALUE"""),1.12)</f>
        <v>1.12</v>
      </c>
      <c r="F575" s="1">
        <f>IFERROR(__xludf.DUMMYFUNCTION("""COMPUTED_VALUE"""),4.0)</f>
        <v>4</v>
      </c>
      <c r="G575" s="5">
        <f>IFERROR(__xludf.DUMMYFUNCTION("""COMPUTED_VALUE"""),10983.0)</f>
        <v>10983</v>
      </c>
      <c r="H575" s="5">
        <f>IFERROR(__xludf.DUMMYFUNCTION("""COMPUTED_VALUE"""),2749.0)</f>
        <v>2749</v>
      </c>
    </row>
    <row r="576">
      <c r="A576" s="4">
        <f>IFERROR(__xludf.DUMMYFUNCTION("""COMPUTED_VALUE"""),42944.0)</f>
        <v>42944</v>
      </c>
      <c r="B576" s="5">
        <f>IFERROR(__xludf.DUMMYFUNCTION("""COMPUTED_VALUE"""),2374.0)</f>
        <v>2374</v>
      </c>
      <c r="C576" s="6">
        <f>IFERROR(__xludf.DUMMYFUNCTION("""COMPUTED_VALUE"""),0.4002)</f>
        <v>0.4002</v>
      </c>
      <c r="D576" s="2">
        <f>IFERROR(__xludf.DUMMYFUNCTION("""COMPUTED_VALUE"""),0.002777777777777778)</f>
        <v>0.002777777778</v>
      </c>
      <c r="E576" s="1">
        <f>IFERROR(__xludf.DUMMYFUNCTION("""COMPUTED_VALUE"""),1.08)</f>
        <v>1.08</v>
      </c>
      <c r="F576" s="1">
        <f>IFERROR(__xludf.DUMMYFUNCTION("""COMPUTED_VALUE"""),4.32)</f>
        <v>4.32</v>
      </c>
      <c r="G576" s="5">
        <f>IFERROR(__xludf.DUMMYFUNCTION("""COMPUTED_VALUE"""),11094.0)</f>
        <v>11094</v>
      </c>
      <c r="H576" s="5">
        <f>IFERROR(__xludf.DUMMYFUNCTION("""COMPUTED_VALUE"""),2569.0)</f>
        <v>2569</v>
      </c>
    </row>
    <row r="577">
      <c r="A577" s="4">
        <f>IFERROR(__xludf.DUMMYFUNCTION("""COMPUTED_VALUE"""),42945.0)</f>
        <v>42945</v>
      </c>
      <c r="B577" s="5">
        <f>IFERROR(__xludf.DUMMYFUNCTION("""COMPUTED_VALUE"""),1500.0)</f>
        <v>1500</v>
      </c>
      <c r="C577" s="6">
        <f>IFERROR(__xludf.DUMMYFUNCTION("""COMPUTED_VALUE"""),0.549)</f>
        <v>0.549</v>
      </c>
      <c r="D577" s="2">
        <f>IFERROR(__xludf.DUMMYFUNCTION("""COMPUTED_VALUE"""),0.0018402777777777777)</f>
        <v>0.001840277778</v>
      </c>
      <c r="E577" s="1">
        <f>IFERROR(__xludf.DUMMYFUNCTION("""COMPUTED_VALUE"""),1.13)</f>
        <v>1.13</v>
      </c>
      <c r="F577" s="1">
        <f>IFERROR(__xludf.DUMMYFUNCTION("""COMPUTED_VALUE"""),3.18)</f>
        <v>3.18</v>
      </c>
      <c r="G577" s="5">
        <f>IFERROR(__xludf.DUMMYFUNCTION("""COMPUTED_VALUE"""),5388.0)</f>
        <v>5388</v>
      </c>
      <c r="H577" s="5">
        <f>IFERROR(__xludf.DUMMYFUNCTION("""COMPUTED_VALUE"""),1694.0)</f>
        <v>1694</v>
      </c>
    </row>
    <row r="578">
      <c r="A578" s="4">
        <f>IFERROR(__xludf.DUMMYFUNCTION("""COMPUTED_VALUE"""),42946.0)</f>
        <v>42946</v>
      </c>
      <c r="B578" s="5">
        <f>IFERROR(__xludf.DUMMYFUNCTION("""COMPUTED_VALUE"""),1666.0)</f>
        <v>1666</v>
      </c>
      <c r="C578" s="6">
        <f>IFERROR(__xludf.DUMMYFUNCTION("""COMPUTED_VALUE"""),0.4889)</f>
        <v>0.4889</v>
      </c>
      <c r="D578" s="2">
        <f>IFERROR(__xludf.DUMMYFUNCTION("""COMPUTED_VALUE"""),0.0021296296296296298)</f>
        <v>0.00212962963</v>
      </c>
      <c r="E578" s="1">
        <f>IFERROR(__xludf.DUMMYFUNCTION("""COMPUTED_VALUE"""),1.11)</f>
        <v>1.11</v>
      </c>
      <c r="F578" s="1">
        <f>IFERROR(__xludf.DUMMYFUNCTION("""COMPUTED_VALUE"""),4.88)</f>
        <v>4.88</v>
      </c>
      <c r="G578" s="5">
        <f>IFERROR(__xludf.DUMMYFUNCTION("""COMPUTED_VALUE"""),9012.0)</f>
        <v>9012</v>
      </c>
      <c r="H578" s="5">
        <f>IFERROR(__xludf.DUMMYFUNCTION("""COMPUTED_VALUE"""),1847.0)</f>
        <v>1847</v>
      </c>
    </row>
    <row r="579">
      <c r="A579" s="4">
        <f>IFERROR(__xludf.DUMMYFUNCTION("""COMPUTED_VALUE"""),42947.0)</f>
        <v>42947</v>
      </c>
      <c r="B579" s="5">
        <f>IFERROR(__xludf.DUMMYFUNCTION("""COMPUTED_VALUE"""),2485.0)</f>
        <v>2485</v>
      </c>
      <c r="C579" s="6">
        <f>IFERROR(__xludf.DUMMYFUNCTION("""COMPUTED_VALUE"""),0.4731)</f>
        <v>0.4731</v>
      </c>
      <c r="D579" s="2">
        <f>IFERROR(__xludf.DUMMYFUNCTION("""COMPUTED_VALUE"""),0.0027314814814814814)</f>
        <v>0.002731481481</v>
      </c>
      <c r="E579" s="1">
        <f>IFERROR(__xludf.DUMMYFUNCTION("""COMPUTED_VALUE"""),1.15)</f>
        <v>1.15</v>
      </c>
      <c r="F579" s="1">
        <f>IFERROR(__xludf.DUMMYFUNCTION("""COMPUTED_VALUE"""),5.23)</f>
        <v>5.23</v>
      </c>
      <c r="G579" s="5">
        <f>IFERROR(__xludf.DUMMYFUNCTION("""COMPUTED_VALUE"""),14885.0)</f>
        <v>14885</v>
      </c>
      <c r="H579" s="5">
        <f>IFERROR(__xludf.DUMMYFUNCTION("""COMPUTED_VALUE"""),2847.0)</f>
        <v>2847</v>
      </c>
    </row>
    <row r="580">
      <c r="A580" s="4">
        <f>IFERROR(__xludf.DUMMYFUNCTION("""COMPUTED_VALUE"""),42948.0)</f>
        <v>42948</v>
      </c>
      <c r="B580" s="5">
        <f>IFERROR(__xludf.DUMMYFUNCTION("""COMPUTED_VALUE"""),2416.0)</f>
        <v>2416</v>
      </c>
      <c r="C580" s="6">
        <f>IFERROR(__xludf.DUMMYFUNCTION("""COMPUTED_VALUE"""),0.4271)</f>
        <v>0.4271</v>
      </c>
      <c r="D580" s="2">
        <f>IFERROR(__xludf.DUMMYFUNCTION("""COMPUTED_VALUE"""),0.0022800925925925927)</f>
        <v>0.002280092593</v>
      </c>
      <c r="E580" s="1">
        <f>IFERROR(__xludf.DUMMYFUNCTION("""COMPUTED_VALUE"""),1.14)</f>
        <v>1.14</v>
      </c>
      <c r="F580" s="1">
        <f>IFERROR(__xludf.DUMMYFUNCTION("""COMPUTED_VALUE"""),4.87)</f>
        <v>4.87</v>
      </c>
      <c r="G580" s="5">
        <f>IFERROR(__xludf.DUMMYFUNCTION("""COMPUTED_VALUE"""),13455.0)</f>
        <v>13455</v>
      </c>
      <c r="H580" s="5">
        <f>IFERROR(__xludf.DUMMYFUNCTION("""COMPUTED_VALUE"""),2763.0)</f>
        <v>2763</v>
      </c>
    </row>
    <row r="581">
      <c r="A581" s="4">
        <f>IFERROR(__xludf.DUMMYFUNCTION("""COMPUTED_VALUE"""),42949.0)</f>
        <v>42949</v>
      </c>
      <c r="B581" s="5">
        <f>IFERROR(__xludf.DUMMYFUNCTION("""COMPUTED_VALUE"""),2694.0)</f>
        <v>2694</v>
      </c>
      <c r="C581" s="6">
        <f>IFERROR(__xludf.DUMMYFUNCTION("""COMPUTED_VALUE"""),0.4476)</f>
        <v>0.4476</v>
      </c>
      <c r="D581" s="2">
        <f>IFERROR(__xludf.DUMMYFUNCTION("""COMPUTED_VALUE"""),0.002372685185185185)</f>
        <v>0.002372685185</v>
      </c>
      <c r="E581" s="1">
        <f>IFERROR(__xludf.DUMMYFUNCTION("""COMPUTED_VALUE"""),1.13)</f>
        <v>1.13</v>
      </c>
      <c r="F581" s="1">
        <f>IFERROR(__xludf.DUMMYFUNCTION("""COMPUTED_VALUE"""),5.12)</f>
        <v>5.12</v>
      </c>
      <c r="G581" s="5">
        <f>IFERROR(__xludf.DUMMYFUNCTION("""COMPUTED_VALUE"""),15579.0)</f>
        <v>15579</v>
      </c>
      <c r="H581" s="5">
        <f>IFERROR(__xludf.DUMMYFUNCTION("""COMPUTED_VALUE"""),3041.0)</f>
        <v>3041</v>
      </c>
    </row>
    <row r="582">
      <c r="A582" s="4">
        <f>IFERROR(__xludf.DUMMYFUNCTION("""COMPUTED_VALUE"""),42950.0)</f>
        <v>42950</v>
      </c>
      <c r="B582" s="5">
        <f>IFERROR(__xludf.DUMMYFUNCTION("""COMPUTED_VALUE"""),2583.0)</f>
        <v>2583</v>
      </c>
      <c r="C582" s="6">
        <f>IFERROR(__xludf.DUMMYFUNCTION("""COMPUTED_VALUE"""),0.4878)</f>
        <v>0.4878</v>
      </c>
      <c r="D582" s="2">
        <f>IFERROR(__xludf.DUMMYFUNCTION("""COMPUTED_VALUE"""),0.0017824074074074075)</f>
        <v>0.001782407407</v>
      </c>
      <c r="E582" s="1">
        <f>IFERROR(__xludf.DUMMYFUNCTION("""COMPUTED_VALUE"""),1.09)</f>
        <v>1.09</v>
      </c>
      <c r="F582" s="1">
        <f>IFERROR(__xludf.DUMMYFUNCTION("""COMPUTED_VALUE"""),3.73)</f>
        <v>3.73</v>
      </c>
      <c r="G582" s="5">
        <f>IFERROR(__xludf.DUMMYFUNCTION("""COMPUTED_VALUE"""),10511.0)</f>
        <v>10511</v>
      </c>
      <c r="H582" s="5">
        <f>IFERROR(__xludf.DUMMYFUNCTION("""COMPUTED_VALUE"""),2819.0)</f>
        <v>2819</v>
      </c>
    </row>
    <row r="583">
      <c r="A583" s="4">
        <f>IFERROR(__xludf.DUMMYFUNCTION("""COMPUTED_VALUE"""),42951.0)</f>
        <v>42951</v>
      </c>
      <c r="B583" s="5">
        <f>IFERROR(__xludf.DUMMYFUNCTION("""COMPUTED_VALUE"""),2569.0)</f>
        <v>2569</v>
      </c>
      <c r="C583" s="6">
        <f>IFERROR(__xludf.DUMMYFUNCTION("""COMPUTED_VALUE"""),0.4506)</f>
        <v>0.4506</v>
      </c>
      <c r="D583" s="2">
        <f>IFERROR(__xludf.DUMMYFUNCTION("""COMPUTED_VALUE"""),0.0021412037037037038)</f>
        <v>0.002141203704</v>
      </c>
      <c r="E583" s="1">
        <f>IFERROR(__xludf.DUMMYFUNCTION("""COMPUTED_VALUE"""),1.15)</f>
        <v>1.15</v>
      </c>
      <c r="F583" s="1">
        <f>IFERROR(__xludf.DUMMYFUNCTION("""COMPUTED_VALUE"""),4.91)</f>
        <v>4.91</v>
      </c>
      <c r="G583" s="5">
        <f>IFERROR(__xludf.DUMMYFUNCTION("""COMPUTED_VALUE"""),14510.0)</f>
        <v>14510</v>
      </c>
      <c r="H583" s="5">
        <f>IFERROR(__xludf.DUMMYFUNCTION("""COMPUTED_VALUE"""),2958.0)</f>
        <v>2958</v>
      </c>
    </row>
    <row r="584">
      <c r="A584" s="4">
        <f>IFERROR(__xludf.DUMMYFUNCTION("""COMPUTED_VALUE"""),42952.0)</f>
        <v>42952</v>
      </c>
      <c r="B584" s="5">
        <f>IFERROR(__xludf.DUMMYFUNCTION("""COMPUTED_VALUE"""),1791.0)</f>
        <v>1791</v>
      </c>
      <c r="C584" s="6">
        <f>IFERROR(__xludf.DUMMYFUNCTION("""COMPUTED_VALUE"""),0.5148)</f>
        <v>0.5148</v>
      </c>
      <c r="D584" s="2">
        <f>IFERROR(__xludf.DUMMYFUNCTION("""COMPUTED_VALUE"""),0.0015625)</f>
        <v>0.0015625</v>
      </c>
      <c r="E584" s="1">
        <f>IFERROR(__xludf.DUMMYFUNCTION("""COMPUTED_VALUE"""),1.05)</f>
        <v>1.05</v>
      </c>
      <c r="F584" s="1">
        <f>IFERROR(__xludf.DUMMYFUNCTION("""COMPUTED_VALUE"""),3.33)</f>
        <v>3.33</v>
      </c>
      <c r="G584" s="5">
        <f>IFERROR(__xludf.DUMMYFUNCTION("""COMPUTED_VALUE"""),6290.0)</f>
        <v>6290</v>
      </c>
      <c r="H584" s="5">
        <f>IFERROR(__xludf.DUMMYFUNCTION("""COMPUTED_VALUE"""),1888.0)</f>
        <v>1888</v>
      </c>
    </row>
    <row r="585">
      <c r="A585" s="4">
        <f>IFERROR(__xludf.DUMMYFUNCTION("""COMPUTED_VALUE"""),42953.0)</f>
        <v>42953</v>
      </c>
      <c r="B585" s="5">
        <f>IFERROR(__xludf.DUMMYFUNCTION("""COMPUTED_VALUE"""),2249.0)</f>
        <v>2249</v>
      </c>
      <c r="C585" s="6">
        <f>IFERROR(__xludf.DUMMYFUNCTION("""COMPUTED_VALUE"""),0.4115)</f>
        <v>0.4115</v>
      </c>
      <c r="D585" s="2">
        <f>IFERROR(__xludf.DUMMYFUNCTION("""COMPUTED_VALUE"""),0.0021064814814814813)</f>
        <v>0.002106481481</v>
      </c>
      <c r="E585" s="1">
        <f>IFERROR(__xludf.DUMMYFUNCTION("""COMPUTED_VALUE"""),1.08)</f>
        <v>1.08</v>
      </c>
      <c r="F585" s="1">
        <f>IFERROR(__xludf.DUMMYFUNCTION("""COMPUTED_VALUE"""),5.2)</f>
        <v>5.2</v>
      </c>
      <c r="G585" s="5">
        <f>IFERROR(__xludf.DUMMYFUNCTION("""COMPUTED_VALUE"""),12636.0)</f>
        <v>12636</v>
      </c>
      <c r="H585" s="5">
        <f>IFERROR(__xludf.DUMMYFUNCTION("""COMPUTED_VALUE"""),2430.0)</f>
        <v>2430</v>
      </c>
    </row>
    <row r="586">
      <c r="A586" s="4">
        <f>IFERROR(__xludf.DUMMYFUNCTION("""COMPUTED_VALUE"""),42954.0)</f>
        <v>42954</v>
      </c>
      <c r="B586" s="5">
        <f>IFERROR(__xludf.DUMMYFUNCTION("""COMPUTED_VALUE"""),2819.0)</f>
        <v>2819</v>
      </c>
      <c r="C586" s="6">
        <f>IFERROR(__xludf.DUMMYFUNCTION("""COMPUTED_VALUE"""),0.5045)</f>
        <v>0.5045</v>
      </c>
      <c r="D586" s="2">
        <f>IFERROR(__xludf.DUMMYFUNCTION("""COMPUTED_VALUE"""),0.0015393518518518519)</f>
        <v>0.001539351852</v>
      </c>
      <c r="E586" s="1">
        <f>IFERROR(__xludf.DUMMYFUNCTION("""COMPUTED_VALUE"""),1.1)</f>
        <v>1.1</v>
      </c>
      <c r="F586" s="1">
        <f>IFERROR(__xludf.DUMMYFUNCTION("""COMPUTED_VALUE"""),4.16)</f>
        <v>4.16</v>
      </c>
      <c r="G586" s="5">
        <f>IFERROR(__xludf.DUMMYFUNCTION("""COMPUTED_VALUE"""),12927.0)</f>
        <v>12927</v>
      </c>
      <c r="H586" s="5">
        <f>IFERROR(__xludf.DUMMYFUNCTION("""COMPUTED_VALUE"""),3110.0)</f>
        <v>3110</v>
      </c>
    </row>
    <row r="587">
      <c r="A587" s="4">
        <f>IFERROR(__xludf.DUMMYFUNCTION("""COMPUTED_VALUE"""),42955.0)</f>
        <v>42955</v>
      </c>
      <c r="B587" s="5">
        <f>IFERROR(__xludf.DUMMYFUNCTION("""COMPUTED_VALUE"""),2916.0)</f>
        <v>2916</v>
      </c>
      <c r="C587" s="6">
        <f>IFERROR(__xludf.DUMMYFUNCTION("""COMPUTED_VALUE"""),0.4353)</f>
        <v>0.4353</v>
      </c>
      <c r="D587" s="2">
        <f>IFERROR(__xludf.DUMMYFUNCTION("""COMPUTED_VALUE"""),0.0024189814814814816)</f>
        <v>0.002418981481</v>
      </c>
      <c r="E587" s="1">
        <f>IFERROR(__xludf.DUMMYFUNCTION("""COMPUTED_VALUE"""),1.1)</f>
        <v>1.1</v>
      </c>
      <c r="F587" s="1">
        <f>IFERROR(__xludf.DUMMYFUNCTION("""COMPUTED_VALUE"""),5.82)</f>
        <v>5.82</v>
      </c>
      <c r="G587" s="5">
        <f>IFERROR(__xludf.DUMMYFUNCTION("""COMPUTED_VALUE"""),18731.0)</f>
        <v>18731</v>
      </c>
      <c r="H587" s="5">
        <f>IFERROR(__xludf.DUMMYFUNCTION("""COMPUTED_VALUE"""),3221.0)</f>
        <v>3221</v>
      </c>
    </row>
    <row r="588">
      <c r="A588" s="4">
        <f>IFERROR(__xludf.DUMMYFUNCTION("""COMPUTED_VALUE"""),42956.0)</f>
        <v>42956</v>
      </c>
      <c r="B588" s="5">
        <f>IFERROR(__xludf.DUMMYFUNCTION("""COMPUTED_VALUE"""),2680.0)</f>
        <v>2680</v>
      </c>
      <c r="C588" s="6">
        <f>IFERROR(__xludf.DUMMYFUNCTION("""COMPUTED_VALUE"""),0.4419)</f>
        <v>0.4419</v>
      </c>
      <c r="D588" s="2">
        <f>IFERROR(__xludf.DUMMYFUNCTION("""COMPUTED_VALUE"""),0.0021180555555555558)</f>
        <v>0.002118055556</v>
      </c>
      <c r="E588" s="1">
        <f>IFERROR(__xludf.DUMMYFUNCTION("""COMPUTED_VALUE"""),1.11)</f>
        <v>1.11</v>
      </c>
      <c r="F588" s="1">
        <f>IFERROR(__xludf.DUMMYFUNCTION("""COMPUTED_VALUE"""),4.52)</f>
        <v>4.52</v>
      </c>
      <c r="G588" s="5">
        <f>IFERROR(__xludf.DUMMYFUNCTION("""COMPUTED_VALUE"""),13483.0)</f>
        <v>13483</v>
      </c>
      <c r="H588" s="5">
        <f>IFERROR(__xludf.DUMMYFUNCTION("""COMPUTED_VALUE"""),2985.0)</f>
        <v>2985</v>
      </c>
    </row>
    <row r="589">
      <c r="A589" s="4">
        <f>IFERROR(__xludf.DUMMYFUNCTION("""COMPUTED_VALUE"""),42957.0)</f>
        <v>42957</v>
      </c>
      <c r="B589" s="5">
        <f>IFERROR(__xludf.DUMMYFUNCTION("""COMPUTED_VALUE"""),2652.0)</f>
        <v>2652</v>
      </c>
      <c r="C589" s="6">
        <f>IFERROR(__xludf.DUMMYFUNCTION("""COMPUTED_VALUE"""),0.4466)</f>
        <v>0.4466</v>
      </c>
      <c r="D589" s="2">
        <f>IFERROR(__xludf.DUMMYFUNCTION("""COMPUTED_VALUE"""),0.0016550925925925926)</f>
        <v>0.001655092593</v>
      </c>
      <c r="E589" s="1">
        <f>IFERROR(__xludf.DUMMYFUNCTION("""COMPUTED_VALUE"""),1.13)</f>
        <v>1.13</v>
      </c>
      <c r="F589" s="1">
        <f>IFERROR(__xludf.DUMMYFUNCTION("""COMPUTED_VALUE"""),4.08)</f>
        <v>4.08</v>
      </c>
      <c r="G589" s="5">
        <f>IFERROR(__xludf.DUMMYFUNCTION("""COMPUTED_VALUE"""),12191.0)</f>
        <v>12191</v>
      </c>
      <c r="H589" s="5">
        <f>IFERROR(__xludf.DUMMYFUNCTION("""COMPUTED_VALUE"""),2985.0)</f>
        <v>2985</v>
      </c>
    </row>
    <row r="590">
      <c r="A590" s="4">
        <f>IFERROR(__xludf.DUMMYFUNCTION("""COMPUTED_VALUE"""),42958.0)</f>
        <v>42958</v>
      </c>
      <c r="B590" s="5">
        <f>IFERROR(__xludf.DUMMYFUNCTION("""COMPUTED_VALUE"""),2652.0)</f>
        <v>2652</v>
      </c>
      <c r="C590" s="6">
        <f>IFERROR(__xludf.DUMMYFUNCTION("""COMPUTED_VALUE"""),0.5)</f>
        <v>0.5</v>
      </c>
      <c r="D590" s="2">
        <f>IFERROR(__xludf.DUMMYFUNCTION("""COMPUTED_VALUE"""),0.0020949074074074073)</f>
        <v>0.002094907407</v>
      </c>
      <c r="E590" s="1">
        <f>IFERROR(__xludf.DUMMYFUNCTION("""COMPUTED_VALUE"""),1.08)</f>
        <v>1.08</v>
      </c>
      <c r="F590" s="1">
        <f>IFERROR(__xludf.DUMMYFUNCTION("""COMPUTED_VALUE"""),4.21)</f>
        <v>4.21</v>
      </c>
      <c r="G590" s="5">
        <f>IFERROR(__xludf.DUMMYFUNCTION("""COMPUTED_VALUE"""),12053.0)</f>
        <v>12053</v>
      </c>
      <c r="H590" s="5">
        <f>IFERROR(__xludf.DUMMYFUNCTION("""COMPUTED_VALUE"""),2860.0)</f>
        <v>2860</v>
      </c>
    </row>
    <row r="591">
      <c r="A591" s="4">
        <f>IFERROR(__xludf.DUMMYFUNCTION("""COMPUTED_VALUE"""),42959.0)</f>
        <v>42959</v>
      </c>
      <c r="B591" s="5">
        <f>IFERROR(__xludf.DUMMYFUNCTION("""COMPUTED_VALUE"""),1958.0)</f>
        <v>1958</v>
      </c>
      <c r="C591" s="6">
        <f>IFERROR(__xludf.DUMMYFUNCTION("""COMPUTED_VALUE"""),0.5401)</f>
        <v>0.5401</v>
      </c>
      <c r="D591" s="2">
        <f>IFERROR(__xludf.DUMMYFUNCTION("""COMPUTED_VALUE"""),0.002002314814814815)</f>
        <v>0.002002314815</v>
      </c>
      <c r="E591" s="1">
        <f>IFERROR(__xludf.DUMMYFUNCTION("""COMPUTED_VALUE"""),1.06)</f>
        <v>1.06</v>
      </c>
      <c r="F591" s="1">
        <f>IFERROR(__xludf.DUMMYFUNCTION("""COMPUTED_VALUE"""),4.55)</f>
        <v>4.55</v>
      </c>
      <c r="G591" s="5">
        <f>IFERROR(__xludf.DUMMYFUNCTION("""COMPUTED_VALUE"""),9484.0)</f>
        <v>9484</v>
      </c>
      <c r="H591" s="5">
        <f>IFERROR(__xludf.DUMMYFUNCTION("""COMPUTED_VALUE"""),2083.0)</f>
        <v>2083</v>
      </c>
    </row>
    <row r="592">
      <c r="A592" s="4">
        <f>IFERROR(__xludf.DUMMYFUNCTION("""COMPUTED_VALUE"""),42960.0)</f>
        <v>42960</v>
      </c>
      <c r="B592" s="5">
        <f>IFERROR(__xludf.DUMMYFUNCTION("""COMPUTED_VALUE"""),1944.0)</f>
        <v>1944</v>
      </c>
      <c r="C592" s="6">
        <f>IFERROR(__xludf.DUMMYFUNCTION("""COMPUTED_VALUE"""),0.5636)</f>
        <v>0.5636</v>
      </c>
      <c r="D592" s="2">
        <f>IFERROR(__xludf.DUMMYFUNCTION("""COMPUTED_VALUE"""),0.0016550925925925926)</f>
        <v>0.001655092593</v>
      </c>
      <c r="E592" s="1">
        <f>IFERROR(__xludf.DUMMYFUNCTION("""COMPUTED_VALUE"""),1.06)</f>
        <v>1.06</v>
      </c>
      <c r="F592" s="1">
        <f>IFERROR(__xludf.DUMMYFUNCTION("""COMPUTED_VALUE"""),4.17)</f>
        <v>4.17</v>
      </c>
      <c r="G592" s="5">
        <f>IFERROR(__xludf.DUMMYFUNCTION("""COMPUTED_VALUE"""),8623.0)</f>
        <v>8623</v>
      </c>
      <c r="H592" s="5">
        <f>IFERROR(__xludf.DUMMYFUNCTION("""COMPUTED_VALUE"""),2069.0)</f>
        <v>2069</v>
      </c>
    </row>
    <row r="593">
      <c r="A593" s="4">
        <f>IFERROR(__xludf.DUMMYFUNCTION("""COMPUTED_VALUE"""),42961.0)</f>
        <v>42961</v>
      </c>
      <c r="B593" s="5">
        <f>IFERROR(__xludf.DUMMYFUNCTION("""COMPUTED_VALUE"""),3388.0)</f>
        <v>3388</v>
      </c>
      <c r="C593" s="6">
        <f>IFERROR(__xludf.DUMMYFUNCTION("""COMPUTED_VALUE"""),0.575)</f>
        <v>0.575</v>
      </c>
      <c r="D593" s="2">
        <f>IFERROR(__xludf.DUMMYFUNCTION("""COMPUTED_VALUE"""),0.0014814814814814814)</f>
        <v>0.001481481481</v>
      </c>
      <c r="E593" s="1">
        <f>IFERROR(__xludf.DUMMYFUNCTION("""COMPUTED_VALUE"""),1.09)</f>
        <v>1.09</v>
      </c>
      <c r="F593" s="1">
        <f>IFERROR(__xludf.DUMMYFUNCTION("""COMPUTED_VALUE"""),3.76)</f>
        <v>3.76</v>
      </c>
      <c r="G593" s="5">
        <f>IFERROR(__xludf.DUMMYFUNCTION("""COMPUTED_VALUE"""),13899.0)</f>
        <v>13899</v>
      </c>
      <c r="H593" s="5">
        <f>IFERROR(__xludf.DUMMYFUNCTION("""COMPUTED_VALUE"""),3694.0)</f>
        <v>3694</v>
      </c>
    </row>
    <row r="594">
      <c r="A594" s="4">
        <f>IFERROR(__xludf.DUMMYFUNCTION("""COMPUTED_VALUE"""),42962.0)</f>
        <v>42962</v>
      </c>
      <c r="B594" s="5">
        <f>IFERROR(__xludf.DUMMYFUNCTION("""COMPUTED_VALUE"""),3110.0)</f>
        <v>3110</v>
      </c>
      <c r="C594" s="6">
        <f>IFERROR(__xludf.DUMMYFUNCTION("""COMPUTED_VALUE"""),0.5318)</f>
        <v>0.5318</v>
      </c>
      <c r="D594" s="2">
        <f>IFERROR(__xludf.DUMMYFUNCTION("""COMPUTED_VALUE"""),0.001863425925925926)</f>
        <v>0.001863425926</v>
      </c>
      <c r="E594" s="1">
        <f>IFERROR(__xludf.DUMMYFUNCTION("""COMPUTED_VALUE"""),1.06)</f>
        <v>1.06</v>
      </c>
      <c r="F594" s="1">
        <f>IFERROR(__xludf.DUMMYFUNCTION("""COMPUTED_VALUE"""),3.99)</f>
        <v>3.99</v>
      </c>
      <c r="G594" s="5">
        <f>IFERROR(__xludf.DUMMYFUNCTION("""COMPUTED_VALUE"""),13122.0)</f>
        <v>13122</v>
      </c>
      <c r="H594" s="5">
        <f>IFERROR(__xludf.DUMMYFUNCTION("""COMPUTED_VALUE"""),3291.0)</f>
        <v>3291</v>
      </c>
    </row>
    <row r="595">
      <c r="A595" s="4">
        <f>IFERROR(__xludf.DUMMYFUNCTION("""COMPUTED_VALUE"""),42963.0)</f>
        <v>42963</v>
      </c>
      <c r="B595" s="5">
        <f>IFERROR(__xludf.DUMMYFUNCTION("""COMPUTED_VALUE"""),2833.0)</f>
        <v>2833</v>
      </c>
      <c r="C595" s="6">
        <f>IFERROR(__xludf.DUMMYFUNCTION("""COMPUTED_VALUE"""),0.5225)</f>
        <v>0.5225</v>
      </c>
      <c r="D595" s="2">
        <f>IFERROR(__xludf.DUMMYFUNCTION("""COMPUTED_VALUE"""),0.001585648148148148)</f>
        <v>0.001585648148</v>
      </c>
      <c r="E595" s="1">
        <f>IFERROR(__xludf.DUMMYFUNCTION("""COMPUTED_VALUE"""),1.09)</f>
        <v>1.09</v>
      </c>
      <c r="F595" s="1">
        <f>IFERROR(__xludf.DUMMYFUNCTION("""COMPUTED_VALUE"""),3.88)</f>
        <v>3.88</v>
      </c>
      <c r="G595" s="5">
        <f>IFERROR(__xludf.DUMMYFUNCTION("""COMPUTED_VALUE"""),11955.0)</f>
        <v>11955</v>
      </c>
      <c r="H595" s="5">
        <f>IFERROR(__xludf.DUMMYFUNCTION("""COMPUTED_VALUE"""),3083.0)</f>
        <v>3083</v>
      </c>
    </row>
    <row r="596">
      <c r="A596" s="4">
        <f>IFERROR(__xludf.DUMMYFUNCTION("""COMPUTED_VALUE"""),42964.0)</f>
        <v>42964</v>
      </c>
      <c r="B596" s="5">
        <f>IFERROR(__xludf.DUMMYFUNCTION("""COMPUTED_VALUE"""),2999.0)</f>
        <v>2999</v>
      </c>
      <c r="C596" s="6">
        <f>IFERROR(__xludf.DUMMYFUNCTION("""COMPUTED_VALUE"""),0.5474)</f>
        <v>0.5474</v>
      </c>
      <c r="D596" s="2">
        <f>IFERROR(__xludf.DUMMYFUNCTION("""COMPUTED_VALUE"""),0.0018865740740740742)</f>
        <v>0.001886574074</v>
      </c>
      <c r="E596" s="1">
        <f>IFERROR(__xludf.DUMMYFUNCTION("""COMPUTED_VALUE"""),1.13)</f>
        <v>1.13</v>
      </c>
      <c r="F596" s="1">
        <f>IFERROR(__xludf.DUMMYFUNCTION("""COMPUTED_VALUE"""),4.34)</f>
        <v>4.34</v>
      </c>
      <c r="G596" s="5">
        <f>IFERROR(__xludf.DUMMYFUNCTION("""COMPUTED_VALUE"""),14649.0)</f>
        <v>14649</v>
      </c>
      <c r="H596" s="5">
        <f>IFERROR(__xludf.DUMMYFUNCTION("""COMPUTED_VALUE"""),3374.0)</f>
        <v>3374</v>
      </c>
    </row>
    <row r="597">
      <c r="A597" s="4">
        <f>IFERROR(__xludf.DUMMYFUNCTION("""COMPUTED_VALUE"""),42965.0)</f>
        <v>42965</v>
      </c>
      <c r="B597" s="5">
        <f>IFERROR(__xludf.DUMMYFUNCTION("""COMPUTED_VALUE"""),2666.0)</f>
        <v>2666</v>
      </c>
      <c r="C597" s="6">
        <f>IFERROR(__xludf.DUMMYFUNCTION("""COMPUTED_VALUE"""),0.5325)</f>
        <v>0.5325</v>
      </c>
      <c r="D597" s="2">
        <f>IFERROR(__xludf.DUMMYFUNCTION("""COMPUTED_VALUE"""),0.0016782407407407408)</f>
        <v>0.001678240741</v>
      </c>
      <c r="E597" s="1">
        <f>IFERROR(__xludf.DUMMYFUNCTION("""COMPUTED_VALUE"""),1.12)</f>
        <v>1.12</v>
      </c>
      <c r="F597" s="1">
        <f>IFERROR(__xludf.DUMMYFUNCTION("""COMPUTED_VALUE"""),3.83)</f>
        <v>3.83</v>
      </c>
      <c r="G597" s="5">
        <f>IFERROR(__xludf.DUMMYFUNCTION("""COMPUTED_VALUE"""),11483.0)</f>
        <v>11483</v>
      </c>
      <c r="H597" s="5">
        <f>IFERROR(__xludf.DUMMYFUNCTION("""COMPUTED_VALUE"""),2999.0)</f>
        <v>2999</v>
      </c>
    </row>
    <row r="598">
      <c r="A598" s="4">
        <f>IFERROR(__xludf.DUMMYFUNCTION("""COMPUTED_VALUE"""),42966.0)</f>
        <v>42966</v>
      </c>
      <c r="B598" s="5">
        <f>IFERROR(__xludf.DUMMYFUNCTION("""COMPUTED_VALUE"""),1875.0)</f>
        <v>1875</v>
      </c>
      <c r="C598" s="6">
        <f>IFERROR(__xludf.DUMMYFUNCTION("""COMPUTED_VALUE"""),0.6193)</f>
        <v>0.6193</v>
      </c>
      <c r="D598" s="2">
        <f>IFERROR(__xludf.DUMMYFUNCTION("""COMPUTED_VALUE"""),9.143518518518518E-4)</f>
        <v>0.0009143518519</v>
      </c>
      <c r="E598" s="1">
        <f>IFERROR(__xludf.DUMMYFUNCTION("""COMPUTED_VALUE"""),1.09)</f>
        <v>1.09</v>
      </c>
      <c r="F598" s="1">
        <f>IFERROR(__xludf.DUMMYFUNCTION("""COMPUTED_VALUE"""),2.33)</f>
        <v>2.33</v>
      </c>
      <c r="G598" s="5">
        <f>IFERROR(__xludf.DUMMYFUNCTION("""COMPUTED_VALUE"""),4749.0)</f>
        <v>4749</v>
      </c>
      <c r="H598" s="5">
        <f>IFERROR(__xludf.DUMMYFUNCTION("""COMPUTED_VALUE"""),2041.0)</f>
        <v>2041</v>
      </c>
    </row>
    <row r="599">
      <c r="A599" s="4">
        <f>IFERROR(__xludf.DUMMYFUNCTION("""COMPUTED_VALUE"""),42967.0)</f>
        <v>42967</v>
      </c>
      <c r="B599" s="5">
        <f>IFERROR(__xludf.DUMMYFUNCTION("""COMPUTED_VALUE"""),1944.0)</f>
        <v>1944</v>
      </c>
      <c r="C599" s="6">
        <f>IFERROR(__xludf.DUMMYFUNCTION("""COMPUTED_VALUE"""),0.51)</f>
        <v>0.51</v>
      </c>
      <c r="D599" s="2">
        <f>IFERROR(__xludf.DUMMYFUNCTION("""COMPUTED_VALUE"""),0.0015277777777777779)</f>
        <v>0.001527777778</v>
      </c>
      <c r="E599" s="1">
        <f>IFERROR(__xludf.DUMMYFUNCTION("""COMPUTED_VALUE"""),1.05)</f>
        <v>1.05</v>
      </c>
      <c r="F599" s="1">
        <f>IFERROR(__xludf.DUMMYFUNCTION("""COMPUTED_VALUE"""),3.48)</f>
        <v>3.48</v>
      </c>
      <c r="G599" s="5">
        <f>IFERROR(__xludf.DUMMYFUNCTION("""COMPUTED_VALUE"""),7095.0)</f>
        <v>7095</v>
      </c>
      <c r="H599" s="5">
        <f>IFERROR(__xludf.DUMMYFUNCTION("""COMPUTED_VALUE"""),2041.0)</f>
        <v>2041</v>
      </c>
    </row>
    <row r="600">
      <c r="A600" s="4">
        <f>IFERROR(__xludf.DUMMYFUNCTION("""COMPUTED_VALUE"""),42968.0)</f>
        <v>42968</v>
      </c>
      <c r="B600" s="5">
        <f>IFERROR(__xludf.DUMMYFUNCTION("""COMPUTED_VALUE"""),2819.0)</f>
        <v>2819</v>
      </c>
      <c r="C600" s="6">
        <f>IFERROR(__xludf.DUMMYFUNCTION("""COMPUTED_VALUE"""),0.5113)</f>
        <v>0.5113</v>
      </c>
      <c r="D600" s="2">
        <f>IFERROR(__xludf.DUMMYFUNCTION("""COMPUTED_VALUE"""),0.001574074074074074)</f>
        <v>0.001574074074</v>
      </c>
      <c r="E600" s="1">
        <f>IFERROR(__xludf.DUMMYFUNCTION("""COMPUTED_VALUE"""),1.08)</f>
        <v>1.08</v>
      </c>
      <c r="F600" s="1">
        <f>IFERROR(__xludf.DUMMYFUNCTION("""COMPUTED_VALUE"""),3.1)</f>
        <v>3.1</v>
      </c>
      <c r="G600" s="5">
        <f>IFERROR(__xludf.DUMMYFUNCTION("""COMPUTED_VALUE"""),9442.0)</f>
        <v>9442</v>
      </c>
      <c r="H600" s="5">
        <f>IFERROR(__xludf.DUMMYFUNCTION("""COMPUTED_VALUE"""),3041.0)</f>
        <v>3041</v>
      </c>
    </row>
    <row r="601">
      <c r="A601" s="4">
        <f>IFERROR(__xludf.DUMMYFUNCTION("""COMPUTED_VALUE"""),42969.0)</f>
        <v>42969</v>
      </c>
      <c r="B601" s="5">
        <f>IFERROR(__xludf.DUMMYFUNCTION("""COMPUTED_VALUE"""),2971.0)</f>
        <v>2971</v>
      </c>
      <c r="C601" s="6">
        <f>IFERROR(__xludf.DUMMYFUNCTION("""COMPUTED_VALUE"""),0.4895)</f>
        <v>0.4895</v>
      </c>
      <c r="D601" s="2">
        <f>IFERROR(__xludf.DUMMYFUNCTION("""COMPUTED_VALUE"""),0.0020717592592592593)</f>
        <v>0.002071759259</v>
      </c>
      <c r="E601" s="1">
        <f>IFERROR(__xludf.DUMMYFUNCTION("""COMPUTED_VALUE"""),1.13)</f>
        <v>1.13</v>
      </c>
      <c r="F601" s="1">
        <f>IFERROR(__xludf.DUMMYFUNCTION("""COMPUTED_VALUE"""),4.59)</f>
        <v>4.59</v>
      </c>
      <c r="G601" s="5">
        <f>IFERROR(__xludf.DUMMYFUNCTION("""COMPUTED_VALUE"""),15357.0)</f>
        <v>15357</v>
      </c>
      <c r="H601" s="5">
        <f>IFERROR(__xludf.DUMMYFUNCTION("""COMPUTED_VALUE"""),3346.0)</f>
        <v>3346</v>
      </c>
    </row>
    <row r="602">
      <c r="A602" s="4">
        <f>IFERROR(__xludf.DUMMYFUNCTION("""COMPUTED_VALUE"""),42970.0)</f>
        <v>42970</v>
      </c>
      <c r="B602" s="5">
        <f>IFERROR(__xludf.DUMMYFUNCTION("""COMPUTED_VALUE"""),3083.0)</f>
        <v>3083</v>
      </c>
      <c r="C602" s="6">
        <f>IFERROR(__xludf.DUMMYFUNCTION("""COMPUTED_VALUE"""),0.5448)</f>
        <v>0.5448</v>
      </c>
      <c r="D602" s="2">
        <f>IFERROR(__xludf.DUMMYFUNCTION("""COMPUTED_VALUE"""),0.0016782407407407408)</f>
        <v>0.001678240741</v>
      </c>
      <c r="E602" s="1">
        <f>IFERROR(__xludf.DUMMYFUNCTION("""COMPUTED_VALUE"""),1.11)</f>
        <v>1.11</v>
      </c>
      <c r="F602" s="1">
        <f>IFERROR(__xludf.DUMMYFUNCTION("""COMPUTED_VALUE"""),4.24)</f>
        <v>4.24</v>
      </c>
      <c r="G602" s="5">
        <f>IFERROR(__xludf.DUMMYFUNCTION("""COMPUTED_VALUE"""),14469.0)</f>
        <v>14469</v>
      </c>
      <c r="H602" s="5">
        <f>IFERROR(__xludf.DUMMYFUNCTION("""COMPUTED_VALUE"""),3416.0)</f>
        <v>3416</v>
      </c>
    </row>
    <row r="603">
      <c r="A603" s="4">
        <f>IFERROR(__xludf.DUMMYFUNCTION("""COMPUTED_VALUE"""),42971.0)</f>
        <v>42971</v>
      </c>
      <c r="B603" s="5">
        <f>IFERROR(__xludf.DUMMYFUNCTION("""COMPUTED_VALUE"""),3527.0)</f>
        <v>3527</v>
      </c>
      <c r="C603" s="6">
        <f>IFERROR(__xludf.DUMMYFUNCTION("""COMPUTED_VALUE"""),0.4842)</f>
        <v>0.4842</v>
      </c>
      <c r="D603" s="2">
        <f>IFERROR(__xludf.DUMMYFUNCTION("""COMPUTED_VALUE"""),0.001574074074074074)</f>
        <v>0.001574074074</v>
      </c>
      <c r="E603" s="1">
        <f>IFERROR(__xludf.DUMMYFUNCTION("""COMPUTED_VALUE"""),1.12)</f>
        <v>1.12</v>
      </c>
      <c r="F603" s="1">
        <f>IFERROR(__xludf.DUMMYFUNCTION("""COMPUTED_VALUE"""),3.99)</f>
        <v>3.99</v>
      </c>
      <c r="G603" s="5">
        <f>IFERROR(__xludf.DUMMYFUNCTION("""COMPUTED_VALUE"""),15802.0)</f>
        <v>15802</v>
      </c>
      <c r="H603" s="5">
        <f>IFERROR(__xludf.DUMMYFUNCTION("""COMPUTED_VALUE"""),3957.0)</f>
        <v>3957</v>
      </c>
    </row>
    <row r="604">
      <c r="A604" s="4">
        <f>IFERROR(__xludf.DUMMYFUNCTION("""COMPUTED_VALUE"""),42972.0)</f>
        <v>42972</v>
      </c>
      <c r="B604" s="5">
        <f>IFERROR(__xludf.DUMMYFUNCTION("""COMPUTED_VALUE"""),2333.0)</f>
        <v>2333</v>
      </c>
      <c r="C604" s="6">
        <f>IFERROR(__xludf.DUMMYFUNCTION("""COMPUTED_VALUE"""),0.4705)</f>
        <v>0.4705</v>
      </c>
      <c r="D604" s="2">
        <f>IFERROR(__xludf.DUMMYFUNCTION("""COMPUTED_VALUE"""),0.0020833333333333333)</f>
        <v>0.002083333333</v>
      </c>
      <c r="E604" s="1">
        <f>IFERROR(__xludf.DUMMYFUNCTION("""COMPUTED_VALUE"""),1.11)</f>
        <v>1.11</v>
      </c>
      <c r="F604" s="1">
        <f>IFERROR(__xludf.DUMMYFUNCTION("""COMPUTED_VALUE"""),4.64)</f>
        <v>4.64</v>
      </c>
      <c r="G604" s="5">
        <f>IFERROR(__xludf.DUMMYFUNCTION("""COMPUTED_VALUE"""),12039.0)</f>
        <v>12039</v>
      </c>
      <c r="H604" s="5">
        <f>IFERROR(__xludf.DUMMYFUNCTION("""COMPUTED_VALUE"""),2597.0)</f>
        <v>2597</v>
      </c>
    </row>
    <row r="605">
      <c r="A605" s="4">
        <f>IFERROR(__xludf.DUMMYFUNCTION("""COMPUTED_VALUE"""),42973.0)</f>
        <v>42973</v>
      </c>
      <c r="B605" s="5">
        <f>IFERROR(__xludf.DUMMYFUNCTION("""COMPUTED_VALUE"""),2055.0)</f>
        <v>2055</v>
      </c>
      <c r="C605" s="6">
        <f>IFERROR(__xludf.DUMMYFUNCTION("""COMPUTED_VALUE"""),0.591)</f>
        <v>0.591</v>
      </c>
      <c r="D605" s="2">
        <f>IFERROR(__xludf.DUMMYFUNCTION("""COMPUTED_VALUE"""),0.0010300925925925926)</f>
        <v>0.001030092593</v>
      </c>
      <c r="E605" s="1">
        <f>IFERROR(__xludf.DUMMYFUNCTION("""COMPUTED_VALUE"""),1.07)</f>
        <v>1.07</v>
      </c>
      <c r="F605" s="1">
        <f>IFERROR(__xludf.DUMMYFUNCTION("""COMPUTED_VALUE"""),3.18)</f>
        <v>3.18</v>
      </c>
      <c r="G605" s="5">
        <f>IFERROR(__xludf.DUMMYFUNCTION("""COMPUTED_VALUE"""),7026.0)</f>
        <v>7026</v>
      </c>
      <c r="H605" s="5">
        <f>IFERROR(__xludf.DUMMYFUNCTION("""COMPUTED_VALUE"""),2208.0)</f>
        <v>2208</v>
      </c>
    </row>
    <row r="606">
      <c r="A606" s="4">
        <f>IFERROR(__xludf.DUMMYFUNCTION("""COMPUTED_VALUE"""),42974.0)</f>
        <v>42974</v>
      </c>
      <c r="B606" s="5">
        <f>IFERROR(__xludf.DUMMYFUNCTION("""COMPUTED_VALUE"""),2111.0)</f>
        <v>2111</v>
      </c>
      <c r="C606" s="6">
        <f>IFERROR(__xludf.DUMMYFUNCTION("""COMPUTED_VALUE"""),0.5873)</f>
        <v>0.5873</v>
      </c>
      <c r="D606" s="2">
        <f>IFERROR(__xludf.DUMMYFUNCTION("""COMPUTED_VALUE"""),0.0015509259259259259)</f>
        <v>0.001550925926</v>
      </c>
      <c r="E606" s="1">
        <f>IFERROR(__xludf.DUMMYFUNCTION("""COMPUTED_VALUE"""),1.05)</f>
        <v>1.05</v>
      </c>
      <c r="F606" s="1">
        <f>IFERROR(__xludf.DUMMYFUNCTION("""COMPUTED_VALUE"""),4.05)</f>
        <v>4.05</v>
      </c>
      <c r="G606" s="5">
        <f>IFERROR(__xludf.DUMMYFUNCTION("""COMPUTED_VALUE"""),8998.0)</f>
        <v>8998</v>
      </c>
      <c r="H606" s="5">
        <f>IFERROR(__xludf.DUMMYFUNCTION("""COMPUTED_VALUE"""),2222.0)</f>
        <v>2222</v>
      </c>
    </row>
    <row r="607">
      <c r="A607" s="4">
        <f>IFERROR(__xludf.DUMMYFUNCTION("""COMPUTED_VALUE"""),42975.0)</f>
        <v>42975</v>
      </c>
      <c r="B607" s="5">
        <f>IFERROR(__xludf.DUMMYFUNCTION("""COMPUTED_VALUE"""),2694.0)</f>
        <v>2694</v>
      </c>
      <c r="C607" s="6">
        <f>IFERROR(__xludf.DUMMYFUNCTION("""COMPUTED_VALUE"""),0.5281)</f>
        <v>0.5281</v>
      </c>
      <c r="D607" s="2">
        <f>IFERROR(__xludf.DUMMYFUNCTION("""COMPUTED_VALUE"""),0.0013657407407407407)</f>
        <v>0.001365740741</v>
      </c>
      <c r="E607" s="1">
        <f>IFERROR(__xludf.DUMMYFUNCTION("""COMPUTED_VALUE"""),1.1)</f>
        <v>1.1</v>
      </c>
      <c r="F607" s="1">
        <f>IFERROR(__xludf.DUMMYFUNCTION("""COMPUTED_VALUE"""),3.98)</f>
        <v>3.98</v>
      </c>
      <c r="G607" s="5">
        <f>IFERROR(__xludf.DUMMYFUNCTION("""COMPUTED_VALUE"""),11830.0)</f>
        <v>11830</v>
      </c>
      <c r="H607" s="5">
        <f>IFERROR(__xludf.DUMMYFUNCTION("""COMPUTED_VALUE"""),2971.0)</f>
        <v>2971</v>
      </c>
    </row>
    <row r="608">
      <c r="A608" s="4">
        <f>IFERROR(__xludf.DUMMYFUNCTION("""COMPUTED_VALUE"""),42976.0)</f>
        <v>42976</v>
      </c>
      <c r="B608" s="5">
        <f>IFERROR(__xludf.DUMMYFUNCTION("""COMPUTED_VALUE"""),3138.0)</f>
        <v>3138</v>
      </c>
      <c r="C608" s="6">
        <f>IFERROR(__xludf.DUMMYFUNCTION("""COMPUTED_VALUE"""),0.4941)</f>
        <v>0.4941</v>
      </c>
      <c r="D608" s="2">
        <f>IFERROR(__xludf.DUMMYFUNCTION("""COMPUTED_VALUE"""),0.0018171296296296297)</f>
        <v>0.00181712963</v>
      </c>
      <c r="E608" s="1">
        <f>IFERROR(__xludf.DUMMYFUNCTION("""COMPUTED_VALUE"""),1.1)</f>
        <v>1.1</v>
      </c>
      <c r="F608" s="1">
        <f>IFERROR(__xludf.DUMMYFUNCTION("""COMPUTED_VALUE"""),4.63)</f>
        <v>4.63</v>
      </c>
      <c r="G608" s="5">
        <f>IFERROR(__xludf.DUMMYFUNCTION("""COMPUTED_VALUE"""),16010.0)</f>
        <v>16010</v>
      </c>
      <c r="H608" s="5">
        <f>IFERROR(__xludf.DUMMYFUNCTION("""COMPUTED_VALUE"""),3457.0)</f>
        <v>3457</v>
      </c>
    </row>
    <row r="609">
      <c r="A609" s="4">
        <f>IFERROR(__xludf.DUMMYFUNCTION("""COMPUTED_VALUE"""),42977.0)</f>
        <v>42977</v>
      </c>
      <c r="B609" s="5">
        <f>IFERROR(__xludf.DUMMYFUNCTION("""COMPUTED_VALUE"""),2985.0)</f>
        <v>2985</v>
      </c>
      <c r="C609" s="6">
        <f>IFERROR(__xludf.DUMMYFUNCTION("""COMPUTED_VALUE"""),0.5257)</f>
        <v>0.5257</v>
      </c>
      <c r="D609" s="2">
        <f>IFERROR(__xludf.DUMMYFUNCTION("""COMPUTED_VALUE"""),0.0019444444444444444)</f>
        <v>0.001944444444</v>
      </c>
      <c r="E609" s="1">
        <f>IFERROR(__xludf.DUMMYFUNCTION("""COMPUTED_VALUE"""),1.09)</f>
        <v>1.09</v>
      </c>
      <c r="F609" s="1">
        <f>IFERROR(__xludf.DUMMYFUNCTION("""COMPUTED_VALUE"""),4.24)</f>
        <v>4.24</v>
      </c>
      <c r="G609" s="5">
        <f>IFERROR(__xludf.DUMMYFUNCTION("""COMPUTED_VALUE"""),13760.0)</f>
        <v>13760</v>
      </c>
      <c r="H609" s="5">
        <f>IFERROR(__xludf.DUMMYFUNCTION("""COMPUTED_VALUE"""),3249.0)</f>
        <v>3249</v>
      </c>
    </row>
    <row r="610">
      <c r="A610" s="4">
        <f>IFERROR(__xludf.DUMMYFUNCTION("""COMPUTED_VALUE"""),42978.0)</f>
        <v>42978</v>
      </c>
      <c r="B610" s="5">
        <f>IFERROR(__xludf.DUMMYFUNCTION("""COMPUTED_VALUE"""),2958.0)</f>
        <v>2958</v>
      </c>
      <c r="C610" s="6">
        <f>IFERROR(__xludf.DUMMYFUNCTION("""COMPUTED_VALUE"""),0.5123)</f>
        <v>0.5123</v>
      </c>
      <c r="D610" s="2">
        <f>IFERROR(__xludf.DUMMYFUNCTION("""COMPUTED_VALUE"""),0.0011458333333333333)</f>
        <v>0.001145833333</v>
      </c>
      <c r="E610" s="1">
        <f>IFERROR(__xludf.DUMMYFUNCTION("""COMPUTED_VALUE"""),1.15)</f>
        <v>1.15</v>
      </c>
      <c r="F610" s="1">
        <f>IFERROR(__xludf.DUMMYFUNCTION("""COMPUTED_VALUE"""),3.63)</f>
        <v>3.63</v>
      </c>
      <c r="G610" s="5">
        <f>IFERROR(__xludf.DUMMYFUNCTION("""COMPUTED_VALUE"""),12414.0)</f>
        <v>12414</v>
      </c>
      <c r="H610" s="5">
        <f>IFERROR(__xludf.DUMMYFUNCTION("""COMPUTED_VALUE"""),3416.0)</f>
        <v>3416</v>
      </c>
    </row>
    <row r="611">
      <c r="A611" s="4">
        <f>IFERROR(__xludf.DUMMYFUNCTION("""COMPUTED_VALUE"""),42979.0)</f>
        <v>42979</v>
      </c>
      <c r="B611" s="5">
        <f>IFERROR(__xludf.DUMMYFUNCTION("""COMPUTED_VALUE"""),2458.0)</f>
        <v>2458</v>
      </c>
      <c r="C611" s="6">
        <f>IFERROR(__xludf.DUMMYFUNCTION("""COMPUTED_VALUE"""),0.4922)</f>
        <v>0.4922</v>
      </c>
      <c r="D611" s="2">
        <f>IFERROR(__xludf.DUMMYFUNCTION("""COMPUTED_VALUE"""),0.0016666666666666668)</f>
        <v>0.001666666667</v>
      </c>
      <c r="E611" s="1">
        <f>IFERROR(__xludf.DUMMYFUNCTION("""COMPUTED_VALUE"""),1.1)</f>
        <v>1.1</v>
      </c>
      <c r="F611" s="1">
        <f>IFERROR(__xludf.DUMMYFUNCTION("""COMPUTED_VALUE"""),4.23)</f>
        <v>4.23</v>
      </c>
      <c r="G611" s="5">
        <f>IFERROR(__xludf.DUMMYFUNCTION("""COMPUTED_VALUE"""),11455.0)</f>
        <v>11455</v>
      </c>
      <c r="H611" s="5">
        <f>IFERROR(__xludf.DUMMYFUNCTION("""COMPUTED_VALUE"""),2708.0)</f>
        <v>2708</v>
      </c>
    </row>
    <row r="612">
      <c r="A612" s="4">
        <f>IFERROR(__xludf.DUMMYFUNCTION("""COMPUTED_VALUE"""),42980.0)</f>
        <v>42980</v>
      </c>
      <c r="B612" s="5">
        <f>IFERROR(__xludf.DUMMYFUNCTION("""COMPUTED_VALUE"""),1819.0)</f>
        <v>1819</v>
      </c>
      <c r="C612" s="6">
        <f>IFERROR(__xludf.DUMMYFUNCTION("""COMPUTED_VALUE"""),0.5558)</f>
        <v>0.5558</v>
      </c>
      <c r="D612" s="2">
        <f>IFERROR(__xludf.DUMMYFUNCTION("""COMPUTED_VALUE"""),0.0011111111111111111)</f>
        <v>0.001111111111</v>
      </c>
      <c r="E612" s="1">
        <f>IFERROR(__xludf.DUMMYFUNCTION("""COMPUTED_VALUE"""),1.1)</f>
        <v>1.1</v>
      </c>
      <c r="F612" s="1">
        <f>IFERROR(__xludf.DUMMYFUNCTION("""COMPUTED_VALUE"""),3.5)</f>
        <v>3.5</v>
      </c>
      <c r="G612" s="5">
        <f>IFERROR(__xludf.DUMMYFUNCTION("""COMPUTED_VALUE"""),6998.0)</f>
        <v>6998</v>
      </c>
      <c r="H612" s="5">
        <f>IFERROR(__xludf.DUMMYFUNCTION("""COMPUTED_VALUE"""),1999.0)</f>
        <v>1999</v>
      </c>
    </row>
    <row r="613">
      <c r="A613" s="4">
        <f>IFERROR(__xludf.DUMMYFUNCTION("""COMPUTED_VALUE"""),42981.0)</f>
        <v>42981</v>
      </c>
      <c r="B613" s="5">
        <f>IFERROR(__xludf.DUMMYFUNCTION("""COMPUTED_VALUE"""),1986.0)</f>
        <v>1986</v>
      </c>
      <c r="C613" s="6">
        <f>IFERROR(__xludf.DUMMYFUNCTION("""COMPUTED_VALUE"""),0.5781)</f>
        <v>0.5781</v>
      </c>
      <c r="D613" s="2">
        <f>IFERROR(__xludf.DUMMYFUNCTION("""COMPUTED_VALUE"""),0.001238425925925926)</f>
        <v>0.001238425926</v>
      </c>
      <c r="E613" s="1">
        <f>IFERROR(__xludf.DUMMYFUNCTION("""COMPUTED_VALUE"""),1.08)</f>
        <v>1.08</v>
      </c>
      <c r="F613" s="1">
        <f>IFERROR(__xludf.DUMMYFUNCTION("""COMPUTED_VALUE"""),3.38)</f>
        <v>3.38</v>
      </c>
      <c r="G613" s="5">
        <f>IFERROR(__xludf.DUMMYFUNCTION("""COMPUTED_VALUE"""),7220.0)</f>
        <v>7220</v>
      </c>
      <c r="H613" s="5">
        <f>IFERROR(__xludf.DUMMYFUNCTION("""COMPUTED_VALUE"""),2138.0)</f>
        <v>2138</v>
      </c>
    </row>
    <row r="614">
      <c r="A614" s="4">
        <f>IFERROR(__xludf.DUMMYFUNCTION("""COMPUTED_VALUE"""),42982.0)</f>
        <v>42982</v>
      </c>
      <c r="B614" s="5">
        <f>IFERROR(__xludf.DUMMYFUNCTION("""COMPUTED_VALUE"""),2305.0)</f>
        <v>2305</v>
      </c>
      <c r="C614" s="6">
        <f>IFERROR(__xludf.DUMMYFUNCTION("""COMPUTED_VALUE"""),0.577)</f>
        <v>0.577</v>
      </c>
      <c r="D614" s="2">
        <f>IFERROR(__xludf.DUMMYFUNCTION("""COMPUTED_VALUE"""),0.0011458333333333333)</f>
        <v>0.001145833333</v>
      </c>
      <c r="E614" s="1">
        <f>IFERROR(__xludf.DUMMYFUNCTION("""COMPUTED_VALUE"""),1.05)</f>
        <v>1.05</v>
      </c>
      <c r="F614" s="1">
        <f>IFERROR(__xludf.DUMMYFUNCTION("""COMPUTED_VALUE"""),3.51)</f>
        <v>3.51</v>
      </c>
      <c r="G614" s="5">
        <f>IFERROR(__xludf.DUMMYFUNCTION("""COMPUTED_VALUE"""),8526.0)</f>
        <v>8526</v>
      </c>
      <c r="H614" s="5">
        <f>IFERROR(__xludf.DUMMYFUNCTION("""COMPUTED_VALUE"""),2430.0)</f>
        <v>2430</v>
      </c>
    </row>
    <row r="615">
      <c r="A615" s="4">
        <f>IFERROR(__xludf.DUMMYFUNCTION("""COMPUTED_VALUE"""),42983.0)</f>
        <v>42983</v>
      </c>
      <c r="B615" s="5">
        <f>IFERROR(__xludf.DUMMYFUNCTION("""COMPUTED_VALUE"""),2930.0)</f>
        <v>2930</v>
      </c>
      <c r="C615" s="6">
        <f>IFERROR(__xludf.DUMMYFUNCTION("""COMPUTED_VALUE"""),0.4486)</f>
        <v>0.4486</v>
      </c>
      <c r="D615" s="2">
        <f>IFERROR(__xludf.DUMMYFUNCTION("""COMPUTED_VALUE"""),0.001712962962962963)</f>
        <v>0.001712962963</v>
      </c>
      <c r="E615" s="1">
        <f>IFERROR(__xludf.DUMMYFUNCTION("""COMPUTED_VALUE"""),1.06)</f>
        <v>1.06</v>
      </c>
      <c r="F615" s="1">
        <f>IFERROR(__xludf.DUMMYFUNCTION("""COMPUTED_VALUE"""),4.47)</f>
        <v>4.47</v>
      </c>
      <c r="G615" s="5">
        <f>IFERROR(__xludf.DUMMYFUNCTION("""COMPUTED_VALUE"""),13830.0)</f>
        <v>13830</v>
      </c>
      <c r="H615" s="5">
        <f>IFERROR(__xludf.DUMMYFUNCTION("""COMPUTED_VALUE"""),3096.0)</f>
        <v>3096</v>
      </c>
    </row>
    <row r="616">
      <c r="A616" s="4">
        <f>IFERROR(__xludf.DUMMYFUNCTION("""COMPUTED_VALUE"""),42984.0)</f>
        <v>42984</v>
      </c>
      <c r="B616" s="5">
        <f>IFERROR(__xludf.DUMMYFUNCTION("""COMPUTED_VALUE"""),2805.0)</f>
        <v>2805</v>
      </c>
      <c r="C616" s="6">
        <f>IFERROR(__xludf.DUMMYFUNCTION("""COMPUTED_VALUE"""),0.5116)</f>
        <v>0.5116</v>
      </c>
      <c r="D616" s="2">
        <f>IFERROR(__xludf.DUMMYFUNCTION("""COMPUTED_VALUE"""),0.0017592592592592592)</f>
        <v>0.001759259259</v>
      </c>
      <c r="E616" s="1">
        <f>IFERROR(__xludf.DUMMYFUNCTION("""COMPUTED_VALUE"""),1.06)</f>
        <v>1.06</v>
      </c>
      <c r="F616" s="1">
        <f>IFERROR(__xludf.DUMMYFUNCTION("""COMPUTED_VALUE"""),4.44)</f>
        <v>4.44</v>
      </c>
      <c r="G616" s="5">
        <f>IFERROR(__xludf.DUMMYFUNCTION("""COMPUTED_VALUE"""),13247.0)</f>
        <v>13247</v>
      </c>
      <c r="H616" s="5">
        <f>IFERROR(__xludf.DUMMYFUNCTION("""COMPUTED_VALUE"""),2985.0)</f>
        <v>2985</v>
      </c>
    </row>
    <row r="617">
      <c r="A617" s="4">
        <f>IFERROR(__xludf.DUMMYFUNCTION("""COMPUTED_VALUE"""),42985.0)</f>
        <v>42985</v>
      </c>
      <c r="B617" s="5">
        <f>IFERROR(__xludf.DUMMYFUNCTION("""COMPUTED_VALUE"""),2624.0)</f>
        <v>2624</v>
      </c>
      <c r="C617" s="6">
        <f>IFERROR(__xludf.DUMMYFUNCTION("""COMPUTED_VALUE"""),0.5187)</f>
        <v>0.5187</v>
      </c>
      <c r="D617" s="2">
        <f>IFERROR(__xludf.DUMMYFUNCTION("""COMPUTED_VALUE"""),0.0016319444444444445)</f>
        <v>0.001631944444</v>
      </c>
      <c r="E617" s="1">
        <f>IFERROR(__xludf.DUMMYFUNCTION("""COMPUTED_VALUE"""),1.13)</f>
        <v>1.13</v>
      </c>
      <c r="F617" s="1">
        <f>IFERROR(__xludf.DUMMYFUNCTION("""COMPUTED_VALUE"""),4.43)</f>
        <v>4.43</v>
      </c>
      <c r="G617" s="5">
        <f>IFERROR(__xludf.DUMMYFUNCTION("""COMPUTED_VALUE"""),13163.0)</f>
        <v>13163</v>
      </c>
      <c r="H617" s="5">
        <f>IFERROR(__xludf.DUMMYFUNCTION("""COMPUTED_VALUE"""),2971.0)</f>
        <v>2971</v>
      </c>
    </row>
    <row r="618">
      <c r="A618" s="4">
        <f>IFERROR(__xludf.DUMMYFUNCTION("""COMPUTED_VALUE"""),42986.0)</f>
        <v>42986</v>
      </c>
      <c r="B618" s="5">
        <f>IFERROR(__xludf.DUMMYFUNCTION("""COMPUTED_VALUE"""),2416.0)</f>
        <v>2416</v>
      </c>
      <c r="C618" s="6">
        <f>IFERROR(__xludf.DUMMYFUNCTION("""COMPUTED_VALUE"""),0.5487)</f>
        <v>0.5487</v>
      </c>
      <c r="D618" s="2">
        <f>IFERROR(__xludf.DUMMYFUNCTION("""COMPUTED_VALUE"""),0.0015625)</f>
        <v>0.0015625</v>
      </c>
      <c r="E618" s="1">
        <f>IFERROR(__xludf.DUMMYFUNCTION("""COMPUTED_VALUE"""),1.12)</f>
        <v>1.12</v>
      </c>
      <c r="F618" s="1">
        <f>IFERROR(__xludf.DUMMYFUNCTION("""COMPUTED_VALUE"""),3.75)</f>
        <v>3.75</v>
      </c>
      <c r="G618" s="5">
        <f>IFERROR(__xludf.DUMMYFUNCTION("""COMPUTED_VALUE"""),10150.0)</f>
        <v>10150</v>
      </c>
      <c r="H618" s="5">
        <f>IFERROR(__xludf.DUMMYFUNCTION("""COMPUTED_VALUE"""),2708.0)</f>
        <v>2708</v>
      </c>
    </row>
    <row r="619">
      <c r="A619" s="4">
        <f>IFERROR(__xludf.DUMMYFUNCTION("""COMPUTED_VALUE"""),42987.0)</f>
        <v>42987</v>
      </c>
      <c r="B619" s="5">
        <f>IFERROR(__xludf.DUMMYFUNCTION("""COMPUTED_VALUE"""),1875.0)</f>
        <v>1875</v>
      </c>
      <c r="C619" s="6">
        <f>IFERROR(__xludf.DUMMYFUNCTION("""COMPUTED_VALUE"""),0.5644)</f>
        <v>0.5644</v>
      </c>
      <c r="D619" s="2">
        <f>IFERROR(__xludf.DUMMYFUNCTION("""COMPUTED_VALUE"""),0.0011805555555555556)</f>
        <v>0.001180555556</v>
      </c>
      <c r="E619" s="1">
        <f>IFERROR(__xludf.DUMMYFUNCTION("""COMPUTED_VALUE"""),1.09)</f>
        <v>1.09</v>
      </c>
      <c r="F619" s="1">
        <f>IFERROR(__xludf.DUMMYFUNCTION("""COMPUTED_VALUE"""),3.54)</f>
        <v>3.54</v>
      </c>
      <c r="G619" s="5">
        <f>IFERROR(__xludf.DUMMYFUNCTION("""COMPUTED_VALUE"""),7234.0)</f>
        <v>7234</v>
      </c>
      <c r="H619" s="5">
        <f>IFERROR(__xludf.DUMMYFUNCTION("""COMPUTED_VALUE"""),2041.0)</f>
        <v>2041</v>
      </c>
    </row>
    <row r="620">
      <c r="A620" s="4">
        <f>IFERROR(__xludf.DUMMYFUNCTION("""COMPUTED_VALUE"""),42988.0)</f>
        <v>42988</v>
      </c>
      <c r="B620" s="5">
        <f>IFERROR(__xludf.DUMMYFUNCTION("""COMPUTED_VALUE"""),1888.0)</f>
        <v>1888</v>
      </c>
      <c r="C620" s="6">
        <f>IFERROR(__xludf.DUMMYFUNCTION("""COMPUTED_VALUE"""),0.5723)</f>
        <v>0.5723</v>
      </c>
      <c r="D620" s="2">
        <f>IFERROR(__xludf.DUMMYFUNCTION("""COMPUTED_VALUE"""),0.001574074074074074)</f>
        <v>0.001574074074</v>
      </c>
      <c r="E620" s="1">
        <f>IFERROR(__xludf.DUMMYFUNCTION("""COMPUTED_VALUE"""),1.07)</f>
        <v>1.07</v>
      </c>
      <c r="F620" s="1">
        <f>IFERROR(__xludf.DUMMYFUNCTION("""COMPUTED_VALUE"""),3.97)</f>
        <v>3.97</v>
      </c>
      <c r="G620" s="5">
        <f>IFERROR(__xludf.DUMMYFUNCTION("""COMPUTED_VALUE"""),7998.0)</f>
        <v>7998</v>
      </c>
      <c r="H620" s="5">
        <f>IFERROR(__xludf.DUMMYFUNCTION("""COMPUTED_VALUE"""),2013.0)</f>
        <v>2013</v>
      </c>
    </row>
    <row r="621">
      <c r="A621" s="4">
        <f>IFERROR(__xludf.DUMMYFUNCTION("""COMPUTED_VALUE"""),42989.0)</f>
        <v>42989</v>
      </c>
      <c r="B621" s="5">
        <f>IFERROR(__xludf.DUMMYFUNCTION("""COMPUTED_VALUE"""),2833.0)</f>
        <v>2833</v>
      </c>
      <c r="C621" s="6">
        <f>IFERROR(__xludf.DUMMYFUNCTION("""COMPUTED_VALUE"""),0.5022)</f>
        <v>0.5022</v>
      </c>
      <c r="D621" s="2">
        <f>IFERROR(__xludf.DUMMYFUNCTION("""COMPUTED_VALUE"""),0.0015277777777777779)</f>
        <v>0.001527777778</v>
      </c>
      <c r="E621" s="1">
        <f>IFERROR(__xludf.DUMMYFUNCTION("""COMPUTED_VALUE"""),1.1)</f>
        <v>1.1</v>
      </c>
      <c r="F621" s="1">
        <f>IFERROR(__xludf.DUMMYFUNCTION("""COMPUTED_VALUE"""),3.94)</f>
        <v>3.94</v>
      </c>
      <c r="G621" s="5">
        <f>IFERROR(__xludf.DUMMYFUNCTION("""COMPUTED_VALUE"""),12316.0)</f>
        <v>12316</v>
      </c>
      <c r="H621" s="5">
        <f>IFERROR(__xludf.DUMMYFUNCTION("""COMPUTED_VALUE"""),3124.0)</f>
        <v>3124</v>
      </c>
    </row>
    <row r="622">
      <c r="A622" s="4">
        <f>IFERROR(__xludf.DUMMYFUNCTION("""COMPUTED_VALUE"""),42990.0)</f>
        <v>42990</v>
      </c>
      <c r="B622" s="5">
        <f>IFERROR(__xludf.DUMMYFUNCTION("""COMPUTED_VALUE"""),2819.0)</f>
        <v>2819</v>
      </c>
      <c r="C622" s="6">
        <f>IFERROR(__xludf.DUMMYFUNCTION("""COMPUTED_VALUE"""),0.4933)</f>
        <v>0.4933</v>
      </c>
      <c r="D622" s="2">
        <f>IFERROR(__xludf.DUMMYFUNCTION("""COMPUTED_VALUE"""),0.0022916666666666667)</f>
        <v>0.002291666667</v>
      </c>
      <c r="E622" s="1">
        <f>IFERROR(__xludf.DUMMYFUNCTION("""COMPUTED_VALUE"""),1.09)</f>
        <v>1.09</v>
      </c>
      <c r="F622" s="1">
        <f>IFERROR(__xludf.DUMMYFUNCTION("""COMPUTED_VALUE"""),5.31)</f>
        <v>5.31</v>
      </c>
      <c r="G622" s="5">
        <f>IFERROR(__xludf.DUMMYFUNCTION("""COMPUTED_VALUE"""),16288.0)</f>
        <v>16288</v>
      </c>
      <c r="H622" s="5">
        <f>IFERROR(__xludf.DUMMYFUNCTION("""COMPUTED_VALUE"""),3069.0)</f>
        <v>3069</v>
      </c>
    </row>
    <row r="623">
      <c r="A623" s="4">
        <f>IFERROR(__xludf.DUMMYFUNCTION("""COMPUTED_VALUE"""),42991.0)</f>
        <v>42991</v>
      </c>
      <c r="B623" s="5">
        <f>IFERROR(__xludf.DUMMYFUNCTION("""COMPUTED_VALUE"""),2847.0)</f>
        <v>2847</v>
      </c>
      <c r="C623" s="6">
        <f>IFERROR(__xludf.DUMMYFUNCTION("""COMPUTED_VALUE"""),0.461)</f>
        <v>0.461</v>
      </c>
      <c r="D623" s="2">
        <f>IFERROR(__xludf.DUMMYFUNCTION("""COMPUTED_VALUE"""),0.0016087962962962963)</f>
        <v>0.001608796296</v>
      </c>
      <c r="E623" s="1">
        <f>IFERROR(__xludf.DUMMYFUNCTION("""COMPUTED_VALUE"""),1.06)</f>
        <v>1.06</v>
      </c>
      <c r="F623" s="1">
        <f>IFERROR(__xludf.DUMMYFUNCTION("""COMPUTED_VALUE"""),3.74)</f>
        <v>3.74</v>
      </c>
      <c r="G623" s="5">
        <f>IFERROR(__xludf.DUMMYFUNCTION("""COMPUTED_VALUE"""),11275.0)</f>
        <v>11275</v>
      </c>
      <c r="H623" s="5">
        <f>IFERROR(__xludf.DUMMYFUNCTION("""COMPUTED_VALUE"""),3013.0)</f>
        <v>3013</v>
      </c>
    </row>
    <row r="624">
      <c r="A624" s="4">
        <f>IFERROR(__xludf.DUMMYFUNCTION("""COMPUTED_VALUE"""),42992.0)</f>
        <v>42992</v>
      </c>
      <c r="B624" s="5">
        <f>IFERROR(__xludf.DUMMYFUNCTION("""COMPUTED_VALUE"""),2777.0)</f>
        <v>2777</v>
      </c>
      <c r="C624" s="6">
        <f>IFERROR(__xludf.DUMMYFUNCTION("""COMPUTED_VALUE"""),0.5002)</f>
        <v>0.5002</v>
      </c>
      <c r="D624" s="2">
        <f>IFERROR(__xludf.DUMMYFUNCTION("""COMPUTED_VALUE"""),0.0015162037037037036)</f>
        <v>0.001516203704</v>
      </c>
      <c r="E624" s="1">
        <f>IFERROR(__xludf.DUMMYFUNCTION("""COMPUTED_VALUE"""),1.07)</f>
        <v>1.07</v>
      </c>
      <c r="F624" s="1">
        <f>IFERROR(__xludf.DUMMYFUNCTION("""COMPUTED_VALUE"""),3.79)</f>
        <v>3.79</v>
      </c>
      <c r="G624" s="5">
        <f>IFERROR(__xludf.DUMMYFUNCTION("""COMPUTED_VALUE"""),11247.0)</f>
        <v>11247</v>
      </c>
      <c r="H624" s="5">
        <f>IFERROR(__xludf.DUMMYFUNCTION("""COMPUTED_VALUE"""),2971.0)</f>
        <v>2971</v>
      </c>
    </row>
    <row r="625">
      <c r="A625" s="4">
        <f>IFERROR(__xludf.DUMMYFUNCTION("""COMPUTED_VALUE"""),42993.0)</f>
        <v>42993</v>
      </c>
      <c r="B625" s="5">
        <f>IFERROR(__xludf.DUMMYFUNCTION("""COMPUTED_VALUE"""),2458.0)</f>
        <v>2458</v>
      </c>
      <c r="C625" s="6">
        <f>IFERROR(__xludf.DUMMYFUNCTION("""COMPUTED_VALUE"""),0.5287)</f>
        <v>0.5287</v>
      </c>
      <c r="D625" s="2">
        <f>IFERROR(__xludf.DUMMYFUNCTION("""COMPUTED_VALUE"""),0.0013425925925925925)</f>
        <v>0.001342592593</v>
      </c>
      <c r="E625" s="1">
        <f>IFERROR(__xludf.DUMMYFUNCTION("""COMPUTED_VALUE"""),1.17)</f>
        <v>1.17</v>
      </c>
      <c r="F625" s="1">
        <f>IFERROR(__xludf.DUMMYFUNCTION("""COMPUTED_VALUE"""),3.83)</f>
        <v>3.83</v>
      </c>
      <c r="G625" s="5">
        <f>IFERROR(__xludf.DUMMYFUNCTION("""COMPUTED_VALUE"""),11067.0)</f>
        <v>11067</v>
      </c>
      <c r="H625" s="5">
        <f>IFERROR(__xludf.DUMMYFUNCTION("""COMPUTED_VALUE"""),2888.0)</f>
        <v>2888</v>
      </c>
    </row>
    <row r="626">
      <c r="A626" s="4">
        <f>IFERROR(__xludf.DUMMYFUNCTION("""COMPUTED_VALUE"""),42994.0)</f>
        <v>42994</v>
      </c>
      <c r="B626" s="5">
        <f>IFERROR(__xludf.DUMMYFUNCTION("""COMPUTED_VALUE"""),2638.0)</f>
        <v>2638</v>
      </c>
      <c r="C626" s="6">
        <f>IFERROR(__xludf.DUMMYFUNCTION("""COMPUTED_VALUE"""),0.6001)</f>
        <v>0.6001</v>
      </c>
      <c r="D626" s="2">
        <f>IFERROR(__xludf.DUMMYFUNCTION("""COMPUTED_VALUE"""),0.0013541666666666667)</f>
        <v>0.001354166667</v>
      </c>
      <c r="E626" s="1">
        <f>IFERROR(__xludf.DUMMYFUNCTION("""COMPUTED_VALUE"""),1.11)</f>
        <v>1.11</v>
      </c>
      <c r="F626" s="1">
        <f>IFERROR(__xludf.DUMMYFUNCTION("""COMPUTED_VALUE"""),3.0)</f>
        <v>3</v>
      </c>
      <c r="G626" s="5">
        <f>IFERROR(__xludf.DUMMYFUNCTION("""COMPUTED_VALUE"""),8762.0)</f>
        <v>8762</v>
      </c>
      <c r="H626" s="5">
        <f>IFERROR(__xludf.DUMMYFUNCTION("""COMPUTED_VALUE"""),2916.0)</f>
        <v>2916</v>
      </c>
    </row>
    <row r="627">
      <c r="A627" s="4">
        <f>IFERROR(__xludf.DUMMYFUNCTION("""COMPUTED_VALUE"""),42995.0)</f>
        <v>42995</v>
      </c>
      <c r="B627" s="5">
        <f>IFERROR(__xludf.DUMMYFUNCTION("""COMPUTED_VALUE"""),2666.0)</f>
        <v>2666</v>
      </c>
      <c r="C627" s="6">
        <f>IFERROR(__xludf.DUMMYFUNCTION("""COMPUTED_VALUE"""),0.6112)</f>
        <v>0.6112</v>
      </c>
      <c r="D627" s="2">
        <f>IFERROR(__xludf.DUMMYFUNCTION("""COMPUTED_VALUE"""),0.0012152777777777778)</f>
        <v>0.001215277778</v>
      </c>
      <c r="E627" s="1">
        <f>IFERROR(__xludf.DUMMYFUNCTION("""COMPUTED_VALUE"""),1.12)</f>
        <v>1.12</v>
      </c>
      <c r="F627" s="1">
        <f>IFERROR(__xludf.DUMMYFUNCTION("""COMPUTED_VALUE"""),2.87)</f>
        <v>2.87</v>
      </c>
      <c r="G627" s="5">
        <f>IFERROR(__xludf.DUMMYFUNCTION("""COMPUTED_VALUE"""),8609.0)</f>
        <v>8609</v>
      </c>
      <c r="H627" s="5">
        <f>IFERROR(__xludf.DUMMYFUNCTION("""COMPUTED_VALUE"""),2999.0)</f>
        <v>2999</v>
      </c>
    </row>
    <row r="628">
      <c r="A628" s="4">
        <f>IFERROR(__xludf.DUMMYFUNCTION("""COMPUTED_VALUE"""),42996.0)</f>
        <v>42996</v>
      </c>
      <c r="B628" s="5">
        <f>IFERROR(__xludf.DUMMYFUNCTION("""COMPUTED_VALUE"""),3499.0)</f>
        <v>3499</v>
      </c>
      <c r="C628" s="6">
        <f>IFERROR(__xludf.DUMMYFUNCTION("""COMPUTED_VALUE"""),0.546)</f>
        <v>0.546</v>
      </c>
      <c r="D628" s="2">
        <f>IFERROR(__xludf.DUMMYFUNCTION("""COMPUTED_VALUE"""),0.0014930555555555556)</f>
        <v>0.001493055556</v>
      </c>
      <c r="E628" s="1">
        <f>IFERROR(__xludf.DUMMYFUNCTION("""COMPUTED_VALUE"""),1.12)</f>
        <v>1.12</v>
      </c>
      <c r="F628" s="1">
        <f>IFERROR(__xludf.DUMMYFUNCTION("""COMPUTED_VALUE"""),3.36)</f>
        <v>3.36</v>
      </c>
      <c r="G628" s="5">
        <f>IFERROR(__xludf.DUMMYFUNCTION("""COMPUTED_VALUE"""),13163.0)</f>
        <v>13163</v>
      </c>
      <c r="H628" s="5">
        <f>IFERROR(__xludf.DUMMYFUNCTION("""COMPUTED_VALUE"""),3916.0)</f>
        <v>3916</v>
      </c>
    </row>
    <row r="629">
      <c r="A629" s="4">
        <f>IFERROR(__xludf.DUMMYFUNCTION("""COMPUTED_VALUE"""),42997.0)</f>
        <v>42997</v>
      </c>
      <c r="B629" s="5">
        <f>IFERROR(__xludf.DUMMYFUNCTION("""COMPUTED_VALUE"""),3194.0)</f>
        <v>3194</v>
      </c>
      <c r="C629" s="6">
        <f>IFERROR(__xludf.DUMMYFUNCTION("""COMPUTED_VALUE"""),0.5778)</f>
        <v>0.5778</v>
      </c>
      <c r="D629" s="2">
        <f>IFERROR(__xludf.DUMMYFUNCTION("""COMPUTED_VALUE"""),0.00125)</f>
        <v>0.00125</v>
      </c>
      <c r="E629" s="1">
        <f>IFERROR(__xludf.DUMMYFUNCTION("""COMPUTED_VALUE"""),1.17)</f>
        <v>1.17</v>
      </c>
      <c r="F629" s="1">
        <f>IFERROR(__xludf.DUMMYFUNCTION("""COMPUTED_VALUE"""),3.33)</f>
        <v>3.33</v>
      </c>
      <c r="G629" s="5">
        <f>IFERROR(__xludf.DUMMYFUNCTION("""COMPUTED_VALUE"""),12497.0)</f>
        <v>12497</v>
      </c>
      <c r="H629" s="5">
        <f>IFERROR(__xludf.DUMMYFUNCTION("""COMPUTED_VALUE"""),3749.0)</f>
        <v>3749</v>
      </c>
    </row>
    <row r="630">
      <c r="A630" s="4">
        <f>IFERROR(__xludf.DUMMYFUNCTION("""COMPUTED_VALUE"""),42998.0)</f>
        <v>42998</v>
      </c>
      <c r="B630" s="5">
        <f>IFERROR(__xludf.DUMMYFUNCTION("""COMPUTED_VALUE"""),4860.0)</f>
        <v>4860</v>
      </c>
      <c r="C630" s="6">
        <f>IFERROR(__xludf.DUMMYFUNCTION("""COMPUTED_VALUE"""),0.6067)</f>
        <v>0.6067</v>
      </c>
      <c r="D630" s="2">
        <f>IFERROR(__xludf.DUMMYFUNCTION("""COMPUTED_VALUE"""),0.001400462962962963)</f>
        <v>0.001400462963</v>
      </c>
      <c r="E630" s="1">
        <f>IFERROR(__xludf.DUMMYFUNCTION("""COMPUTED_VALUE"""),1.1)</f>
        <v>1.1</v>
      </c>
      <c r="F630" s="1">
        <f>IFERROR(__xludf.DUMMYFUNCTION("""COMPUTED_VALUE"""),3.65)</f>
        <v>3.65</v>
      </c>
      <c r="G630" s="5">
        <f>IFERROR(__xludf.DUMMYFUNCTION("""COMPUTED_VALUE"""),19467.0)</f>
        <v>19467</v>
      </c>
      <c r="H630" s="5">
        <f>IFERROR(__xludf.DUMMYFUNCTION("""COMPUTED_VALUE"""),5332.0)</f>
        <v>5332</v>
      </c>
    </row>
    <row r="631">
      <c r="A631" s="4">
        <f>IFERROR(__xludf.DUMMYFUNCTION("""COMPUTED_VALUE"""),42999.0)</f>
        <v>42999</v>
      </c>
      <c r="B631" s="5">
        <f>IFERROR(__xludf.DUMMYFUNCTION("""COMPUTED_VALUE"""),4749.0)</f>
        <v>4749</v>
      </c>
      <c r="C631" s="6">
        <f>IFERROR(__xludf.DUMMYFUNCTION("""COMPUTED_VALUE"""),0.6596)</f>
        <v>0.6596</v>
      </c>
      <c r="D631" s="2">
        <f>IFERROR(__xludf.DUMMYFUNCTION("""COMPUTED_VALUE"""),0.0011342592592592593)</f>
        <v>0.001134259259</v>
      </c>
      <c r="E631" s="1">
        <f>IFERROR(__xludf.DUMMYFUNCTION("""COMPUTED_VALUE"""),1.09)</f>
        <v>1.09</v>
      </c>
      <c r="F631" s="1">
        <f>IFERROR(__xludf.DUMMYFUNCTION("""COMPUTED_VALUE"""),3.12)</f>
        <v>3.12</v>
      </c>
      <c r="G631" s="5">
        <f>IFERROR(__xludf.DUMMYFUNCTION("""COMPUTED_VALUE"""),16149.0)</f>
        <v>16149</v>
      </c>
      <c r="H631" s="5">
        <f>IFERROR(__xludf.DUMMYFUNCTION("""COMPUTED_VALUE"""),5179.0)</f>
        <v>5179</v>
      </c>
    </row>
    <row r="632">
      <c r="A632" s="4">
        <f>IFERROR(__xludf.DUMMYFUNCTION("""COMPUTED_VALUE"""),43000.0)</f>
        <v>43000</v>
      </c>
      <c r="B632" s="5">
        <f>IFERROR(__xludf.DUMMYFUNCTION("""COMPUTED_VALUE"""),3485.0)</f>
        <v>3485</v>
      </c>
      <c r="C632" s="6">
        <f>IFERROR(__xludf.DUMMYFUNCTION("""COMPUTED_VALUE"""),0.5175)</f>
        <v>0.5175</v>
      </c>
      <c r="D632" s="2">
        <f>IFERROR(__xludf.DUMMYFUNCTION("""COMPUTED_VALUE"""),0.0015972222222222223)</f>
        <v>0.001597222222</v>
      </c>
      <c r="E632" s="1">
        <f>IFERROR(__xludf.DUMMYFUNCTION("""COMPUTED_VALUE"""),1.14)</f>
        <v>1.14</v>
      </c>
      <c r="F632" s="1">
        <f>IFERROR(__xludf.DUMMYFUNCTION("""COMPUTED_VALUE"""),3.84)</f>
        <v>3.84</v>
      </c>
      <c r="G632" s="5">
        <f>IFERROR(__xludf.DUMMYFUNCTION("""COMPUTED_VALUE"""),15232.0)</f>
        <v>15232</v>
      </c>
      <c r="H632" s="5">
        <f>IFERROR(__xludf.DUMMYFUNCTION("""COMPUTED_VALUE"""),3971.0)</f>
        <v>3971</v>
      </c>
    </row>
    <row r="633">
      <c r="A633" s="4">
        <f>IFERROR(__xludf.DUMMYFUNCTION("""COMPUTED_VALUE"""),43001.0)</f>
        <v>43001</v>
      </c>
      <c r="B633" s="5">
        <f>IFERROR(__xludf.DUMMYFUNCTION("""COMPUTED_VALUE"""),1999.0)</f>
        <v>1999</v>
      </c>
      <c r="C633" s="6">
        <f>IFERROR(__xludf.DUMMYFUNCTION("""COMPUTED_VALUE"""),0.5974)</f>
        <v>0.5974</v>
      </c>
      <c r="D633" s="2">
        <f>IFERROR(__xludf.DUMMYFUNCTION("""COMPUTED_VALUE"""),0.0016435185185185185)</f>
        <v>0.001643518519</v>
      </c>
      <c r="E633" s="1">
        <f>IFERROR(__xludf.DUMMYFUNCTION("""COMPUTED_VALUE"""),1.17)</f>
        <v>1.17</v>
      </c>
      <c r="F633" s="1">
        <f>IFERROR(__xludf.DUMMYFUNCTION("""COMPUTED_VALUE"""),3.52)</f>
        <v>3.52</v>
      </c>
      <c r="G633" s="5">
        <f>IFERROR(__xludf.DUMMYFUNCTION("""COMPUTED_VALUE"""),8262.0)</f>
        <v>8262</v>
      </c>
      <c r="H633" s="5">
        <f>IFERROR(__xludf.DUMMYFUNCTION("""COMPUTED_VALUE"""),2347.0)</f>
        <v>2347</v>
      </c>
    </row>
    <row r="634">
      <c r="A634" s="4">
        <f>IFERROR(__xludf.DUMMYFUNCTION("""COMPUTED_VALUE"""),43002.0)</f>
        <v>43002</v>
      </c>
      <c r="B634" s="5">
        <f>IFERROR(__xludf.DUMMYFUNCTION("""COMPUTED_VALUE"""),2499.0)</f>
        <v>2499</v>
      </c>
      <c r="C634" s="6">
        <f>IFERROR(__xludf.DUMMYFUNCTION("""COMPUTED_VALUE"""),0.57)</f>
        <v>0.57</v>
      </c>
      <c r="D634" s="2">
        <f>IFERROR(__xludf.DUMMYFUNCTION("""COMPUTED_VALUE"""),0.0011574074074074073)</f>
        <v>0.001157407407</v>
      </c>
      <c r="E634" s="1">
        <f>IFERROR(__xludf.DUMMYFUNCTION("""COMPUTED_VALUE"""),1.11)</f>
        <v>1.11</v>
      </c>
      <c r="F634" s="1">
        <f>IFERROR(__xludf.DUMMYFUNCTION("""COMPUTED_VALUE"""),3.91)</f>
        <v>3.91</v>
      </c>
      <c r="G634" s="5">
        <f>IFERROR(__xludf.DUMMYFUNCTION("""COMPUTED_VALUE"""),10858.0)</f>
        <v>10858</v>
      </c>
      <c r="H634" s="5">
        <f>IFERROR(__xludf.DUMMYFUNCTION("""COMPUTED_VALUE"""),2777.0)</f>
        <v>2777</v>
      </c>
    </row>
    <row r="635">
      <c r="A635" s="4">
        <f>IFERROR(__xludf.DUMMYFUNCTION("""COMPUTED_VALUE"""),43003.0)</f>
        <v>43003</v>
      </c>
      <c r="B635" s="5">
        <f>IFERROR(__xludf.DUMMYFUNCTION("""COMPUTED_VALUE"""),2985.0)</f>
        <v>2985</v>
      </c>
      <c r="C635" s="6">
        <f>IFERROR(__xludf.DUMMYFUNCTION("""COMPUTED_VALUE"""),0.5041)</f>
        <v>0.5041</v>
      </c>
      <c r="D635" s="2">
        <f>IFERROR(__xludf.DUMMYFUNCTION("""COMPUTED_VALUE"""),0.0014467592592592592)</f>
        <v>0.001446759259</v>
      </c>
      <c r="E635" s="1">
        <f>IFERROR(__xludf.DUMMYFUNCTION("""COMPUTED_VALUE"""),1.15)</f>
        <v>1.15</v>
      </c>
      <c r="F635" s="1">
        <f>IFERROR(__xludf.DUMMYFUNCTION("""COMPUTED_VALUE"""),3.91)</f>
        <v>3.91</v>
      </c>
      <c r="G635" s="5">
        <f>IFERROR(__xludf.DUMMYFUNCTION("""COMPUTED_VALUE"""),13455.0)</f>
        <v>13455</v>
      </c>
      <c r="H635" s="5">
        <f>IFERROR(__xludf.DUMMYFUNCTION("""COMPUTED_VALUE"""),3444.0)</f>
        <v>3444</v>
      </c>
    </row>
    <row r="636">
      <c r="A636" s="4">
        <f>IFERROR(__xludf.DUMMYFUNCTION("""COMPUTED_VALUE"""),43004.0)</f>
        <v>43004</v>
      </c>
      <c r="B636" s="5">
        <f>IFERROR(__xludf.DUMMYFUNCTION("""COMPUTED_VALUE"""),3596.0)</f>
        <v>3596</v>
      </c>
      <c r="C636" s="6">
        <f>IFERROR(__xludf.DUMMYFUNCTION("""COMPUTED_VALUE"""),0.5647)</f>
        <v>0.5647</v>
      </c>
      <c r="D636" s="2">
        <f>IFERROR(__xludf.DUMMYFUNCTION("""COMPUTED_VALUE"""),0.0016087962962962963)</f>
        <v>0.001608796296</v>
      </c>
      <c r="E636" s="1">
        <f>IFERROR(__xludf.DUMMYFUNCTION("""COMPUTED_VALUE"""),1.14)</f>
        <v>1.14</v>
      </c>
      <c r="F636" s="1">
        <f>IFERROR(__xludf.DUMMYFUNCTION("""COMPUTED_VALUE"""),4.21)</f>
        <v>4.21</v>
      </c>
      <c r="G636" s="5">
        <f>IFERROR(__xludf.DUMMYFUNCTION("""COMPUTED_VALUE"""),17190.0)</f>
        <v>17190</v>
      </c>
      <c r="H636" s="5">
        <f>IFERROR(__xludf.DUMMYFUNCTION("""COMPUTED_VALUE"""),4082.0)</f>
        <v>4082</v>
      </c>
    </row>
    <row r="637">
      <c r="A637" s="4">
        <f>IFERROR(__xludf.DUMMYFUNCTION("""COMPUTED_VALUE"""),43005.0)</f>
        <v>43005</v>
      </c>
      <c r="B637" s="5">
        <f>IFERROR(__xludf.DUMMYFUNCTION("""COMPUTED_VALUE"""),3291.0)</f>
        <v>3291</v>
      </c>
      <c r="C637" s="6">
        <f>IFERROR(__xludf.DUMMYFUNCTION("""COMPUTED_VALUE"""),0.541)</f>
        <v>0.541</v>
      </c>
      <c r="D637" s="2">
        <f>IFERROR(__xludf.DUMMYFUNCTION("""COMPUTED_VALUE"""),0.001400462962962963)</f>
        <v>0.001400462963</v>
      </c>
      <c r="E637" s="1">
        <f>IFERROR(__xludf.DUMMYFUNCTION("""COMPUTED_VALUE"""),1.13)</f>
        <v>1.13</v>
      </c>
      <c r="F637" s="1">
        <f>IFERROR(__xludf.DUMMYFUNCTION("""COMPUTED_VALUE"""),3.45)</f>
        <v>3.45</v>
      </c>
      <c r="G637" s="5">
        <f>IFERROR(__xludf.DUMMYFUNCTION("""COMPUTED_VALUE"""),12830.0)</f>
        <v>12830</v>
      </c>
      <c r="H637" s="5">
        <f>IFERROR(__xludf.DUMMYFUNCTION("""COMPUTED_VALUE"""),3721.0)</f>
        <v>3721</v>
      </c>
    </row>
    <row r="638">
      <c r="A638" s="4">
        <f>IFERROR(__xludf.DUMMYFUNCTION("""COMPUTED_VALUE"""),43006.0)</f>
        <v>43006</v>
      </c>
      <c r="B638" s="5">
        <f>IFERROR(__xludf.DUMMYFUNCTION("""COMPUTED_VALUE"""),3430.0)</f>
        <v>3430</v>
      </c>
      <c r="C638" s="6">
        <f>IFERROR(__xludf.DUMMYFUNCTION("""COMPUTED_VALUE"""),0.6226)</f>
        <v>0.6226</v>
      </c>
      <c r="D638" s="2">
        <f>IFERROR(__xludf.DUMMYFUNCTION("""COMPUTED_VALUE"""),0.0015972222222222223)</f>
        <v>0.001597222222</v>
      </c>
      <c r="E638" s="1">
        <f>IFERROR(__xludf.DUMMYFUNCTION("""COMPUTED_VALUE"""),1.07)</f>
        <v>1.07</v>
      </c>
      <c r="F638" s="1">
        <f>IFERROR(__xludf.DUMMYFUNCTION("""COMPUTED_VALUE"""),3.16)</f>
        <v>3.16</v>
      </c>
      <c r="G638" s="5">
        <f>IFERROR(__xludf.DUMMYFUNCTION("""COMPUTED_VALUE"""),11622.0)</f>
        <v>11622</v>
      </c>
      <c r="H638" s="5">
        <f>IFERROR(__xludf.DUMMYFUNCTION("""COMPUTED_VALUE"""),3680.0)</f>
        <v>3680</v>
      </c>
    </row>
    <row r="639">
      <c r="A639" s="4">
        <f>IFERROR(__xludf.DUMMYFUNCTION("""COMPUTED_VALUE"""),43007.0)</f>
        <v>43007</v>
      </c>
      <c r="B639" s="5">
        <f>IFERROR(__xludf.DUMMYFUNCTION("""COMPUTED_VALUE"""),3041.0)</f>
        <v>3041</v>
      </c>
      <c r="C639" s="6">
        <f>IFERROR(__xludf.DUMMYFUNCTION("""COMPUTED_VALUE"""),0.5992)</f>
        <v>0.5992</v>
      </c>
      <c r="D639" s="2">
        <f>IFERROR(__xludf.DUMMYFUNCTION("""COMPUTED_VALUE"""),0.0017476851851851852)</f>
        <v>0.001747685185</v>
      </c>
      <c r="E639" s="1">
        <f>IFERROR(__xludf.DUMMYFUNCTION("""COMPUTED_VALUE"""),1.08)</f>
        <v>1.08</v>
      </c>
      <c r="F639" s="1">
        <f>IFERROR(__xludf.DUMMYFUNCTION("""COMPUTED_VALUE"""),3.89)</f>
        <v>3.89</v>
      </c>
      <c r="G639" s="5">
        <f>IFERROR(__xludf.DUMMYFUNCTION("""COMPUTED_VALUE"""),12816.0)</f>
        <v>12816</v>
      </c>
      <c r="H639" s="5">
        <f>IFERROR(__xludf.DUMMYFUNCTION("""COMPUTED_VALUE"""),3291.0)</f>
        <v>3291</v>
      </c>
    </row>
    <row r="640">
      <c r="A640" s="4">
        <f>IFERROR(__xludf.DUMMYFUNCTION("""COMPUTED_VALUE"""),43008.0)</f>
        <v>43008</v>
      </c>
      <c r="B640" s="5">
        <f>IFERROR(__xludf.DUMMYFUNCTION("""COMPUTED_VALUE"""),2610.0)</f>
        <v>2610</v>
      </c>
      <c r="C640" s="6">
        <f>IFERROR(__xludf.DUMMYFUNCTION("""COMPUTED_VALUE"""),0.61)</f>
        <v>0.61</v>
      </c>
      <c r="D640" s="2">
        <f>IFERROR(__xludf.DUMMYFUNCTION("""COMPUTED_VALUE"""),0.0012731481481481483)</f>
        <v>0.001273148148</v>
      </c>
      <c r="E640" s="1">
        <f>IFERROR(__xludf.DUMMYFUNCTION("""COMPUTED_VALUE"""),1.06)</f>
        <v>1.06</v>
      </c>
      <c r="F640" s="1">
        <f>IFERROR(__xludf.DUMMYFUNCTION("""COMPUTED_VALUE"""),3.91)</f>
        <v>3.91</v>
      </c>
      <c r="G640" s="5">
        <f>IFERROR(__xludf.DUMMYFUNCTION("""COMPUTED_VALUE"""),10858.0)</f>
        <v>10858</v>
      </c>
      <c r="H640" s="5">
        <f>IFERROR(__xludf.DUMMYFUNCTION("""COMPUTED_VALUE"""),2777.0)</f>
        <v>2777</v>
      </c>
    </row>
    <row r="641">
      <c r="A641" s="4">
        <f>IFERROR(__xludf.DUMMYFUNCTION("""COMPUTED_VALUE"""),43009.0)</f>
        <v>43009</v>
      </c>
      <c r="B641" s="5">
        <f>IFERROR(__xludf.DUMMYFUNCTION("""COMPUTED_VALUE"""),2763.0)</f>
        <v>2763</v>
      </c>
      <c r="C641" s="6">
        <f>IFERROR(__xludf.DUMMYFUNCTION("""COMPUTED_VALUE"""),0.6342)</f>
        <v>0.6342</v>
      </c>
      <c r="D641" s="2">
        <f>IFERROR(__xludf.DUMMYFUNCTION("""COMPUTED_VALUE"""),0.0014467592592592592)</f>
        <v>0.001446759259</v>
      </c>
      <c r="E641" s="1">
        <f>IFERROR(__xludf.DUMMYFUNCTION("""COMPUTED_VALUE"""),1.14)</f>
        <v>1.14</v>
      </c>
      <c r="F641" s="1">
        <f>IFERROR(__xludf.DUMMYFUNCTION("""COMPUTED_VALUE"""),3.3)</f>
        <v>3.3</v>
      </c>
      <c r="G641" s="5">
        <f>IFERROR(__xludf.DUMMYFUNCTION("""COMPUTED_VALUE"""),10386.0)</f>
        <v>10386</v>
      </c>
      <c r="H641" s="5">
        <f>IFERROR(__xludf.DUMMYFUNCTION("""COMPUTED_VALUE"""),3152.0)</f>
        <v>3152</v>
      </c>
    </row>
    <row r="642">
      <c r="A642" s="4">
        <f>IFERROR(__xludf.DUMMYFUNCTION("""COMPUTED_VALUE"""),43010.0)</f>
        <v>43010</v>
      </c>
      <c r="B642" s="5">
        <f>IFERROR(__xludf.DUMMYFUNCTION("""COMPUTED_VALUE"""),3457.0)</f>
        <v>3457</v>
      </c>
      <c r="C642" s="6">
        <f>IFERROR(__xludf.DUMMYFUNCTION("""COMPUTED_VALUE"""),0.5616)</f>
        <v>0.5616</v>
      </c>
      <c r="D642" s="2">
        <f>IFERROR(__xludf.DUMMYFUNCTION("""COMPUTED_VALUE"""),0.0016203703703703703)</f>
        <v>0.00162037037</v>
      </c>
      <c r="E642" s="1">
        <f>IFERROR(__xludf.DUMMYFUNCTION("""COMPUTED_VALUE"""),1.11)</f>
        <v>1.11</v>
      </c>
      <c r="F642" s="1">
        <f>IFERROR(__xludf.DUMMYFUNCTION("""COMPUTED_VALUE"""),3.82)</f>
        <v>3.82</v>
      </c>
      <c r="G642" s="5">
        <f>IFERROR(__xludf.DUMMYFUNCTION("""COMPUTED_VALUE"""),14649.0)</f>
        <v>14649</v>
      </c>
      <c r="H642" s="5">
        <f>IFERROR(__xludf.DUMMYFUNCTION("""COMPUTED_VALUE"""),3832.0)</f>
        <v>3832</v>
      </c>
    </row>
    <row r="643">
      <c r="A643" s="4">
        <f>IFERROR(__xludf.DUMMYFUNCTION("""COMPUTED_VALUE"""),43011.0)</f>
        <v>43011</v>
      </c>
      <c r="B643" s="5">
        <f>IFERROR(__xludf.DUMMYFUNCTION("""COMPUTED_VALUE"""),3430.0)</f>
        <v>3430</v>
      </c>
      <c r="C643" s="6">
        <f>IFERROR(__xludf.DUMMYFUNCTION("""COMPUTED_VALUE"""),0.5193)</f>
        <v>0.5193</v>
      </c>
      <c r="D643" s="2">
        <f>IFERROR(__xludf.DUMMYFUNCTION("""COMPUTED_VALUE"""),0.0017592592592592592)</f>
        <v>0.001759259259</v>
      </c>
      <c r="E643" s="1">
        <f>IFERROR(__xludf.DUMMYFUNCTION("""COMPUTED_VALUE"""),1.15)</f>
        <v>1.15</v>
      </c>
      <c r="F643" s="1">
        <f>IFERROR(__xludf.DUMMYFUNCTION("""COMPUTED_VALUE"""),3.77)</f>
        <v>3.77</v>
      </c>
      <c r="G643" s="5">
        <f>IFERROR(__xludf.DUMMYFUNCTION("""COMPUTED_VALUE"""),14830.0)</f>
        <v>14830</v>
      </c>
      <c r="H643" s="5">
        <f>IFERROR(__xludf.DUMMYFUNCTION("""COMPUTED_VALUE"""),3930.0)</f>
        <v>3930</v>
      </c>
    </row>
    <row r="644">
      <c r="A644" s="4">
        <f>IFERROR(__xludf.DUMMYFUNCTION("""COMPUTED_VALUE"""),43012.0)</f>
        <v>43012</v>
      </c>
      <c r="B644" s="5">
        <f>IFERROR(__xludf.DUMMYFUNCTION("""COMPUTED_VALUE"""),5138.0)</f>
        <v>5138</v>
      </c>
      <c r="C644" s="6">
        <f>IFERROR(__xludf.DUMMYFUNCTION("""COMPUTED_VALUE"""),0.5088)</f>
        <v>0.5088</v>
      </c>
      <c r="D644" s="2">
        <f>IFERROR(__xludf.DUMMYFUNCTION("""COMPUTED_VALUE"""),0.0012731481481481483)</f>
        <v>0.001273148148</v>
      </c>
      <c r="E644" s="1">
        <f>IFERROR(__xludf.DUMMYFUNCTION("""COMPUTED_VALUE"""),1.09)</f>
        <v>1.09</v>
      </c>
      <c r="F644" s="1">
        <f>IFERROR(__xludf.DUMMYFUNCTION("""COMPUTED_VALUE"""),3.37)</f>
        <v>3.37</v>
      </c>
      <c r="G644" s="5">
        <f>IFERROR(__xludf.DUMMYFUNCTION("""COMPUTED_VALUE"""),18856.0)</f>
        <v>18856</v>
      </c>
      <c r="H644" s="5">
        <f>IFERROR(__xludf.DUMMYFUNCTION("""COMPUTED_VALUE"""),5596.0)</f>
        <v>5596</v>
      </c>
    </row>
    <row r="645">
      <c r="A645" s="4">
        <f>IFERROR(__xludf.DUMMYFUNCTION("""COMPUTED_VALUE"""),43013.0)</f>
        <v>43013</v>
      </c>
      <c r="B645" s="5">
        <f>IFERROR(__xludf.DUMMYFUNCTION("""COMPUTED_VALUE"""),4499.0)</f>
        <v>4499</v>
      </c>
      <c r="C645" s="6">
        <f>IFERROR(__xludf.DUMMYFUNCTION("""COMPUTED_VALUE"""),0.5652)</f>
        <v>0.5652</v>
      </c>
      <c r="D645" s="2">
        <f>IFERROR(__xludf.DUMMYFUNCTION("""COMPUTED_VALUE"""),0.001585648148148148)</f>
        <v>0.001585648148</v>
      </c>
      <c r="E645" s="1">
        <f>IFERROR(__xludf.DUMMYFUNCTION("""COMPUTED_VALUE"""),1.14)</f>
        <v>1.14</v>
      </c>
      <c r="F645" s="1">
        <f>IFERROR(__xludf.DUMMYFUNCTION("""COMPUTED_VALUE"""),4.01)</f>
        <v>4.01</v>
      </c>
      <c r="G645" s="5">
        <f>IFERROR(__xludf.DUMMYFUNCTION("""COMPUTED_VALUE"""),20495.0)</f>
        <v>20495</v>
      </c>
      <c r="H645" s="5">
        <f>IFERROR(__xludf.DUMMYFUNCTION("""COMPUTED_VALUE"""),5110.0)</f>
        <v>5110</v>
      </c>
    </row>
    <row r="646">
      <c r="A646" s="4">
        <f>IFERROR(__xludf.DUMMYFUNCTION("""COMPUTED_VALUE"""),43014.0)</f>
        <v>43014</v>
      </c>
      <c r="B646" s="5">
        <f>IFERROR(__xludf.DUMMYFUNCTION("""COMPUTED_VALUE"""),3971.0)</f>
        <v>3971</v>
      </c>
      <c r="C646" s="6">
        <f>IFERROR(__xludf.DUMMYFUNCTION("""COMPUTED_VALUE"""),0.59)</f>
        <v>0.59</v>
      </c>
      <c r="D646" s="2">
        <f>IFERROR(__xludf.DUMMYFUNCTION("""COMPUTED_VALUE"""),0.0016319444444444445)</f>
        <v>0.001631944444</v>
      </c>
      <c r="E646" s="1">
        <f>IFERROR(__xludf.DUMMYFUNCTION("""COMPUTED_VALUE"""),1.11)</f>
        <v>1.11</v>
      </c>
      <c r="F646" s="1">
        <f>IFERROR(__xludf.DUMMYFUNCTION("""COMPUTED_VALUE"""),3.82)</f>
        <v>3.82</v>
      </c>
      <c r="G646" s="5">
        <f>IFERROR(__xludf.DUMMYFUNCTION("""COMPUTED_VALUE"""),16815.0)</f>
        <v>16815</v>
      </c>
      <c r="H646" s="5">
        <f>IFERROR(__xludf.DUMMYFUNCTION("""COMPUTED_VALUE"""),4402.0)</f>
        <v>4402</v>
      </c>
    </row>
    <row r="647">
      <c r="A647" s="4">
        <f>IFERROR(__xludf.DUMMYFUNCTION("""COMPUTED_VALUE"""),43015.0)</f>
        <v>43015</v>
      </c>
      <c r="B647" s="5">
        <f>IFERROR(__xludf.DUMMYFUNCTION("""COMPUTED_VALUE"""),3346.0)</f>
        <v>3346</v>
      </c>
      <c r="C647" s="6">
        <f>IFERROR(__xludf.DUMMYFUNCTION("""COMPUTED_VALUE"""),0.6407)</f>
        <v>0.6407</v>
      </c>
      <c r="D647" s="2">
        <f>IFERROR(__xludf.DUMMYFUNCTION("""COMPUTED_VALUE"""),0.0011921296296296296)</f>
        <v>0.00119212963</v>
      </c>
      <c r="E647" s="1">
        <f>IFERROR(__xludf.DUMMYFUNCTION("""COMPUTED_VALUE"""),1.12)</f>
        <v>1.12</v>
      </c>
      <c r="F647" s="1">
        <f>IFERROR(__xludf.DUMMYFUNCTION("""COMPUTED_VALUE"""),3.46)</f>
        <v>3.46</v>
      </c>
      <c r="G647" s="5">
        <f>IFERROR(__xludf.DUMMYFUNCTION("""COMPUTED_VALUE"""),12955.0)</f>
        <v>12955</v>
      </c>
      <c r="H647" s="5">
        <f>IFERROR(__xludf.DUMMYFUNCTION("""COMPUTED_VALUE"""),3749.0)</f>
        <v>3749</v>
      </c>
    </row>
    <row r="648">
      <c r="A648" s="4">
        <f>IFERROR(__xludf.DUMMYFUNCTION("""COMPUTED_VALUE"""),43016.0)</f>
        <v>43016</v>
      </c>
      <c r="B648" s="5">
        <f>IFERROR(__xludf.DUMMYFUNCTION("""COMPUTED_VALUE"""),3208.0)</f>
        <v>3208</v>
      </c>
      <c r="C648" s="6">
        <f>IFERROR(__xludf.DUMMYFUNCTION("""COMPUTED_VALUE"""),0.6023)</f>
        <v>0.6023</v>
      </c>
      <c r="D648" s="2">
        <f>IFERROR(__xludf.DUMMYFUNCTION("""COMPUTED_VALUE"""),0.0014930555555555556)</f>
        <v>0.001493055556</v>
      </c>
      <c r="E648" s="1">
        <f>IFERROR(__xludf.DUMMYFUNCTION("""COMPUTED_VALUE"""),1.12)</f>
        <v>1.12</v>
      </c>
      <c r="F648" s="1">
        <f>IFERROR(__xludf.DUMMYFUNCTION("""COMPUTED_VALUE"""),3.57)</f>
        <v>3.57</v>
      </c>
      <c r="G648" s="5">
        <f>IFERROR(__xludf.DUMMYFUNCTION("""COMPUTED_VALUE"""),12830.0)</f>
        <v>12830</v>
      </c>
      <c r="H648" s="5">
        <f>IFERROR(__xludf.DUMMYFUNCTION("""COMPUTED_VALUE"""),3596.0)</f>
        <v>3596</v>
      </c>
    </row>
    <row r="649">
      <c r="A649" s="4">
        <f>IFERROR(__xludf.DUMMYFUNCTION("""COMPUTED_VALUE"""),43017.0)</f>
        <v>43017</v>
      </c>
      <c r="B649" s="5">
        <f>IFERROR(__xludf.DUMMYFUNCTION("""COMPUTED_VALUE"""),3832.0)</f>
        <v>3832</v>
      </c>
      <c r="C649" s="6">
        <f>IFERROR(__xludf.DUMMYFUNCTION("""COMPUTED_VALUE"""),0.5175)</f>
        <v>0.5175</v>
      </c>
      <c r="D649" s="2">
        <f>IFERROR(__xludf.DUMMYFUNCTION("""COMPUTED_VALUE"""),0.0017592592592592592)</f>
        <v>0.001759259259</v>
      </c>
      <c r="E649" s="1">
        <f>IFERROR(__xludf.DUMMYFUNCTION("""COMPUTED_VALUE"""),1.13)</f>
        <v>1.13</v>
      </c>
      <c r="F649" s="1">
        <f>IFERROR(__xludf.DUMMYFUNCTION("""COMPUTED_VALUE"""),3.82)</f>
        <v>3.82</v>
      </c>
      <c r="G649" s="5">
        <f>IFERROR(__xludf.DUMMYFUNCTION("""COMPUTED_VALUE"""),16621.0)</f>
        <v>16621</v>
      </c>
      <c r="H649" s="5">
        <f>IFERROR(__xludf.DUMMYFUNCTION("""COMPUTED_VALUE"""),4346.0)</f>
        <v>4346</v>
      </c>
    </row>
    <row r="650">
      <c r="A650" s="4">
        <f>IFERROR(__xludf.DUMMYFUNCTION("""COMPUTED_VALUE"""),43018.0)</f>
        <v>43018</v>
      </c>
      <c r="B650" s="5">
        <f>IFERROR(__xludf.DUMMYFUNCTION("""COMPUTED_VALUE"""),3818.0)</f>
        <v>3818</v>
      </c>
      <c r="C650" s="6">
        <f>IFERROR(__xludf.DUMMYFUNCTION("""COMPUTED_VALUE"""),0.5646)</f>
        <v>0.5646</v>
      </c>
      <c r="D650" s="2">
        <f>IFERROR(__xludf.DUMMYFUNCTION("""COMPUTED_VALUE"""),0.0016782407407407408)</f>
        <v>0.001678240741</v>
      </c>
      <c r="E650" s="1">
        <f>IFERROR(__xludf.DUMMYFUNCTION("""COMPUTED_VALUE"""),1.13)</f>
        <v>1.13</v>
      </c>
      <c r="F650" s="1">
        <f>IFERROR(__xludf.DUMMYFUNCTION("""COMPUTED_VALUE"""),3.42)</f>
        <v>3.42</v>
      </c>
      <c r="G650" s="5">
        <f>IFERROR(__xludf.DUMMYFUNCTION("""COMPUTED_VALUE"""),14732.0)</f>
        <v>14732</v>
      </c>
      <c r="H650" s="5">
        <f>IFERROR(__xludf.DUMMYFUNCTION("""COMPUTED_VALUE"""),4304.0)</f>
        <v>4304</v>
      </c>
    </row>
    <row r="651">
      <c r="A651" s="4">
        <f>IFERROR(__xludf.DUMMYFUNCTION("""COMPUTED_VALUE"""),43019.0)</f>
        <v>43019</v>
      </c>
      <c r="B651" s="5">
        <f>IFERROR(__xludf.DUMMYFUNCTION("""COMPUTED_VALUE"""),3221.0)</f>
        <v>3221</v>
      </c>
      <c r="C651" s="6">
        <f>IFERROR(__xludf.DUMMYFUNCTION("""COMPUTED_VALUE"""),0.4848)</f>
        <v>0.4848</v>
      </c>
      <c r="D651" s="2">
        <f>IFERROR(__xludf.DUMMYFUNCTION("""COMPUTED_VALUE"""),0.0019328703703703704)</f>
        <v>0.00193287037</v>
      </c>
      <c r="E651" s="1">
        <f>IFERROR(__xludf.DUMMYFUNCTION("""COMPUTED_VALUE"""),1.15)</f>
        <v>1.15</v>
      </c>
      <c r="F651" s="1">
        <f>IFERROR(__xludf.DUMMYFUNCTION("""COMPUTED_VALUE"""),4.55)</f>
        <v>4.55</v>
      </c>
      <c r="G651" s="5">
        <f>IFERROR(__xludf.DUMMYFUNCTION("""COMPUTED_VALUE"""),16801.0)</f>
        <v>16801</v>
      </c>
      <c r="H651" s="5">
        <f>IFERROR(__xludf.DUMMYFUNCTION("""COMPUTED_VALUE"""),3694.0)</f>
        <v>3694</v>
      </c>
    </row>
    <row r="652">
      <c r="A652" s="4">
        <f>IFERROR(__xludf.DUMMYFUNCTION("""COMPUTED_VALUE"""),43020.0)</f>
        <v>43020</v>
      </c>
      <c r="B652" s="5">
        <f>IFERROR(__xludf.DUMMYFUNCTION("""COMPUTED_VALUE"""),2902.0)</f>
        <v>2902</v>
      </c>
      <c r="C652" s="6">
        <f>IFERROR(__xludf.DUMMYFUNCTION("""COMPUTED_VALUE"""),0.4855)</f>
        <v>0.4855</v>
      </c>
      <c r="D652" s="2">
        <f>IFERROR(__xludf.DUMMYFUNCTION("""COMPUTED_VALUE"""),0.0018402777777777777)</f>
        <v>0.001840277778</v>
      </c>
      <c r="E652" s="1">
        <f>IFERROR(__xludf.DUMMYFUNCTION("""COMPUTED_VALUE"""),1.16)</f>
        <v>1.16</v>
      </c>
      <c r="F652" s="1">
        <f>IFERROR(__xludf.DUMMYFUNCTION("""COMPUTED_VALUE"""),4.03)</f>
        <v>4.03</v>
      </c>
      <c r="G652" s="5">
        <f>IFERROR(__xludf.DUMMYFUNCTION("""COMPUTED_VALUE"""),13594.0)</f>
        <v>13594</v>
      </c>
      <c r="H652" s="5">
        <f>IFERROR(__xludf.DUMMYFUNCTION("""COMPUTED_VALUE"""),3374.0)</f>
        <v>3374</v>
      </c>
    </row>
    <row r="653">
      <c r="A653" s="4">
        <f>IFERROR(__xludf.DUMMYFUNCTION("""COMPUTED_VALUE"""),43021.0)</f>
        <v>43021</v>
      </c>
      <c r="B653" s="5">
        <f>IFERROR(__xludf.DUMMYFUNCTION("""COMPUTED_VALUE"""),2597.0)</f>
        <v>2597</v>
      </c>
      <c r="C653" s="6">
        <f>IFERROR(__xludf.DUMMYFUNCTION("""COMPUTED_VALUE"""),0.4653)</f>
        <v>0.4653</v>
      </c>
      <c r="D653" s="2">
        <f>IFERROR(__xludf.DUMMYFUNCTION("""COMPUTED_VALUE"""),0.0021643518518518518)</f>
        <v>0.002164351852</v>
      </c>
      <c r="E653" s="1">
        <f>IFERROR(__xludf.DUMMYFUNCTION("""COMPUTED_VALUE"""),1.15)</f>
        <v>1.15</v>
      </c>
      <c r="F653" s="1">
        <f>IFERROR(__xludf.DUMMYFUNCTION("""COMPUTED_VALUE"""),5.48)</f>
        <v>5.48</v>
      </c>
      <c r="G653" s="5">
        <f>IFERROR(__xludf.DUMMYFUNCTION("""COMPUTED_VALUE"""),16371.0)</f>
        <v>16371</v>
      </c>
      <c r="H653" s="5">
        <f>IFERROR(__xludf.DUMMYFUNCTION("""COMPUTED_VALUE"""),2985.0)</f>
        <v>2985</v>
      </c>
    </row>
    <row r="654">
      <c r="A654" s="4">
        <f>IFERROR(__xludf.DUMMYFUNCTION("""COMPUTED_VALUE"""),43022.0)</f>
        <v>43022</v>
      </c>
      <c r="B654" s="5">
        <f>IFERROR(__xludf.DUMMYFUNCTION("""COMPUTED_VALUE"""),2333.0)</f>
        <v>2333</v>
      </c>
      <c r="C654" s="6">
        <f>IFERROR(__xludf.DUMMYFUNCTION("""COMPUTED_VALUE"""),0.5323)</f>
        <v>0.5323</v>
      </c>
      <c r="D654" s="2">
        <f>IFERROR(__xludf.DUMMYFUNCTION("""COMPUTED_VALUE"""),0.0011689814814814816)</f>
        <v>0.001168981481</v>
      </c>
      <c r="E654" s="1">
        <f>IFERROR(__xludf.DUMMYFUNCTION("""COMPUTED_VALUE"""),1.11)</f>
        <v>1.11</v>
      </c>
      <c r="F654" s="1">
        <f>IFERROR(__xludf.DUMMYFUNCTION("""COMPUTED_VALUE"""),3.23)</f>
        <v>3.23</v>
      </c>
      <c r="G654" s="5">
        <f>IFERROR(__xludf.DUMMYFUNCTION("""COMPUTED_VALUE"""),8331.0)</f>
        <v>8331</v>
      </c>
      <c r="H654" s="5">
        <f>IFERROR(__xludf.DUMMYFUNCTION("""COMPUTED_VALUE"""),2583.0)</f>
        <v>2583</v>
      </c>
    </row>
    <row r="655">
      <c r="A655" s="4">
        <f>IFERROR(__xludf.DUMMYFUNCTION("""COMPUTED_VALUE"""),43023.0)</f>
        <v>43023</v>
      </c>
      <c r="B655" s="5">
        <f>IFERROR(__xludf.DUMMYFUNCTION("""COMPUTED_VALUE"""),2027.0)</f>
        <v>2027</v>
      </c>
      <c r="C655" s="6">
        <f>IFERROR(__xludf.DUMMYFUNCTION("""COMPUTED_VALUE"""),0.4971)</f>
        <v>0.4971</v>
      </c>
      <c r="D655" s="2">
        <f>IFERROR(__xludf.DUMMYFUNCTION("""COMPUTED_VALUE"""),0.0020717592592592593)</f>
        <v>0.002071759259</v>
      </c>
      <c r="E655" s="1">
        <f>IFERROR(__xludf.DUMMYFUNCTION("""COMPUTED_VALUE"""),1.12)</f>
        <v>1.12</v>
      </c>
      <c r="F655" s="1">
        <f>IFERROR(__xludf.DUMMYFUNCTION("""COMPUTED_VALUE"""),4.99)</f>
        <v>4.99</v>
      </c>
      <c r="G655" s="5">
        <f>IFERROR(__xludf.DUMMYFUNCTION("""COMPUTED_VALUE"""),11303.0)</f>
        <v>11303</v>
      </c>
      <c r="H655" s="5">
        <f>IFERROR(__xludf.DUMMYFUNCTION("""COMPUTED_VALUE"""),2263.0)</f>
        <v>2263</v>
      </c>
    </row>
    <row r="656">
      <c r="A656" s="4">
        <f>IFERROR(__xludf.DUMMYFUNCTION("""COMPUTED_VALUE"""),43024.0)</f>
        <v>43024</v>
      </c>
      <c r="B656" s="5">
        <f>IFERROR(__xludf.DUMMYFUNCTION("""COMPUTED_VALUE"""),2902.0)</f>
        <v>2902</v>
      </c>
      <c r="C656" s="6">
        <f>IFERROR(__xludf.DUMMYFUNCTION("""COMPUTED_VALUE"""),0.4831)</f>
        <v>0.4831</v>
      </c>
      <c r="D656" s="2">
        <f>IFERROR(__xludf.DUMMYFUNCTION("""COMPUTED_VALUE"""),0.002337962962962963)</f>
        <v>0.002337962963</v>
      </c>
      <c r="E656" s="1">
        <f>IFERROR(__xludf.DUMMYFUNCTION("""COMPUTED_VALUE"""),1.13)</f>
        <v>1.13</v>
      </c>
      <c r="F656" s="1">
        <f>IFERROR(__xludf.DUMMYFUNCTION("""COMPUTED_VALUE"""),5.32)</f>
        <v>5.32</v>
      </c>
      <c r="G656" s="5">
        <f>IFERROR(__xludf.DUMMYFUNCTION("""COMPUTED_VALUE"""),17426.0)</f>
        <v>17426</v>
      </c>
      <c r="H656" s="5">
        <f>IFERROR(__xludf.DUMMYFUNCTION("""COMPUTED_VALUE"""),3277.0)</f>
        <v>3277</v>
      </c>
    </row>
    <row r="657">
      <c r="A657" s="4">
        <f>IFERROR(__xludf.DUMMYFUNCTION("""COMPUTED_VALUE"""),43025.0)</f>
        <v>43025</v>
      </c>
      <c r="B657" s="5">
        <f>IFERROR(__xludf.DUMMYFUNCTION("""COMPUTED_VALUE"""),4124.0)</f>
        <v>4124</v>
      </c>
      <c r="C657" s="6">
        <f>IFERROR(__xludf.DUMMYFUNCTION("""COMPUTED_VALUE"""),0.4969)</f>
        <v>0.4969</v>
      </c>
      <c r="D657" s="2">
        <f>IFERROR(__xludf.DUMMYFUNCTION("""COMPUTED_VALUE"""),0.0014467592592592592)</f>
        <v>0.001446759259</v>
      </c>
      <c r="E657" s="1">
        <f>IFERROR(__xludf.DUMMYFUNCTION("""COMPUTED_VALUE"""),1.1)</f>
        <v>1.1</v>
      </c>
      <c r="F657" s="1">
        <f>IFERROR(__xludf.DUMMYFUNCTION("""COMPUTED_VALUE"""),4.25)</f>
        <v>4.25</v>
      </c>
      <c r="G657" s="5">
        <f>IFERROR(__xludf.DUMMYFUNCTION("""COMPUTED_VALUE"""),19342.0)</f>
        <v>19342</v>
      </c>
      <c r="H657" s="5">
        <f>IFERROR(__xludf.DUMMYFUNCTION("""COMPUTED_VALUE"""),4554.0)</f>
        <v>4554</v>
      </c>
    </row>
    <row r="658">
      <c r="A658" s="4">
        <f>IFERROR(__xludf.DUMMYFUNCTION("""COMPUTED_VALUE"""),43026.0)</f>
        <v>43026</v>
      </c>
      <c r="B658" s="5">
        <f>IFERROR(__xludf.DUMMYFUNCTION("""COMPUTED_VALUE"""),3444.0)</f>
        <v>3444</v>
      </c>
      <c r="C658" s="6">
        <f>IFERROR(__xludf.DUMMYFUNCTION("""COMPUTED_VALUE"""),0.4703)</f>
        <v>0.4703</v>
      </c>
      <c r="D658" s="2">
        <f>IFERROR(__xludf.DUMMYFUNCTION("""COMPUTED_VALUE"""),0.001851851851851852)</f>
        <v>0.001851851852</v>
      </c>
      <c r="E658" s="1">
        <f>IFERROR(__xludf.DUMMYFUNCTION("""COMPUTED_VALUE"""),1.09)</f>
        <v>1.09</v>
      </c>
      <c r="F658" s="1">
        <f>IFERROR(__xludf.DUMMYFUNCTION("""COMPUTED_VALUE"""),4.73)</f>
        <v>4.73</v>
      </c>
      <c r="G658" s="5">
        <f>IFERROR(__xludf.DUMMYFUNCTION("""COMPUTED_VALUE"""),17732.0)</f>
        <v>17732</v>
      </c>
      <c r="H658" s="5">
        <f>IFERROR(__xludf.DUMMYFUNCTION("""COMPUTED_VALUE"""),3749.0)</f>
        <v>3749</v>
      </c>
    </row>
    <row r="659">
      <c r="A659" s="4">
        <f>IFERROR(__xludf.DUMMYFUNCTION("""COMPUTED_VALUE"""),43027.0)</f>
        <v>43027</v>
      </c>
      <c r="B659" s="5">
        <f>IFERROR(__xludf.DUMMYFUNCTION("""COMPUTED_VALUE"""),3110.0)</f>
        <v>3110</v>
      </c>
      <c r="C659" s="6">
        <f>IFERROR(__xludf.DUMMYFUNCTION("""COMPUTED_VALUE"""),0.5407)</f>
        <v>0.5407</v>
      </c>
      <c r="D659" s="2">
        <f>IFERROR(__xludf.DUMMYFUNCTION("""COMPUTED_VALUE"""),0.0012962962962962963)</f>
        <v>0.001296296296</v>
      </c>
      <c r="E659" s="1">
        <f>IFERROR(__xludf.DUMMYFUNCTION("""COMPUTED_VALUE"""),1.1)</f>
        <v>1.1</v>
      </c>
      <c r="F659" s="1">
        <f>IFERROR(__xludf.DUMMYFUNCTION("""COMPUTED_VALUE"""),3.79)</f>
        <v>3.79</v>
      </c>
      <c r="G659" s="5">
        <f>IFERROR(__xludf.DUMMYFUNCTION("""COMPUTED_VALUE"""),12955.0)</f>
        <v>12955</v>
      </c>
      <c r="H659" s="5">
        <f>IFERROR(__xludf.DUMMYFUNCTION("""COMPUTED_VALUE"""),3416.0)</f>
        <v>3416</v>
      </c>
    </row>
    <row r="660">
      <c r="A660" s="4">
        <f>IFERROR(__xludf.DUMMYFUNCTION("""COMPUTED_VALUE"""),43028.0)</f>
        <v>43028</v>
      </c>
      <c r="B660" s="5">
        <f>IFERROR(__xludf.DUMMYFUNCTION("""COMPUTED_VALUE"""),2916.0)</f>
        <v>2916</v>
      </c>
      <c r="C660" s="6">
        <f>IFERROR(__xludf.DUMMYFUNCTION("""COMPUTED_VALUE"""),0.4808)</f>
        <v>0.4808</v>
      </c>
      <c r="D660" s="2">
        <f>IFERROR(__xludf.DUMMYFUNCTION("""COMPUTED_VALUE"""),0.0019328703703703704)</f>
        <v>0.00193287037</v>
      </c>
      <c r="E660" s="1">
        <f>IFERROR(__xludf.DUMMYFUNCTION("""COMPUTED_VALUE"""),1.12)</f>
        <v>1.12</v>
      </c>
      <c r="F660" s="1">
        <f>IFERROR(__xludf.DUMMYFUNCTION("""COMPUTED_VALUE"""),5.16)</f>
        <v>5.16</v>
      </c>
      <c r="G660" s="5">
        <f>IFERROR(__xludf.DUMMYFUNCTION("""COMPUTED_VALUE"""),16829.0)</f>
        <v>16829</v>
      </c>
      <c r="H660" s="5">
        <f>IFERROR(__xludf.DUMMYFUNCTION("""COMPUTED_VALUE"""),3263.0)</f>
        <v>3263</v>
      </c>
    </row>
    <row r="661">
      <c r="A661" s="4">
        <f>IFERROR(__xludf.DUMMYFUNCTION("""COMPUTED_VALUE"""),43029.0)</f>
        <v>43029</v>
      </c>
      <c r="B661" s="5">
        <f>IFERROR(__xludf.DUMMYFUNCTION("""COMPUTED_VALUE"""),2222.0)</f>
        <v>2222</v>
      </c>
      <c r="C661" s="6">
        <f>IFERROR(__xludf.DUMMYFUNCTION("""COMPUTED_VALUE"""),0.4884)</f>
        <v>0.4884</v>
      </c>
      <c r="D661" s="2">
        <f>IFERROR(__xludf.DUMMYFUNCTION("""COMPUTED_VALUE"""),0.001400462962962963)</f>
        <v>0.001400462963</v>
      </c>
      <c r="E661" s="1">
        <f>IFERROR(__xludf.DUMMYFUNCTION("""COMPUTED_VALUE"""),1.09)</f>
        <v>1.09</v>
      </c>
      <c r="F661" s="1">
        <f>IFERROR(__xludf.DUMMYFUNCTION("""COMPUTED_VALUE"""),4.01)</f>
        <v>4.01</v>
      </c>
      <c r="G661" s="5">
        <f>IFERROR(__xludf.DUMMYFUNCTION("""COMPUTED_VALUE"""),9692.0)</f>
        <v>9692</v>
      </c>
      <c r="H661" s="5">
        <f>IFERROR(__xludf.DUMMYFUNCTION("""COMPUTED_VALUE"""),2416.0)</f>
        <v>2416</v>
      </c>
    </row>
    <row r="662">
      <c r="A662" s="4">
        <f>IFERROR(__xludf.DUMMYFUNCTION("""COMPUTED_VALUE"""),43030.0)</f>
        <v>43030</v>
      </c>
      <c r="B662" s="5">
        <f>IFERROR(__xludf.DUMMYFUNCTION("""COMPUTED_VALUE"""),2527.0)</f>
        <v>2527</v>
      </c>
      <c r="C662" s="6">
        <f>IFERROR(__xludf.DUMMYFUNCTION("""COMPUTED_VALUE"""),0.4335)</f>
        <v>0.4335</v>
      </c>
      <c r="D662" s="2">
        <f>IFERROR(__xludf.DUMMYFUNCTION("""COMPUTED_VALUE"""),0.0014814814814814814)</f>
        <v>0.001481481481</v>
      </c>
      <c r="E662" s="1">
        <f>IFERROR(__xludf.DUMMYFUNCTION("""COMPUTED_VALUE"""),1.15)</f>
        <v>1.15</v>
      </c>
      <c r="F662" s="1">
        <f>IFERROR(__xludf.DUMMYFUNCTION("""COMPUTED_VALUE"""),4.41)</f>
        <v>4.41</v>
      </c>
      <c r="G662" s="5">
        <f>IFERROR(__xludf.DUMMYFUNCTION("""COMPUTED_VALUE"""),12858.0)</f>
        <v>12858</v>
      </c>
      <c r="H662" s="5">
        <f>IFERROR(__xludf.DUMMYFUNCTION("""COMPUTED_VALUE"""),2916.0)</f>
        <v>2916</v>
      </c>
    </row>
    <row r="663">
      <c r="A663" s="4">
        <f>IFERROR(__xludf.DUMMYFUNCTION("""COMPUTED_VALUE"""),43031.0)</f>
        <v>43031</v>
      </c>
      <c r="B663" s="5">
        <f>IFERROR(__xludf.DUMMYFUNCTION("""COMPUTED_VALUE"""),3430.0)</f>
        <v>3430</v>
      </c>
      <c r="C663" s="6">
        <f>IFERROR(__xludf.DUMMYFUNCTION("""COMPUTED_VALUE"""),0.451)</f>
        <v>0.451</v>
      </c>
      <c r="D663" s="2">
        <f>IFERROR(__xludf.DUMMYFUNCTION("""COMPUTED_VALUE"""),0.0014930555555555556)</f>
        <v>0.001493055556</v>
      </c>
      <c r="E663" s="1">
        <f>IFERROR(__xludf.DUMMYFUNCTION("""COMPUTED_VALUE"""),1.11)</f>
        <v>1.11</v>
      </c>
      <c r="F663" s="1">
        <f>IFERROR(__xludf.DUMMYFUNCTION("""COMPUTED_VALUE"""),4.17)</f>
        <v>4.17</v>
      </c>
      <c r="G663" s="5">
        <f>IFERROR(__xludf.DUMMYFUNCTION("""COMPUTED_VALUE"""),15927.0)</f>
        <v>15927</v>
      </c>
      <c r="H663" s="5">
        <f>IFERROR(__xludf.DUMMYFUNCTION("""COMPUTED_VALUE"""),3818.0)</f>
        <v>3818</v>
      </c>
    </row>
    <row r="664">
      <c r="A664" s="4">
        <f>IFERROR(__xludf.DUMMYFUNCTION("""COMPUTED_VALUE"""),43032.0)</f>
        <v>43032</v>
      </c>
      <c r="B664" s="5">
        <f>IFERROR(__xludf.DUMMYFUNCTION("""COMPUTED_VALUE"""),3235.0)</f>
        <v>3235</v>
      </c>
      <c r="C664" s="6">
        <f>IFERROR(__xludf.DUMMYFUNCTION("""COMPUTED_VALUE"""),0.469)</f>
        <v>0.469</v>
      </c>
      <c r="D664" s="2">
        <f>IFERROR(__xludf.DUMMYFUNCTION("""COMPUTED_VALUE"""),0.001724537037037037)</f>
        <v>0.001724537037</v>
      </c>
      <c r="E664" s="1">
        <f>IFERROR(__xludf.DUMMYFUNCTION("""COMPUTED_VALUE"""),1.11)</f>
        <v>1.11</v>
      </c>
      <c r="F664" s="1">
        <f>IFERROR(__xludf.DUMMYFUNCTION("""COMPUTED_VALUE"""),4.73)</f>
        <v>4.73</v>
      </c>
      <c r="G664" s="5">
        <f>IFERROR(__xludf.DUMMYFUNCTION("""COMPUTED_VALUE"""),16940.0)</f>
        <v>16940</v>
      </c>
      <c r="H664" s="5">
        <f>IFERROR(__xludf.DUMMYFUNCTION("""COMPUTED_VALUE"""),3582.0)</f>
        <v>3582</v>
      </c>
    </row>
    <row r="665">
      <c r="A665" s="4">
        <f>IFERROR(__xludf.DUMMYFUNCTION("""COMPUTED_VALUE"""),43033.0)</f>
        <v>43033</v>
      </c>
      <c r="B665" s="5">
        <f>IFERROR(__xludf.DUMMYFUNCTION("""COMPUTED_VALUE"""),3249.0)</f>
        <v>3249</v>
      </c>
      <c r="C665" s="6">
        <f>IFERROR(__xludf.DUMMYFUNCTION("""COMPUTED_VALUE"""),0.4979)</f>
        <v>0.4979</v>
      </c>
      <c r="D665" s="2">
        <f>IFERROR(__xludf.DUMMYFUNCTION("""COMPUTED_VALUE"""),0.001736111111111111)</f>
        <v>0.001736111111</v>
      </c>
      <c r="E665" s="1">
        <f>IFERROR(__xludf.DUMMYFUNCTION("""COMPUTED_VALUE"""),1.1)</f>
        <v>1.1</v>
      </c>
      <c r="F665" s="1">
        <f>IFERROR(__xludf.DUMMYFUNCTION("""COMPUTED_VALUE"""),5.03)</f>
        <v>5.03</v>
      </c>
      <c r="G665" s="5">
        <f>IFERROR(__xludf.DUMMYFUNCTION("""COMPUTED_VALUE"""),17968.0)</f>
        <v>17968</v>
      </c>
      <c r="H665" s="5">
        <f>IFERROR(__xludf.DUMMYFUNCTION("""COMPUTED_VALUE"""),3569.0)</f>
        <v>3569</v>
      </c>
    </row>
    <row r="666">
      <c r="A666" s="4">
        <f>IFERROR(__xludf.DUMMYFUNCTION("""COMPUTED_VALUE"""),43034.0)</f>
        <v>43034</v>
      </c>
      <c r="B666" s="5">
        <f>IFERROR(__xludf.DUMMYFUNCTION("""COMPUTED_VALUE"""),3166.0)</f>
        <v>3166</v>
      </c>
      <c r="C666" s="6">
        <f>IFERROR(__xludf.DUMMYFUNCTION("""COMPUTED_VALUE"""),0.4691)</f>
        <v>0.4691</v>
      </c>
      <c r="D666" s="2">
        <f>IFERROR(__xludf.DUMMYFUNCTION("""COMPUTED_VALUE"""),0.0019444444444444444)</f>
        <v>0.001944444444</v>
      </c>
      <c r="E666" s="1">
        <f>IFERROR(__xludf.DUMMYFUNCTION("""COMPUTED_VALUE"""),1.21)</f>
        <v>1.21</v>
      </c>
      <c r="F666" s="1">
        <f>IFERROR(__xludf.DUMMYFUNCTION("""COMPUTED_VALUE"""),4.47)</f>
        <v>4.47</v>
      </c>
      <c r="G666" s="5">
        <f>IFERROR(__xludf.DUMMYFUNCTION("""COMPUTED_VALUE"""),17065.0)</f>
        <v>17065</v>
      </c>
      <c r="H666" s="5">
        <f>IFERROR(__xludf.DUMMYFUNCTION("""COMPUTED_VALUE"""),3818.0)</f>
        <v>3818</v>
      </c>
    </row>
    <row r="667">
      <c r="A667" s="4">
        <f>IFERROR(__xludf.DUMMYFUNCTION("""COMPUTED_VALUE"""),43035.0)</f>
        <v>43035</v>
      </c>
      <c r="B667" s="5">
        <f>IFERROR(__xludf.DUMMYFUNCTION("""COMPUTED_VALUE"""),3041.0)</f>
        <v>3041</v>
      </c>
      <c r="C667" s="6">
        <f>IFERROR(__xludf.DUMMYFUNCTION("""COMPUTED_VALUE"""),0.4609)</f>
        <v>0.4609</v>
      </c>
      <c r="D667" s="2">
        <f>IFERROR(__xludf.DUMMYFUNCTION("""COMPUTED_VALUE"""),0.0019212962962962964)</f>
        <v>0.001921296296</v>
      </c>
      <c r="E667" s="1">
        <f>IFERROR(__xludf.DUMMYFUNCTION("""COMPUTED_VALUE"""),1.11)</f>
        <v>1.11</v>
      </c>
      <c r="F667" s="1">
        <f>IFERROR(__xludf.DUMMYFUNCTION("""COMPUTED_VALUE"""),4.46)</f>
        <v>4.46</v>
      </c>
      <c r="G667" s="5">
        <f>IFERROR(__xludf.DUMMYFUNCTION("""COMPUTED_VALUE"""),15052.0)</f>
        <v>15052</v>
      </c>
      <c r="H667" s="5">
        <f>IFERROR(__xludf.DUMMYFUNCTION("""COMPUTED_VALUE"""),3374.0)</f>
        <v>3374</v>
      </c>
    </row>
    <row r="668">
      <c r="A668" s="4">
        <f>IFERROR(__xludf.DUMMYFUNCTION("""COMPUTED_VALUE"""),43036.0)</f>
        <v>43036</v>
      </c>
      <c r="B668" s="5">
        <f>IFERROR(__xludf.DUMMYFUNCTION("""COMPUTED_VALUE"""),2291.0)</f>
        <v>2291</v>
      </c>
      <c r="C668" s="6">
        <f>IFERROR(__xludf.DUMMYFUNCTION("""COMPUTED_VALUE"""),0.548)</f>
        <v>0.548</v>
      </c>
      <c r="D668" s="2">
        <f>IFERROR(__xludf.DUMMYFUNCTION("""COMPUTED_VALUE"""),0.0013078703703703703)</f>
        <v>0.00130787037</v>
      </c>
      <c r="E668" s="1">
        <f>IFERROR(__xludf.DUMMYFUNCTION("""COMPUTED_VALUE"""),1.07)</f>
        <v>1.07</v>
      </c>
      <c r="F668" s="1">
        <f>IFERROR(__xludf.DUMMYFUNCTION("""COMPUTED_VALUE"""),3.59)</f>
        <v>3.59</v>
      </c>
      <c r="G668" s="5">
        <f>IFERROR(__xludf.DUMMYFUNCTION("""COMPUTED_VALUE"""),8817.0)</f>
        <v>8817</v>
      </c>
      <c r="H668" s="5">
        <f>IFERROR(__xludf.DUMMYFUNCTION("""COMPUTED_VALUE"""),2458.0)</f>
        <v>2458</v>
      </c>
    </row>
    <row r="669">
      <c r="A669" s="4">
        <f>IFERROR(__xludf.DUMMYFUNCTION("""COMPUTED_VALUE"""),43037.0)</f>
        <v>43037</v>
      </c>
      <c r="B669" s="5">
        <f>IFERROR(__xludf.DUMMYFUNCTION("""COMPUTED_VALUE"""),2208.0)</f>
        <v>2208</v>
      </c>
      <c r="C669" s="6">
        <f>IFERROR(__xludf.DUMMYFUNCTION("""COMPUTED_VALUE"""),0.5556)</f>
        <v>0.5556</v>
      </c>
      <c r="D669" s="2">
        <f>IFERROR(__xludf.DUMMYFUNCTION("""COMPUTED_VALUE"""),0.0013425925925925925)</f>
        <v>0.001342592593</v>
      </c>
      <c r="E669" s="1">
        <f>IFERROR(__xludf.DUMMYFUNCTION("""COMPUTED_VALUE"""),1.08)</f>
        <v>1.08</v>
      </c>
      <c r="F669" s="1">
        <f>IFERROR(__xludf.DUMMYFUNCTION("""COMPUTED_VALUE"""),4.02)</f>
        <v>4.02</v>
      </c>
      <c r="G669" s="5">
        <f>IFERROR(__xludf.DUMMYFUNCTION("""COMPUTED_VALUE"""),9553.0)</f>
        <v>9553</v>
      </c>
      <c r="H669" s="5">
        <f>IFERROR(__xludf.DUMMYFUNCTION("""COMPUTED_VALUE"""),2374.0)</f>
        <v>2374</v>
      </c>
    </row>
    <row r="670">
      <c r="A670" s="4">
        <f>IFERROR(__xludf.DUMMYFUNCTION("""COMPUTED_VALUE"""),43038.0)</f>
        <v>43038</v>
      </c>
      <c r="B670" s="5">
        <f>IFERROR(__xludf.DUMMYFUNCTION("""COMPUTED_VALUE"""),3041.0)</f>
        <v>3041</v>
      </c>
      <c r="C670" s="6">
        <f>IFERROR(__xludf.DUMMYFUNCTION("""COMPUTED_VALUE"""),0.4779)</f>
        <v>0.4779</v>
      </c>
      <c r="D670" s="2">
        <f>IFERROR(__xludf.DUMMYFUNCTION("""COMPUTED_VALUE"""),0.0016550925925925926)</f>
        <v>0.001655092593</v>
      </c>
      <c r="E670" s="1">
        <f>IFERROR(__xludf.DUMMYFUNCTION("""COMPUTED_VALUE"""),1.14)</f>
        <v>1.14</v>
      </c>
      <c r="F670" s="1">
        <f>IFERROR(__xludf.DUMMYFUNCTION("""COMPUTED_VALUE"""),4.53)</f>
        <v>4.53</v>
      </c>
      <c r="G670" s="5">
        <f>IFERROR(__xludf.DUMMYFUNCTION("""COMPUTED_VALUE"""),15649.0)</f>
        <v>15649</v>
      </c>
      <c r="H670" s="5">
        <f>IFERROR(__xludf.DUMMYFUNCTION("""COMPUTED_VALUE"""),3457.0)</f>
        <v>3457</v>
      </c>
    </row>
    <row r="671">
      <c r="A671" s="4">
        <f>IFERROR(__xludf.DUMMYFUNCTION("""COMPUTED_VALUE"""),43039.0)</f>
        <v>43039</v>
      </c>
      <c r="B671" s="5">
        <f>IFERROR(__xludf.DUMMYFUNCTION("""COMPUTED_VALUE"""),2597.0)</f>
        <v>2597</v>
      </c>
      <c r="C671" s="6">
        <f>IFERROR(__xludf.DUMMYFUNCTION("""COMPUTED_VALUE"""),0.4272)</f>
        <v>0.4272</v>
      </c>
      <c r="D671" s="2">
        <f>IFERROR(__xludf.DUMMYFUNCTION("""COMPUTED_VALUE"""),0.0018402777777777777)</f>
        <v>0.001840277778</v>
      </c>
      <c r="E671" s="1">
        <f>IFERROR(__xludf.DUMMYFUNCTION("""COMPUTED_VALUE"""),1.18)</f>
        <v>1.18</v>
      </c>
      <c r="F671" s="1">
        <f>IFERROR(__xludf.DUMMYFUNCTION("""COMPUTED_VALUE"""),4.58)</f>
        <v>4.58</v>
      </c>
      <c r="G671" s="5">
        <f>IFERROR(__xludf.DUMMYFUNCTION("""COMPUTED_VALUE"""),13983.0)</f>
        <v>13983</v>
      </c>
      <c r="H671" s="5">
        <f>IFERROR(__xludf.DUMMYFUNCTION("""COMPUTED_VALUE"""),3055.0)</f>
        <v>3055</v>
      </c>
    </row>
    <row r="672">
      <c r="A672" s="4">
        <f>IFERROR(__xludf.DUMMYFUNCTION("""COMPUTED_VALUE"""),43040.0)</f>
        <v>43040</v>
      </c>
      <c r="B672" s="5">
        <f>IFERROR(__xludf.DUMMYFUNCTION("""COMPUTED_VALUE"""),2833.0)</f>
        <v>2833</v>
      </c>
      <c r="C672" s="6">
        <f>IFERROR(__xludf.DUMMYFUNCTION("""COMPUTED_VALUE"""),0.4453)</f>
        <v>0.4453</v>
      </c>
      <c r="D672" s="2">
        <f>IFERROR(__xludf.DUMMYFUNCTION("""COMPUTED_VALUE"""),0.0017592592592592592)</f>
        <v>0.001759259259</v>
      </c>
      <c r="E672" s="1">
        <f>IFERROR(__xludf.DUMMYFUNCTION("""COMPUTED_VALUE"""),1.12)</f>
        <v>1.12</v>
      </c>
      <c r="F672" s="1">
        <f>IFERROR(__xludf.DUMMYFUNCTION("""COMPUTED_VALUE"""),4.89)</f>
        <v>4.89</v>
      </c>
      <c r="G672" s="5">
        <f>IFERROR(__xludf.DUMMYFUNCTION("""COMPUTED_VALUE"""),15538.0)</f>
        <v>15538</v>
      </c>
      <c r="H672" s="5">
        <f>IFERROR(__xludf.DUMMYFUNCTION("""COMPUTED_VALUE"""),3180.0)</f>
        <v>3180</v>
      </c>
    </row>
    <row r="673">
      <c r="A673" s="4">
        <f>IFERROR(__xludf.DUMMYFUNCTION("""COMPUTED_VALUE"""),43041.0)</f>
        <v>43041</v>
      </c>
      <c r="B673" s="5">
        <f>IFERROR(__xludf.DUMMYFUNCTION("""COMPUTED_VALUE"""),2860.0)</f>
        <v>2860</v>
      </c>
      <c r="C673" s="6">
        <f>IFERROR(__xludf.DUMMYFUNCTION("""COMPUTED_VALUE"""),0.4585)</f>
        <v>0.4585</v>
      </c>
      <c r="D673" s="2">
        <f>IFERROR(__xludf.DUMMYFUNCTION("""COMPUTED_VALUE"""),0.0014467592592592592)</f>
        <v>0.001446759259</v>
      </c>
      <c r="E673" s="1">
        <f>IFERROR(__xludf.DUMMYFUNCTION("""COMPUTED_VALUE"""),1.11)</f>
        <v>1.11</v>
      </c>
      <c r="F673" s="1">
        <f>IFERROR(__xludf.DUMMYFUNCTION("""COMPUTED_VALUE"""),4.19)</f>
        <v>4.19</v>
      </c>
      <c r="G673" s="5">
        <f>IFERROR(__xludf.DUMMYFUNCTION("""COMPUTED_VALUE"""),13330.0)</f>
        <v>13330</v>
      </c>
      <c r="H673" s="5">
        <f>IFERROR(__xludf.DUMMYFUNCTION("""COMPUTED_VALUE"""),3180.0)</f>
        <v>3180</v>
      </c>
    </row>
    <row r="674">
      <c r="A674" s="4">
        <f>IFERROR(__xludf.DUMMYFUNCTION("""COMPUTED_VALUE"""),43042.0)</f>
        <v>43042</v>
      </c>
      <c r="B674" s="5">
        <f>IFERROR(__xludf.DUMMYFUNCTION("""COMPUTED_VALUE"""),2722.0)</f>
        <v>2722</v>
      </c>
      <c r="C674" s="6">
        <f>IFERROR(__xludf.DUMMYFUNCTION("""COMPUTED_VALUE"""),0.4978)</f>
        <v>0.4978</v>
      </c>
      <c r="D674" s="2">
        <f>IFERROR(__xludf.DUMMYFUNCTION("""COMPUTED_VALUE"""),0.0022453703703703702)</f>
        <v>0.00224537037</v>
      </c>
      <c r="E674" s="1">
        <f>IFERROR(__xludf.DUMMYFUNCTION("""COMPUTED_VALUE"""),1.11)</f>
        <v>1.11</v>
      </c>
      <c r="F674" s="1">
        <f>IFERROR(__xludf.DUMMYFUNCTION("""COMPUTED_VALUE"""),5.46)</f>
        <v>5.46</v>
      </c>
      <c r="G674" s="5">
        <f>IFERROR(__xludf.DUMMYFUNCTION("""COMPUTED_VALUE"""),16454.0)</f>
        <v>16454</v>
      </c>
      <c r="H674" s="5">
        <f>IFERROR(__xludf.DUMMYFUNCTION("""COMPUTED_VALUE"""),3013.0)</f>
        <v>3013</v>
      </c>
    </row>
    <row r="675">
      <c r="A675" s="4">
        <f>IFERROR(__xludf.DUMMYFUNCTION("""COMPUTED_VALUE"""),43043.0)</f>
        <v>43043</v>
      </c>
      <c r="B675" s="5">
        <f>IFERROR(__xludf.DUMMYFUNCTION("""COMPUTED_VALUE"""),2041.0)</f>
        <v>2041</v>
      </c>
      <c r="C675" s="6">
        <f>IFERROR(__xludf.DUMMYFUNCTION("""COMPUTED_VALUE"""),0.4882)</f>
        <v>0.4882</v>
      </c>
      <c r="D675" s="2">
        <f>IFERROR(__xludf.DUMMYFUNCTION("""COMPUTED_VALUE"""),0.0018055555555555555)</f>
        <v>0.001805555556</v>
      </c>
      <c r="E675" s="1">
        <f>IFERROR(__xludf.DUMMYFUNCTION("""COMPUTED_VALUE"""),1.14)</f>
        <v>1.14</v>
      </c>
      <c r="F675" s="1">
        <f>IFERROR(__xludf.DUMMYFUNCTION("""COMPUTED_VALUE"""),5.14)</f>
        <v>5.14</v>
      </c>
      <c r="G675" s="5">
        <f>IFERROR(__xludf.DUMMYFUNCTION("""COMPUTED_VALUE"""),11983.0)</f>
        <v>11983</v>
      </c>
      <c r="H675" s="5">
        <f>IFERROR(__xludf.DUMMYFUNCTION("""COMPUTED_VALUE"""),2333.0)</f>
        <v>2333</v>
      </c>
    </row>
    <row r="676">
      <c r="A676" s="4">
        <f>IFERROR(__xludf.DUMMYFUNCTION("""COMPUTED_VALUE"""),43044.0)</f>
        <v>43044</v>
      </c>
      <c r="B676" s="5">
        <f>IFERROR(__xludf.DUMMYFUNCTION("""COMPUTED_VALUE"""),2569.0)</f>
        <v>2569</v>
      </c>
      <c r="C676" s="6">
        <f>IFERROR(__xludf.DUMMYFUNCTION("""COMPUTED_VALUE"""),0.4602)</f>
        <v>0.4602</v>
      </c>
      <c r="D676" s="2">
        <f>IFERROR(__xludf.DUMMYFUNCTION("""COMPUTED_VALUE"""),0.0016435185185185185)</f>
        <v>0.001643518519</v>
      </c>
      <c r="E676" s="1">
        <f>IFERROR(__xludf.DUMMYFUNCTION("""COMPUTED_VALUE"""),1.09)</f>
        <v>1.09</v>
      </c>
      <c r="F676" s="1">
        <f>IFERROR(__xludf.DUMMYFUNCTION("""COMPUTED_VALUE"""),3.91)</f>
        <v>3.91</v>
      </c>
      <c r="G676" s="5">
        <f>IFERROR(__xludf.DUMMYFUNCTION("""COMPUTED_VALUE"""),10956.0)</f>
        <v>10956</v>
      </c>
      <c r="H676" s="5">
        <f>IFERROR(__xludf.DUMMYFUNCTION("""COMPUTED_VALUE"""),2805.0)</f>
        <v>2805</v>
      </c>
    </row>
    <row r="677">
      <c r="A677" s="4">
        <f>IFERROR(__xludf.DUMMYFUNCTION("""COMPUTED_VALUE"""),43045.0)</f>
        <v>43045</v>
      </c>
      <c r="B677" s="5">
        <f>IFERROR(__xludf.DUMMYFUNCTION("""COMPUTED_VALUE"""),3388.0)</f>
        <v>3388</v>
      </c>
      <c r="C677" s="6">
        <f>IFERROR(__xludf.DUMMYFUNCTION("""COMPUTED_VALUE"""),0.4474)</f>
        <v>0.4474</v>
      </c>
      <c r="D677" s="2">
        <f>IFERROR(__xludf.DUMMYFUNCTION("""COMPUTED_VALUE"""),0.0014930555555555556)</f>
        <v>0.001493055556</v>
      </c>
      <c r="E677" s="1">
        <f>IFERROR(__xludf.DUMMYFUNCTION("""COMPUTED_VALUE"""),1.13)</f>
        <v>1.13</v>
      </c>
      <c r="F677" s="1">
        <f>IFERROR(__xludf.DUMMYFUNCTION("""COMPUTED_VALUE"""),4.35)</f>
        <v>4.35</v>
      </c>
      <c r="G677" s="5">
        <f>IFERROR(__xludf.DUMMYFUNCTION("""COMPUTED_VALUE"""),16621.0)</f>
        <v>16621</v>
      </c>
      <c r="H677" s="5">
        <f>IFERROR(__xludf.DUMMYFUNCTION("""COMPUTED_VALUE"""),3818.0)</f>
        <v>3818</v>
      </c>
    </row>
    <row r="678">
      <c r="A678" s="4">
        <f>IFERROR(__xludf.DUMMYFUNCTION("""COMPUTED_VALUE"""),43046.0)</f>
        <v>43046</v>
      </c>
      <c r="B678" s="5">
        <f>IFERROR(__xludf.DUMMYFUNCTION("""COMPUTED_VALUE"""),3624.0)</f>
        <v>3624</v>
      </c>
      <c r="C678" s="6">
        <f>IFERROR(__xludf.DUMMYFUNCTION("""COMPUTED_VALUE"""),0.4725)</f>
        <v>0.4725</v>
      </c>
      <c r="D678" s="2">
        <f>IFERROR(__xludf.DUMMYFUNCTION("""COMPUTED_VALUE"""),0.001261574074074074)</f>
        <v>0.001261574074</v>
      </c>
      <c r="E678" s="1">
        <f>IFERROR(__xludf.DUMMYFUNCTION("""COMPUTED_VALUE"""),1.12)</f>
        <v>1.12</v>
      </c>
      <c r="F678" s="1">
        <f>IFERROR(__xludf.DUMMYFUNCTION("""COMPUTED_VALUE"""),3.97)</f>
        <v>3.97</v>
      </c>
      <c r="G678" s="5">
        <f>IFERROR(__xludf.DUMMYFUNCTION("""COMPUTED_VALUE"""),16079.0)</f>
        <v>16079</v>
      </c>
      <c r="H678" s="5">
        <f>IFERROR(__xludf.DUMMYFUNCTION("""COMPUTED_VALUE"""),4055.0)</f>
        <v>4055</v>
      </c>
    </row>
    <row r="679">
      <c r="A679" s="4">
        <f>IFERROR(__xludf.DUMMYFUNCTION("""COMPUTED_VALUE"""),43047.0)</f>
        <v>43047</v>
      </c>
      <c r="B679" s="5">
        <f>IFERROR(__xludf.DUMMYFUNCTION("""COMPUTED_VALUE"""),3777.0)</f>
        <v>3777</v>
      </c>
      <c r="C679" s="6">
        <f>IFERROR(__xludf.DUMMYFUNCTION("""COMPUTED_VALUE"""),0.4619)</f>
        <v>0.4619</v>
      </c>
      <c r="D679" s="2">
        <f>IFERROR(__xludf.DUMMYFUNCTION("""COMPUTED_VALUE"""),0.0016782407407407408)</f>
        <v>0.001678240741</v>
      </c>
      <c r="E679" s="1">
        <f>IFERROR(__xludf.DUMMYFUNCTION("""COMPUTED_VALUE"""),1.16)</f>
        <v>1.16</v>
      </c>
      <c r="F679" s="1">
        <f>IFERROR(__xludf.DUMMYFUNCTION("""COMPUTED_VALUE"""),3.79)</f>
        <v>3.79</v>
      </c>
      <c r="G679" s="5">
        <f>IFERROR(__xludf.DUMMYFUNCTION("""COMPUTED_VALUE"""),16649.0)</f>
        <v>16649</v>
      </c>
      <c r="H679" s="5">
        <f>IFERROR(__xludf.DUMMYFUNCTION("""COMPUTED_VALUE"""),4388.0)</f>
        <v>4388</v>
      </c>
    </row>
    <row r="680">
      <c r="A680" s="4">
        <f>IFERROR(__xludf.DUMMYFUNCTION("""COMPUTED_VALUE"""),43048.0)</f>
        <v>43048</v>
      </c>
      <c r="B680" s="5">
        <f>IFERROR(__xludf.DUMMYFUNCTION("""COMPUTED_VALUE"""),3527.0)</f>
        <v>3527</v>
      </c>
      <c r="C680" s="6">
        <f>IFERROR(__xludf.DUMMYFUNCTION("""COMPUTED_VALUE"""),0.4501)</f>
        <v>0.4501</v>
      </c>
      <c r="D680" s="2">
        <f>IFERROR(__xludf.DUMMYFUNCTION("""COMPUTED_VALUE"""),0.0016550925925925926)</f>
        <v>0.001655092593</v>
      </c>
      <c r="E680" s="1">
        <f>IFERROR(__xludf.DUMMYFUNCTION("""COMPUTED_VALUE"""),1.1)</f>
        <v>1.1</v>
      </c>
      <c r="F680" s="1">
        <f>IFERROR(__xludf.DUMMYFUNCTION("""COMPUTED_VALUE"""),4.5)</f>
        <v>4.5</v>
      </c>
      <c r="G680" s="5">
        <f>IFERROR(__xludf.DUMMYFUNCTION("""COMPUTED_VALUE"""),17482.0)</f>
        <v>17482</v>
      </c>
      <c r="H680" s="5">
        <f>IFERROR(__xludf.DUMMYFUNCTION("""COMPUTED_VALUE"""),3888.0)</f>
        <v>3888</v>
      </c>
    </row>
    <row r="681">
      <c r="A681" s="4">
        <f>IFERROR(__xludf.DUMMYFUNCTION("""COMPUTED_VALUE"""),43049.0)</f>
        <v>43049</v>
      </c>
      <c r="B681" s="5">
        <f>IFERROR(__xludf.DUMMYFUNCTION("""COMPUTED_VALUE"""),2777.0)</f>
        <v>2777</v>
      </c>
      <c r="C681" s="6">
        <f>IFERROR(__xludf.DUMMYFUNCTION("""COMPUTED_VALUE"""),0.5126)</f>
        <v>0.5126</v>
      </c>
      <c r="D681" s="2">
        <f>IFERROR(__xludf.DUMMYFUNCTION("""COMPUTED_VALUE"""),0.001851851851851852)</f>
        <v>0.001851851852</v>
      </c>
      <c r="E681" s="1">
        <f>IFERROR(__xludf.DUMMYFUNCTION("""COMPUTED_VALUE"""),1.2)</f>
        <v>1.2</v>
      </c>
      <c r="F681" s="1">
        <f>IFERROR(__xludf.DUMMYFUNCTION("""COMPUTED_VALUE"""),4.3)</f>
        <v>4.3</v>
      </c>
      <c r="G681" s="5">
        <f>IFERROR(__xludf.DUMMYFUNCTION("""COMPUTED_VALUE"""),14316.0)</f>
        <v>14316</v>
      </c>
      <c r="H681" s="5">
        <f>IFERROR(__xludf.DUMMYFUNCTION("""COMPUTED_VALUE"""),3332.0)</f>
        <v>3332</v>
      </c>
    </row>
    <row r="682">
      <c r="A682" s="4">
        <f>IFERROR(__xludf.DUMMYFUNCTION("""COMPUTED_VALUE"""),43050.0)</f>
        <v>43050</v>
      </c>
      <c r="B682" s="5">
        <f>IFERROR(__xludf.DUMMYFUNCTION("""COMPUTED_VALUE"""),2263.0)</f>
        <v>2263</v>
      </c>
      <c r="C682" s="6">
        <f>IFERROR(__xludf.DUMMYFUNCTION("""COMPUTED_VALUE"""),0.5301)</f>
        <v>0.5301</v>
      </c>
      <c r="D682" s="2">
        <f>IFERROR(__xludf.DUMMYFUNCTION("""COMPUTED_VALUE"""),0.0015625)</f>
        <v>0.0015625</v>
      </c>
      <c r="E682" s="1">
        <f>IFERROR(__xludf.DUMMYFUNCTION("""COMPUTED_VALUE"""),1.12)</f>
        <v>1.12</v>
      </c>
      <c r="F682" s="1">
        <f>IFERROR(__xludf.DUMMYFUNCTION("""COMPUTED_VALUE"""),4.16)</f>
        <v>4.16</v>
      </c>
      <c r="G682" s="5">
        <f>IFERROR(__xludf.DUMMYFUNCTION("""COMPUTED_VALUE"""),10567.0)</f>
        <v>10567</v>
      </c>
      <c r="H682" s="5">
        <f>IFERROR(__xludf.DUMMYFUNCTION("""COMPUTED_VALUE"""),2541.0)</f>
        <v>2541</v>
      </c>
    </row>
    <row r="683">
      <c r="A683" s="4">
        <f>IFERROR(__xludf.DUMMYFUNCTION("""COMPUTED_VALUE"""),43051.0)</f>
        <v>43051</v>
      </c>
      <c r="B683" s="5">
        <f>IFERROR(__xludf.DUMMYFUNCTION("""COMPUTED_VALUE"""),2458.0)</f>
        <v>2458</v>
      </c>
      <c r="C683" s="6">
        <f>IFERROR(__xludf.DUMMYFUNCTION("""COMPUTED_VALUE"""),0.5437)</f>
        <v>0.5437</v>
      </c>
      <c r="D683" s="2">
        <f>IFERROR(__xludf.DUMMYFUNCTION("""COMPUTED_VALUE"""),0.0017013888888888888)</f>
        <v>0.001701388889</v>
      </c>
      <c r="E683" s="1">
        <f>IFERROR(__xludf.DUMMYFUNCTION("""COMPUTED_VALUE"""),1.16)</f>
        <v>1.16</v>
      </c>
      <c r="F683" s="1">
        <f>IFERROR(__xludf.DUMMYFUNCTION("""COMPUTED_VALUE"""),4.3)</f>
        <v>4.3</v>
      </c>
      <c r="G683" s="5">
        <f>IFERROR(__xludf.DUMMYFUNCTION("""COMPUTED_VALUE"""),12289.0)</f>
        <v>12289</v>
      </c>
      <c r="H683" s="5">
        <f>IFERROR(__xludf.DUMMYFUNCTION("""COMPUTED_VALUE"""),2860.0)</f>
        <v>2860</v>
      </c>
    </row>
    <row r="684">
      <c r="A684" s="4">
        <f>IFERROR(__xludf.DUMMYFUNCTION("""COMPUTED_VALUE"""),43052.0)</f>
        <v>43052</v>
      </c>
      <c r="B684" s="5">
        <f>IFERROR(__xludf.DUMMYFUNCTION("""COMPUTED_VALUE"""),2902.0)</f>
        <v>2902</v>
      </c>
      <c r="C684" s="6">
        <f>IFERROR(__xludf.DUMMYFUNCTION("""COMPUTED_VALUE"""),0.4213)</f>
        <v>0.4213</v>
      </c>
      <c r="D684" s="2">
        <f>IFERROR(__xludf.DUMMYFUNCTION("""COMPUTED_VALUE"""),0.002627314814814815)</f>
        <v>0.002627314815</v>
      </c>
      <c r="E684" s="1">
        <f>IFERROR(__xludf.DUMMYFUNCTION("""COMPUTED_VALUE"""),1.22)</f>
        <v>1.22</v>
      </c>
      <c r="F684" s="1">
        <f>IFERROR(__xludf.DUMMYFUNCTION("""COMPUTED_VALUE"""),5.0)</f>
        <v>5</v>
      </c>
      <c r="G684" s="5">
        <f>IFERROR(__xludf.DUMMYFUNCTION("""COMPUTED_VALUE"""),17621.0)</f>
        <v>17621</v>
      </c>
      <c r="H684" s="5">
        <f>IFERROR(__xludf.DUMMYFUNCTION("""COMPUTED_VALUE"""),3527.0)</f>
        <v>3527</v>
      </c>
    </row>
    <row r="685">
      <c r="A685" s="4">
        <f>IFERROR(__xludf.DUMMYFUNCTION("""COMPUTED_VALUE"""),43053.0)</f>
        <v>43053</v>
      </c>
      <c r="B685" s="5">
        <f>IFERROR(__xludf.DUMMYFUNCTION("""COMPUTED_VALUE"""),3388.0)</f>
        <v>3388</v>
      </c>
      <c r="C685" s="6">
        <f>IFERROR(__xludf.DUMMYFUNCTION("""COMPUTED_VALUE"""),0.4432)</f>
        <v>0.4432</v>
      </c>
      <c r="D685" s="2">
        <f>IFERROR(__xludf.DUMMYFUNCTION("""COMPUTED_VALUE"""),0.0018402777777777777)</f>
        <v>0.001840277778</v>
      </c>
      <c r="E685" s="1">
        <f>IFERROR(__xludf.DUMMYFUNCTION("""COMPUTED_VALUE"""),1.12)</f>
        <v>1.12</v>
      </c>
      <c r="F685" s="1">
        <f>IFERROR(__xludf.DUMMYFUNCTION("""COMPUTED_VALUE"""),4.51)</f>
        <v>4.51</v>
      </c>
      <c r="G685" s="5">
        <f>IFERROR(__xludf.DUMMYFUNCTION("""COMPUTED_VALUE"""),17093.0)</f>
        <v>17093</v>
      </c>
      <c r="H685" s="5">
        <f>IFERROR(__xludf.DUMMYFUNCTION("""COMPUTED_VALUE"""),3791.0)</f>
        <v>3791</v>
      </c>
    </row>
    <row r="686">
      <c r="A686" s="4">
        <f>IFERROR(__xludf.DUMMYFUNCTION("""COMPUTED_VALUE"""),43054.0)</f>
        <v>43054</v>
      </c>
      <c r="B686" s="5">
        <f>IFERROR(__xludf.DUMMYFUNCTION("""COMPUTED_VALUE"""),3180.0)</f>
        <v>3180</v>
      </c>
      <c r="C686" s="6">
        <f>IFERROR(__xludf.DUMMYFUNCTION("""COMPUTED_VALUE"""),0.4324)</f>
        <v>0.4324</v>
      </c>
      <c r="D686" s="2">
        <f>IFERROR(__xludf.DUMMYFUNCTION("""COMPUTED_VALUE"""),0.0016435185185185185)</f>
        <v>0.001643518519</v>
      </c>
      <c r="E686" s="1">
        <f>IFERROR(__xludf.DUMMYFUNCTION("""COMPUTED_VALUE"""),1.13)</f>
        <v>1.13</v>
      </c>
      <c r="F686" s="1">
        <f>IFERROR(__xludf.DUMMYFUNCTION("""COMPUTED_VALUE"""),4.27)</f>
        <v>4.27</v>
      </c>
      <c r="G686" s="5">
        <f>IFERROR(__xludf.DUMMYFUNCTION("""COMPUTED_VALUE"""),15371.0)</f>
        <v>15371</v>
      </c>
      <c r="H686" s="5">
        <f>IFERROR(__xludf.DUMMYFUNCTION("""COMPUTED_VALUE"""),3596.0)</f>
        <v>3596</v>
      </c>
    </row>
    <row r="687">
      <c r="A687" s="4">
        <f>IFERROR(__xludf.DUMMYFUNCTION("""COMPUTED_VALUE"""),43055.0)</f>
        <v>43055</v>
      </c>
      <c r="B687" s="5">
        <f>IFERROR(__xludf.DUMMYFUNCTION("""COMPUTED_VALUE"""),3208.0)</f>
        <v>3208</v>
      </c>
      <c r="C687" s="6">
        <f>IFERROR(__xludf.DUMMYFUNCTION("""COMPUTED_VALUE"""),0.423)</f>
        <v>0.423</v>
      </c>
      <c r="D687" s="2">
        <f>IFERROR(__xludf.DUMMYFUNCTION("""COMPUTED_VALUE"""),0.0016203703703703703)</f>
        <v>0.00162037037</v>
      </c>
      <c r="E687" s="1">
        <f>IFERROR(__xludf.DUMMYFUNCTION("""COMPUTED_VALUE"""),1.13)</f>
        <v>1.13</v>
      </c>
      <c r="F687" s="1">
        <f>IFERROR(__xludf.DUMMYFUNCTION("""COMPUTED_VALUE"""),4.51)</f>
        <v>4.51</v>
      </c>
      <c r="G687" s="5">
        <f>IFERROR(__xludf.DUMMYFUNCTION("""COMPUTED_VALUE"""),16274.0)</f>
        <v>16274</v>
      </c>
      <c r="H687" s="5">
        <f>IFERROR(__xludf.DUMMYFUNCTION("""COMPUTED_VALUE"""),3610.0)</f>
        <v>3610</v>
      </c>
    </row>
    <row r="688">
      <c r="A688" s="4">
        <f>IFERROR(__xludf.DUMMYFUNCTION("""COMPUTED_VALUE"""),43056.0)</f>
        <v>43056</v>
      </c>
      <c r="B688" s="5">
        <f>IFERROR(__xludf.DUMMYFUNCTION("""COMPUTED_VALUE"""),3027.0)</f>
        <v>3027</v>
      </c>
      <c r="C688" s="6">
        <f>IFERROR(__xludf.DUMMYFUNCTION("""COMPUTED_VALUE"""),0.4309)</f>
        <v>0.4309</v>
      </c>
      <c r="D688" s="2">
        <f>IFERROR(__xludf.DUMMYFUNCTION("""COMPUTED_VALUE"""),0.0016203703703703703)</f>
        <v>0.00162037037</v>
      </c>
      <c r="E688" s="1">
        <f>IFERROR(__xludf.DUMMYFUNCTION("""COMPUTED_VALUE"""),1.13)</f>
        <v>1.13</v>
      </c>
      <c r="F688" s="1">
        <f>IFERROR(__xludf.DUMMYFUNCTION("""COMPUTED_VALUE"""),4.11)</f>
        <v>4.11</v>
      </c>
      <c r="G688" s="5">
        <f>IFERROR(__xludf.DUMMYFUNCTION("""COMPUTED_VALUE"""),14038.0)</f>
        <v>14038</v>
      </c>
      <c r="H688" s="5">
        <f>IFERROR(__xludf.DUMMYFUNCTION("""COMPUTED_VALUE"""),3416.0)</f>
        <v>3416</v>
      </c>
    </row>
    <row r="689">
      <c r="A689" s="4">
        <f>IFERROR(__xludf.DUMMYFUNCTION("""COMPUTED_VALUE"""),43057.0)</f>
        <v>43057</v>
      </c>
      <c r="B689" s="5">
        <f>IFERROR(__xludf.DUMMYFUNCTION("""COMPUTED_VALUE"""),1916.0)</f>
        <v>1916</v>
      </c>
      <c r="C689" s="6">
        <f>IFERROR(__xludf.DUMMYFUNCTION("""COMPUTED_VALUE"""),0.5225)</f>
        <v>0.5225</v>
      </c>
      <c r="D689" s="2">
        <f>IFERROR(__xludf.DUMMYFUNCTION("""COMPUTED_VALUE"""),0.0012152777777777778)</f>
        <v>0.001215277778</v>
      </c>
      <c r="E689" s="1">
        <f>IFERROR(__xludf.DUMMYFUNCTION("""COMPUTED_VALUE"""),1.14)</f>
        <v>1.14</v>
      </c>
      <c r="F689" s="1">
        <f>IFERROR(__xludf.DUMMYFUNCTION("""COMPUTED_VALUE"""),3.78)</f>
        <v>3.78</v>
      </c>
      <c r="G689" s="5">
        <f>IFERROR(__xludf.DUMMYFUNCTION("""COMPUTED_VALUE"""),8248.0)</f>
        <v>8248</v>
      </c>
      <c r="H689" s="5">
        <f>IFERROR(__xludf.DUMMYFUNCTION("""COMPUTED_VALUE"""),2180.0)</f>
        <v>2180</v>
      </c>
    </row>
    <row r="690">
      <c r="A690" s="4">
        <f>IFERROR(__xludf.DUMMYFUNCTION("""COMPUTED_VALUE"""),43058.0)</f>
        <v>43058</v>
      </c>
      <c r="B690" s="5">
        <f>IFERROR(__xludf.DUMMYFUNCTION("""COMPUTED_VALUE"""),2124.0)</f>
        <v>2124</v>
      </c>
      <c r="C690" s="6">
        <f>IFERROR(__xludf.DUMMYFUNCTION("""COMPUTED_VALUE"""),0.4968)</f>
        <v>0.4968</v>
      </c>
      <c r="D690" s="2">
        <f>IFERROR(__xludf.DUMMYFUNCTION("""COMPUTED_VALUE"""),0.0018287037037037037)</f>
        <v>0.001828703704</v>
      </c>
      <c r="E690" s="1">
        <f>IFERROR(__xludf.DUMMYFUNCTION("""COMPUTED_VALUE"""),1.1)</f>
        <v>1.1</v>
      </c>
      <c r="F690" s="1">
        <f>IFERROR(__xludf.DUMMYFUNCTION("""COMPUTED_VALUE"""),4.47)</f>
        <v>4.47</v>
      </c>
      <c r="G690" s="5">
        <f>IFERROR(__xludf.DUMMYFUNCTION("""COMPUTED_VALUE"""),10497.0)</f>
        <v>10497</v>
      </c>
      <c r="H690" s="5">
        <f>IFERROR(__xludf.DUMMYFUNCTION("""COMPUTED_VALUE"""),2347.0)</f>
        <v>2347</v>
      </c>
    </row>
    <row r="691">
      <c r="A691" s="4">
        <f>IFERROR(__xludf.DUMMYFUNCTION("""COMPUTED_VALUE"""),43059.0)</f>
        <v>43059</v>
      </c>
      <c r="B691" s="5">
        <f>IFERROR(__xludf.DUMMYFUNCTION("""COMPUTED_VALUE"""),3208.0)</f>
        <v>3208</v>
      </c>
      <c r="C691" s="6">
        <f>IFERROR(__xludf.DUMMYFUNCTION("""COMPUTED_VALUE"""),0.4501)</f>
        <v>0.4501</v>
      </c>
      <c r="D691" s="2">
        <f>IFERROR(__xludf.DUMMYFUNCTION("""COMPUTED_VALUE"""),0.0017939814814814815)</f>
        <v>0.001793981481</v>
      </c>
      <c r="E691" s="1">
        <f>IFERROR(__xludf.DUMMYFUNCTION("""COMPUTED_VALUE"""),1.13)</f>
        <v>1.13</v>
      </c>
      <c r="F691" s="1">
        <f>IFERROR(__xludf.DUMMYFUNCTION("""COMPUTED_VALUE"""),5.46)</f>
        <v>5.46</v>
      </c>
      <c r="G691" s="5">
        <f>IFERROR(__xludf.DUMMYFUNCTION("""COMPUTED_VALUE"""),19703.0)</f>
        <v>19703</v>
      </c>
      <c r="H691" s="5">
        <f>IFERROR(__xludf.DUMMYFUNCTION("""COMPUTED_VALUE"""),3610.0)</f>
        <v>3610</v>
      </c>
    </row>
    <row r="692">
      <c r="A692" s="4">
        <f>IFERROR(__xludf.DUMMYFUNCTION("""COMPUTED_VALUE"""),43060.0)</f>
        <v>43060</v>
      </c>
      <c r="B692" s="5">
        <f>IFERROR(__xludf.DUMMYFUNCTION("""COMPUTED_VALUE"""),2777.0)</f>
        <v>2777</v>
      </c>
      <c r="C692" s="6">
        <f>IFERROR(__xludf.DUMMYFUNCTION("""COMPUTED_VALUE"""),0.4448)</f>
        <v>0.4448</v>
      </c>
      <c r="D692" s="2">
        <f>IFERROR(__xludf.DUMMYFUNCTION("""COMPUTED_VALUE"""),0.001979166666666667)</f>
        <v>0.001979166667</v>
      </c>
      <c r="E692" s="1">
        <f>IFERROR(__xludf.DUMMYFUNCTION("""COMPUTED_VALUE"""),1.14)</f>
        <v>1.14</v>
      </c>
      <c r="F692" s="1">
        <f>IFERROR(__xludf.DUMMYFUNCTION("""COMPUTED_VALUE"""),4.37)</f>
        <v>4.37</v>
      </c>
      <c r="G692" s="5">
        <f>IFERROR(__xludf.DUMMYFUNCTION("""COMPUTED_VALUE"""),13774.0)</f>
        <v>13774</v>
      </c>
      <c r="H692" s="5">
        <f>IFERROR(__xludf.DUMMYFUNCTION("""COMPUTED_VALUE"""),3152.0)</f>
        <v>3152</v>
      </c>
    </row>
    <row r="693">
      <c r="A693" s="4">
        <f>IFERROR(__xludf.DUMMYFUNCTION("""COMPUTED_VALUE"""),43061.0)</f>
        <v>43061</v>
      </c>
      <c r="B693" s="5">
        <f>IFERROR(__xludf.DUMMYFUNCTION("""COMPUTED_VALUE"""),2985.0)</f>
        <v>2985</v>
      </c>
      <c r="C693" s="6">
        <f>IFERROR(__xludf.DUMMYFUNCTION("""COMPUTED_VALUE"""),0.4262)</f>
        <v>0.4262</v>
      </c>
      <c r="D693" s="2">
        <f>IFERROR(__xludf.DUMMYFUNCTION("""COMPUTED_VALUE"""),0.001990740740740741)</f>
        <v>0.001990740741</v>
      </c>
      <c r="E693" s="1">
        <f>IFERROR(__xludf.DUMMYFUNCTION("""COMPUTED_VALUE"""),1.14)</f>
        <v>1.14</v>
      </c>
      <c r="F693" s="1">
        <f>IFERROR(__xludf.DUMMYFUNCTION("""COMPUTED_VALUE"""),4.48)</f>
        <v>4.48</v>
      </c>
      <c r="G693" s="5">
        <f>IFERROR(__xludf.DUMMYFUNCTION("""COMPUTED_VALUE"""),15163.0)</f>
        <v>15163</v>
      </c>
      <c r="H693" s="5">
        <f>IFERROR(__xludf.DUMMYFUNCTION("""COMPUTED_VALUE"""),3388.0)</f>
        <v>3388</v>
      </c>
    </row>
    <row r="694">
      <c r="A694" s="4">
        <f>IFERROR(__xludf.DUMMYFUNCTION("""COMPUTED_VALUE"""),43062.0)</f>
        <v>43062</v>
      </c>
      <c r="B694" s="5">
        <f>IFERROR(__xludf.DUMMYFUNCTION("""COMPUTED_VALUE"""),2902.0)</f>
        <v>2902</v>
      </c>
      <c r="C694" s="6">
        <f>IFERROR(__xludf.DUMMYFUNCTION("""COMPUTED_VALUE"""),0.5104)</f>
        <v>0.5104</v>
      </c>
      <c r="D694" s="2">
        <f>IFERROR(__xludf.DUMMYFUNCTION("""COMPUTED_VALUE"""),0.0012152777777777778)</f>
        <v>0.001215277778</v>
      </c>
      <c r="E694" s="1">
        <f>IFERROR(__xludf.DUMMYFUNCTION("""COMPUTED_VALUE"""),1.14)</f>
        <v>1.14</v>
      </c>
      <c r="F694" s="1">
        <f>IFERROR(__xludf.DUMMYFUNCTION("""COMPUTED_VALUE"""),3.27)</f>
        <v>3.27</v>
      </c>
      <c r="G694" s="5">
        <f>IFERROR(__xludf.DUMMYFUNCTION("""COMPUTED_VALUE"""),10858.0)</f>
        <v>10858</v>
      </c>
      <c r="H694" s="5">
        <f>IFERROR(__xludf.DUMMYFUNCTION("""COMPUTED_VALUE"""),3319.0)</f>
        <v>3319</v>
      </c>
    </row>
    <row r="695">
      <c r="A695" s="4">
        <f>IFERROR(__xludf.DUMMYFUNCTION("""COMPUTED_VALUE"""),43063.0)</f>
        <v>43063</v>
      </c>
      <c r="B695" s="5">
        <f>IFERROR(__xludf.DUMMYFUNCTION("""COMPUTED_VALUE"""),2944.0)</f>
        <v>2944</v>
      </c>
      <c r="C695" s="6">
        <f>IFERROR(__xludf.DUMMYFUNCTION("""COMPUTED_VALUE"""),0.4121)</f>
        <v>0.4121</v>
      </c>
      <c r="D695" s="2">
        <f>IFERROR(__xludf.DUMMYFUNCTION("""COMPUTED_VALUE"""),0.0021643518518518518)</f>
        <v>0.002164351852</v>
      </c>
      <c r="E695" s="1">
        <f>IFERROR(__xludf.DUMMYFUNCTION("""COMPUTED_VALUE"""),1.1)</f>
        <v>1.1</v>
      </c>
      <c r="F695" s="1">
        <f>IFERROR(__xludf.DUMMYFUNCTION("""COMPUTED_VALUE"""),5.13)</f>
        <v>5.13</v>
      </c>
      <c r="G695" s="5">
        <f>IFERROR(__xludf.DUMMYFUNCTION("""COMPUTED_VALUE"""),16593.0)</f>
        <v>16593</v>
      </c>
      <c r="H695" s="5">
        <f>IFERROR(__xludf.DUMMYFUNCTION("""COMPUTED_VALUE"""),3235.0)</f>
        <v>3235</v>
      </c>
    </row>
    <row r="696">
      <c r="A696" s="4">
        <f>IFERROR(__xludf.DUMMYFUNCTION("""COMPUTED_VALUE"""),43064.0)</f>
        <v>43064</v>
      </c>
      <c r="B696" s="5">
        <f>IFERROR(__xludf.DUMMYFUNCTION("""COMPUTED_VALUE"""),1999.0)</f>
        <v>1999</v>
      </c>
      <c r="C696" s="6">
        <f>IFERROR(__xludf.DUMMYFUNCTION("""COMPUTED_VALUE"""),0.4509)</f>
        <v>0.4509</v>
      </c>
      <c r="D696" s="2">
        <f>IFERROR(__xludf.DUMMYFUNCTION("""COMPUTED_VALUE"""),0.002662037037037037)</f>
        <v>0.002662037037</v>
      </c>
      <c r="E696" s="1">
        <f>IFERROR(__xludf.DUMMYFUNCTION("""COMPUTED_VALUE"""),1.2)</f>
        <v>1.2</v>
      </c>
      <c r="F696" s="1">
        <f>IFERROR(__xludf.DUMMYFUNCTION("""COMPUTED_VALUE"""),4.3)</f>
        <v>4.3</v>
      </c>
      <c r="G696" s="5">
        <f>IFERROR(__xludf.DUMMYFUNCTION("""COMPUTED_VALUE"""),10317.0)</f>
        <v>10317</v>
      </c>
      <c r="H696" s="5">
        <f>IFERROR(__xludf.DUMMYFUNCTION("""COMPUTED_VALUE"""),2402.0)</f>
        <v>2402</v>
      </c>
    </row>
    <row r="697">
      <c r="A697" s="4">
        <f>IFERROR(__xludf.DUMMYFUNCTION("""COMPUTED_VALUE"""),43065.0)</f>
        <v>43065</v>
      </c>
      <c r="B697" s="5">
        <f>IFERROR(__xludf.DUMMYFUNCTION("""COMPUTED_VALUE"""),2472.0)</f>
        <v>2472</v>
      </c>
      <c r="C697" s="6">
        <f>IFERROR(__xludf.DUMMYFUNCTION("""COMPUTED_VALUE"""),0.4062)</f>
        <v>0.4062</v>
      </c>
      <c r="D697" s="2">
        <f>IFERROR(__xludf.DUMMYFUNCTION("""COMPUTED_VALUE"""),0.0021643518518518518)</f>
        <v>0.002164351852</v>
      </c>
      <c r="E697" s="1">
        <f>IFERROR(__xludf.DUMMYFUNCTION("""COMPUTED_VALUE"""),1.11)</f>
        <v>1.11</v>
      </c>
      <c r="F697" s="1">
        <f>IFERROR(__xludf.DUMMYFUNCTION("""COMPUTED_VALUE"""),4.87)</f>
        <v>4.87</v>
      </c>
      <c r="G697" s="5">
        <f>IFERROR(__xludf.DUMMYFUNCTION("""COMPUTED_VALUE"""),13316.0)</f>
        <v>13316</v>
      </c>
      <c r="H697" s="5">
        <f>IFERROR(__xludf.DUMMYFUNCTION("""COMPUTED_VALUE"""),2735.0)</f>
        <v>2735</v>
      </c>
    </row>
    <row r="698">
      <c r="A698" s="4">
        <f>IFERROR(__xludf.DUMMYFUNCTION("""COMPUTED_VALUE"""),43066.0)</f>
        <v>43066</v>
      </c>
      <c r="B698" s="5">
        <f>IFERROR(__xludf.DUMMYFUNCTION("""COMPUTED_VALUE"""),4207.0)</f>
        <v>4207</v>
      </c>
      <c r="C698" s="6">
        <f>IFERROR(__xludf.DUMMYFUNCTION("""COMPUTED_VALUE"""),0.4267)</f>
        <v>0.4267</v>
      </c>
      <c r="D698" s="2">
        <f>IFERROR(__xludf.DUMMYFUNCTION("""COMPUTED_VALUE"""),0.0014467592592592592)</f>
        <v>0.001446759259</v>
      </c>
      <c r="E698" s="1">
        <f>IFERROR(__xludf.DUMMYFUNCTION("""COMPUTED_VALUE"""),1.17)</f>
        <v>1.17</v>
      </c>
      <c r="F698" s="1">
        <f>IFERROR(__xludf.DUMMYFUNCTION("""COMPUTED_VALUE"""),4.03)</f>
        <v>4.03</v>
      </c>
      <c r="G698" s="5">
        <f>IFERROR(__xludf.DUMMYFUNCTION("""COMPUTED_VALUE"""),19787.0)</f>
        <v>19787</v>
      </c>
      <c r="H698" s="5">
        <f>IFERROR(__xludf.DUMMYFUNCTION("""COMPUTED_VALUE"""),4915.0)</f>
        <v>4915</v>
      </c>
    </row>
    <row r="699">
      <c r="A699" s="4">
        <f>IFERROR(__xludf.DUMMYFUNCTION("""COMPUTED_VALUE"""),43067.0)</f>
        <v>43067</v>
      </c>
      <c r="B699" s="5">
        <f>IFERROR(__xludf.DUMMYFUNCTION("""COMPUTED_VALUE"""),3680.0)</f>
        <v>3680</v>
      </c>
      <c r="C699" s="6">
        <f>IFERROR(__xludf.DUMMYFUNCTION("""COMPUTED_VALUE"""),0.4309)</f>
        <v>0.4309</v>
      </c>
      <c r="D699" s="2">
        <f>IFERROR(__xludf.DUMMYFUNCTION("""COMPUTED_VALUE"""),0.0015393518518518519)</f>
        <v>0.001539351852</v>
      </c>
      <c r="E699" s="1">
        <f>IFERROR(__xludf.DUMMYFUNCTION("""COMPUTED_VALUE"""),1.12)</f>
        <v>1.12</v>
      </c>
      <c r="F699" s="1">
        <f>IFERROR(__xludf.DUMMYFUNCTION("""COMPUTED_VALUE"""),4.17)</f>
        <v>4.17</v>
      </c>
      <c r="G699" s="5">
        <f>IFERROR(__xludf.DUMMYFUNCTION("""COMPUTED_VALUE"""),17190.0)</f>
        <v>17190</v>
      </c>
      <c r="H699" s="5">
        <f>IFERROR(__xludf.DUMMYFUNCTION("""COMPUTED_VALUE"""),4124.0)</f>
        <v>4124</v>
      </c>
    </row>
    <row r="700">
      <c r="A700" s="4">
        <f>IFERROR(__xludf.DUMMYFUNCTION("""COMPUTED_VALUE"""),43068.0)</f>
        <v>43068</v>
      </c>
      <c r="B700" s="5">
        <f>IFERROR(__xludf.DUMMYFUNCTION("""COMPUTED_VALUE"""),3374.0)</f>
        <v>3374</v>
      </c>
      <c r="C700" s="6">
        <f>IFERROR(__xludf.DUMMYFUNCTION("""COMPUTED_VALUE"""),0.4181)</f>
        <v>0.4181</v>
      </c>
      <c r="D700" s="2">
        <f>IFERROR(__xludf.DUMMYFUNCTION("""COMPUTED_VALUE"""),0.001585648148148148)</f>
        <v>0.001585648148</v>
      </c>
      <c r="E700" s="1">
        <f>IFERROR(__xludf.DUMMYFUNCTION("""COMPUTED_VALUE"""),1.08)</f>
        <v>1.08</v>
      </c>
      <c r="F700" s="1">
        <f>IFERROR(__xludf.DUMMYFUNCTION("""COMPUTED_VALUE"""),4.48)</f>
        <v>4.48</v>
      </c>
      <c r="G700" s="5">
        <f>IFERROR(__xludf.DUMMYFUNCTION("""COMPUTED_VALUE"""),16343.0)</f>
        <v>16343</v>
      </c>
      <c r="H700" s="5">
        <f>IFERROR(__xludf.DUMMYFUNCTION("""COMPUTED_VALUE"""),3652.0)</f>
        <v>3652</v>
      </c>
    </row>
    <row r="701">
      <c r="A701" s="4">
        <f>IFERROR(__xludf.DUMMYFUNCTION("""COMPUTED_VALUE"""),43069.0)</f>
        <v>43069</v>
      </c>
      <c r="B701" s="5">
        <f>IFERROR(__xludf.DUMMYFUNCTION("""COMPUTED_VALUE"""),2999.0)</f>
        <v>2999</v>
      </c>
      <c r="C701" s="6">
        <f>IFERROR(__xludf.DUMMYFUNCTION("""COMPUTED_VALUE"""),0.4689)</f>
        <v>0.4689</v>
      </c>
      <c r="D701" s="2">
        <f>IFERROR(__xludf.DUMMYFUNCTION("""COMPUTED_VALUE"""),0.0018171296296296297)</f>
        <v>0.00181712963</v>
      </c>
      <c r="E701" s="1">
        <f>IFERROR(__xludf.DUMMYFUNCTION("""COMPUTED_VALUE"""),1.12)</f>
        <v>1.12</v>
      </c>
      <c r="F701" s="1">
        <f>IFERROR(__xludf.DUMMYFUNCTION("""COMPUTED_VALUE"""),4.03)</f>
        <v>4.03</v>
      </c>
      <c r="G701" s="5">
        <f>IFERROR(__xludf.DUMMYFUNCTION("""COMPUTED_VALUE"""),13497.0)</f>
        <v>13497</v>
      </c>
      <c r="H701" s="5">
        <f>IFERROR(__xludf.DUMMYFUNCTION("""COMPUTED_VALUE"""),3346.0)</f>
        <v>3346</v>
      </c>
    </row>
    <row r="702">
      <c r="A702" s="4">
        <f>IFERROR(__xludf.DUMMYFUNCTION("""COMPUTED_VALUE"""),43070.0)</f>
        <v>43070</v>
      </c>
      <c r="B702" s="5">
        <f>IFERROR(__xludf.DUMMYFUNCTION("""COMPUTED_VALUE"""),2763.0)</f>
        <v>2763</v>
      </c>
      <c r="C702" s="6">
        <f>IFERROR(__xludf.DUMMYFUNCTION("""COMPUTED_VALUE"""),0.4267)</f>
        <v>0.4267</v>
      </c>
      <c r="D702" s="2">
        <f>IFERROR(__xludf.DUMMYFUNCTION("""COMPUTED_VALUE"""),0.0013078703703703703)</f>
        <v>0.00130787037</v>
      </c>
      <c r="E702" s="1">
        <f>IFERROR(__xludf.DUMMYFUNCTION("""COMPUTED_VALUE"""),1.13)</f>
        <v>1.13</v>
      </c>
      <c r="F702" s="1">
        <f>IFERROR(__xludf.DUMMYFUNCTION("""COMPUTED_VALUE"""),3.84)</f>
        <v>3.84</v>
      </c>
      <c r="G702" s="5">
        <f>IFERROR(__xludf.DUMMYFUNCTION("""COMPUTED_VALUE"""),12011.0)</f>
        <v>12011</v>
      </c>
      <c r="H702" s="5">
        <f>IFERROR(__xludf.DUMMYFUNCTION("""COMPUTED_VALUE"""),3124.0)</f>
        <v>3124</v>
      </c>
    </row>
    <row r="703">
      <c r="A703" s="4">
        <f>IFERROR(__xludf.DUMMYFUNCTION("""COMPUTED_VALUE"""),43071.0)</f>
        <v>43071</v>
      </c>
      <c r="B703" s="5">
        <f>IFERROR(__xludf.DUMMYFUNCTION("""COMPUTED_VALUE"""),2138.0)</f>
        <v>2138</v>
      </c>
      <c r="C703" s="6">
        <f>IFERROR(__xludf.DUMMYFUNCTION("""COMPUTED_VALUE"""),0.5204)</f>
        <v>0.5204</v>
      </c>
      <c r="D703" s="2">
        <f>IFERROR(__xludf.DUMMYFUNCTION("""COMPUTED_VALUE"""),0.0015162037037037036)</f>
        <v>0.001516203704</v>
      </c>
      <c r="E703" s="1">
        <f>IFERROR(__xludf.DUMMYFUNCTION("""COMPUTED_VALUE"""),1.12)</f>
        <v>1.12</v>
      </c>
      <c r="F703" s="1">
        <f>IFERROR(__xludf.DUMMYFUNCTION("""COMPUTED_VALUE"""),3.83)</f>
        <v>3.83</v>
      </c>
      <c r="G703" s="5">
        <f>IFERROR(__xludf.DUMMYFUNCTION("""COMPUTED_VALUE"""),9206.0)</f>
        <v>9206</v>
      </c>
      <c r="H703" s="5">
        <f>IFERROR(__xludf.DUMMYFUNCTION("""COMPUTED_VALUE"""),2402.0)</f>
        <v>2402</v>
      </c>
    </row>
    <row r="704">
      <c r="A704" s="4">
        <f>IFERROR(__xludf.DUMMYFUNCTION("""COMPUTED_VALUE"""),43072.0)</f>
        <v>43072</v>
      </c>
      <c r="B704" s="5">
        <f>IFERROR(__xludf.DUMMYFUNCTION("""COMPUTED_VALUE"""),2249.0)</f>
        <v>2249</v>
      </c>
      <c r="C704" s="6">
        <f>IFERROR(__xludf.DUMMYFUNCTION("""COMPUTED_VALUE"""),0.5293)</f>
        <v>0.5293</v>
      </c>
      <c r="D704" s="2">
        <f>IFERROR(__xludf.DUMMYFUNCTION("""COMPUTED_VALUE"""),0.0015509259259259259)</f>
        <v>0.001550925926</v>
      </c>
      <c r="E704" s="1">
        <f>IFERROR(__xludf.DUMMYFUNCTION("""COMPUTED_VALUE"""),1.17)</f>
        <v>1.17</v>
      </c>
      <c r="F704" s="1">
        <f>IFERROR(__xludf.DUMMYFUNCTION("""COMPUTED_VALUE"""),3.74)</f>
        <v>3.74</v>
      </c>
      <c r="G704" s="5">
        <f>IFERROR(__xludf.DUMMYFUNCTION("""COMPUTED_VALUE"""),9817.0)</f>
        <v>9817</v>
      </c>
      <c r="H704" s="5">
        <f>IFERROR(__xludf.DUMMYFUNCTION("""COMPUTED_VALUE"""),2624.0)</f>
        <v>2624</v>
      </c>
    </row>
    <row r="705">
      <c r="A705" s="4">
        <f>IFERROR(__xludf.DUMMYFUNCTION("""COMPUTED_VALUE"""),43073.0)</f>
        <v>43073</v>
      </c>
      <c r="B705" s="5">
        <f>IFERROR(__xludf.DUMMYFUNCTION("""COMPUTED_VALUE"""),3180.0)</f>
        <v>3180</v>
      </c>
      <c r="C705" s="6">
        <f>IFERROR(__xludf.DUMMYFUNCTION("""COMPUTED_VALUE"""),0.434)</f>
        <v>0.434</v>
      </c>
      <c r="D705" s="2">
        <f>IFERROR(__xludf.DUMMYFUNCTION("""COMPUTED_VALUE"""),0.001712962962962963)</f>
        <v>0.001712962963</v>
      </c>
      <c r="E705" s="1">
        <f>IFERROR(__xludf.DUMMYFUNCTION("""COMPUTED_VALUE"""),1.16)</f>
        <v>1.16</v>
      </c>
      <c r="F705" s="1">
        <f>IFERROR(__xludf.DUMMYFUNCTION("""COMPUTED_VALUE"""),4.07)</f>
        <v>4.07</v>
      </c>
      <c r="G705" s="5">
        <f>IFERROR(__xludf.DUMMYFUNCTION("""COMPUTED_VALUE"""),14968.0)</f>
        <v>14968</v>
      </c>
      <c r="H705" s="5">
        <f>IFERROR(__xludf.DUMMYFUNCTION("""COMPUTED_VALUE"""),3680.0)</f>
        <v>3680</v>
      </c>
    </row>
    <row r="706">
      <c r="A706" s="4">
        <f>IFERROR(__xludf.DUMMYFUNCTION("""COMPUTED_VALUE"""),43074.0)</f>
        <v>43074</v>
      </c>
      <c r="B706" s="5">
        <f>IFERROR(__xludf.DUMMYFUNCTION("""COMPUTED_VALUE"""),3249.0)</f>
        <v>3249</v>
      </c>
      <c r="C706" s="6">
        <f>IFERROR(__xludf.DUMMYFUNCTION("""COMPUTED_VALUE"""),0.4553)</f>
        <v>0.4553</v>
      </c>
      <c r="D706" s="2">
        <f>IFERROR(__xludf.DUMMYFUNCTION("""COMPUTED_VALUE"""),0.001736111111111111)</f>
        <v>0.001736111111</v>
      </c>
      <c r="E706" s="1">
        <f>IFERROR(__xludf.DUMMYFUNCTION("""COMPUTED_VALUE"""),1.15)</f>
        <v>1.15</v>
      </c>
      <c r="F706" s="1">
        <f>IFERROR(__xludf.DUMMYFUNCTION("""COMPUTED_VALUE"""),4.15)</f>
        <v>4.15</v>
      </c>
      <c r="G706" s="5">
        <f>IFERROR(__xludf.DUMMYFUNCTION("""COMPUTED_VALUE"""),15454.0)</f>
        <v>15454</v>
      </c>
      <c r="H706" s="5">
        <f>IFERROR(__xludf.DUMMYFUNCTION("""COMPUTED_VALUE"""),3721.0)</f>
        <v>3721</v>
      </c>
    </row>
    <row r="707">
      <c r="A707" s="4">
        <f>IFERROR(__xludf.DUMMYFUNCTION("""COMPUTED_VALUE"""),43075.0)</f>
        <v>43075</v>
      </c>
      <c r="B707" s="5">
        <f>IFERROR(__xludf.DUMMYFUNCTION("""COMPUTED_VALUE"""),3346.0)</f>
        <v>3346</v>
      </c>
      <c r="C707" s="6">
        <f>IFERROR(__xludf.DUMMYFUNCTION("""COMPUTED_VALUE"""),0.408)</f>
        <v>0.408</v>
      </c>
      <c r="D707" s="2">
        <f>IFERROR(__xludf.DUMMYFUNCTION("""COMPUTED_VALUE"""),0.0021527777777777778)</f>
        <v>0.002152777778</v>
      </c>
      <c r="E707" s="1">
        <f>IFERROR(__xludf.DUMMYFUNCTION("""COMPUTED_VALUE"""),1.15)</f>
        <v>1.15</v>
      </c>
      <c r="F707" s="1">
        <f>IFERROR(__xludf.DUMMYFUNCTION("""COMPUTED_VALUE"""),4.5)</f>
        <v>4.5</v>
      </c>
      <c r="G707" s="5">
        <f>IFERROR(__xludf.DUMMYFUNCTION("""COMPUTED_VALUE"""),17301.0)</f>
        <v>17301</v>
      </c>
      <c r="H707" s="5">
        <f>IFERROR(__xludf.DUMMYFUNCTION("""COMPUTED_VALUE"""),3846.0)</f>
        <v>3846</v>
      </c>
    </row>
    <row r="708">
      <c r="A708" s="4">
        <f>IFERROR(__xludf.DUMMYFUNCTION("""COMPUTED_VALUE"""),43076.0)</f>
        <v>43076</v>
      </c>
      <c r="B708" s="5">
        <f>IFERROR(__xludf.DUMMYFUNCTION("""COMPUTED_VALUE"""),3374.0)</f>
        <v>3374</v>
      </c>
      <c r="C708" s="6">
        <f>IFERROR(__xludf.DUMMYFUNCTION("""COMPUTED_VALUE"""),0.4275)</f>
        <v>0.4275</v>
      </c>
      <c r="D708" s="2">
        <f>IFERROR(__xludf.DUMMYFUNCTION("""COMPUTED_VALUE"""),0.0021643518518518518)</f>
        <v>0.002164351852</v>
      </c>
      <c r="E708" s="1">
        <f>IFERROR(__xludf.DUMMYFUNCTION("""COMPUTED_VALUE"""),1.14)</f>
        <v>1.14</v>
      </c>
      <c r="F708" s="1">
        <f>IFERROR(__xludf.DUMMYFUNCTION("""COMPUTED_VALUE"""),4.55)</f>
        <v>4.55</v>
      </c>
      <c r="G708" s="5">
        <f>IFERROR(__xludf.DUMMYFUNCTION("""COMPUTED_VALUE"""),17454.0)</f>
        <v>17454</v>
      </c>
      <c r="H708" s="5">
        <f>IFERROR(__xludf.DUMMYFUNCTION("""COMPUTED_VALUE"""),3832.0)</f>
        <v>3832</v>
      </c>
    </row>
    <row r="709">
      <c r="A709" s="4">
        <f>IFERROR(__xludf.DUMMYFUNCTION("""COMPUTED_VALUE"""),43077.0)</f>
        <v>43077</v>
      </c>
      <c r="B709" s="5">
        <f>IFERROR(__xludf.DUMMYFUNCTION("""COMPUTED_VALUE"""),2749.0)</f>
        <v>2749</v>
      </c>
      <c r="C709" s="6">
        <f>IFERROR(__xludf.DUMMYFUNCTION("""COMPUTED_VALUE"""),0.4069)</f>
        <v>0.4069</v>
      </c>
      <c r="D709" s="2">
        <f>IFERROR(__xludf.DUMMYFUNCTION("""COMPUTED_VALUE"""),0.0017013888888888888)</f>
        <v>0.001701388889</v>
      </c>
      <c r="E709" s="1">
        <f>IFERROR(__xludf.DUMMYFUNCTION("""COMPUTED_VALUE"""),1.14)</f>
        <v>1.14</v>
      </c>
      <c r="F709" s="1">
        <f>IFERROR(__xludf.DUMMYFUNCTION("""COMPUTED_VALUE"""),4.84)</f>
        <v>4.84</v>
      </c>
      <c r="G709" s="5">
        <f>IFERROR(__xludf.DUMMYFUNCTION("""COMPUTED_VALUE"""),15177.0)</f>
        <v>15177</v>
      </c>
      <c r="H709" s="5">
        <f>IFERROR(__xludf.DUMMYFUNCTION("""COMPUTED_VALUE"""),3138.0)</f>
        <v>3138</v>
      </c>
    </row>
    <row r="710">
      <c r="A710" s="4">
        <f>IFERROR(__xludf.DUMMYFUNCTION("""COMPUTED_VALUE"""),43078.0)</f>
        <v>43078</v>
      </c>
      <c r="B710" s="5">
        <f>IFERROR(__xludf.DUMMYFUNCTION("""COMPUTED_VALUE"""),2069.0)</f>
        <v>2069</v>
      </c>
      <c r="C710" s="6">
        <f>IFERROR(__xludf.DUMMYFUNCTION("""COMPUTED_VALUE"""),0.4516)</f>
        <v>0.4516</v>
      </c>
      <c r="D710" s="2">
        <f>IFERROR(__xludf.DUMMYFUNCTION("""COMPUTED_VALUE"""),0.0023263888888888887)</f>
        <v>0.002326388889</v>
      </c>
      <c r="E710" s="1">
        <f>IFERROR(__xludf.DUMMYFUNCTION("""COMPUTED_VALUE"""),1.11)</f>
        <v>1.11</v>
      </c>
      <c r="F710" s="1">
        <f>IFERROR(__xludf.DUMMYFUNCTION("""COMPUTED_VALUE"""),4.57)</f>
        <v>4.57</v>
      </c>
      <c r="G710" s="5">
        <f>IFERROR(__xludf.DUMMYFUNCTION("""COMPUTED_VALUE"""),10539.0)</f>
        <v>10539</v>
      </c>
      <c r="H710" s="5">
        <f>IFERROR(__xludf.DUMMYFUNCTION("""COMPUTED_VALUE"""),2305.0)</f>
        <v>2305</v>
      </c>
    </row>
    <row r="711">
      <c r="A711" s="4">
        <f>IFERROR(__xludf.DUMMYFUNCTION("""COMPUTED_VALUE"""),43079.0)</f>
        <v>43079</v>
      </c>
      <c r="B711" s="5">
        <f>IFERROR(__xludf.DUMMYFUNCTION("""COMPUTED_VALUE"""),2430.0)</f>
        <v>2430</v>
      </c>
      <c r="C711" s="6">
        <f>IFERROR(__xludf.DUMMYFUNCTION("""COMPUTED_VALUE"""),0.4636)</f>
        <v>0.4636</v>
      </c>
      <c r="D711" s="2">
        <f>IFERROR(__xludf.DUMMYFUNCTION("""COMPUTED_VALUE"""),0.0021875)</f>
        <v>0.0021875</v>
      </c>
      <c r="E711" s="1">
        <f>IFERROR(__xludf.DUMMYFUNCTION("""COMPUTED_VALUE"""),1.1)</f>
        <v>1.1</v>
      </c>
      <c r="F711" s="1">
        <f>IFERROR(__xludf.DUMMYFUNCTION("""COMPUTED_VALUE"""),4.64)</f>
        <v>4.64</v>
      </c>
      <c r="G711" s="5">
        <f>IFERROR(__xludf.DUMMYFUNCTION("""COMPUTED_VALUE"""),12358.0)</f>
        <v>12358</v>
      </c>
      <c r="H711" s="5">
        <f>IFERROR(__xludf.DUMMYFUNCTION("""COMPUTED_VALUE"""),2666.0)</f>
        <v>2666</v>
      </c>
    </row>
    <row r="712">
      <c r="A712" s="4">
        <f>IFERROR(__xludf.DUMMYFUNCTION("""COMPUTED_VALUE"""),43080.0)</f>
        <v>43080</v>
      </c>
      <c r="B712" s="5">
        <f>IFERROR(__xludf.DUMMYFUNCTION("""COMPUTED_VALUE"""),3235.0)</f>
        <v>3235</v>
      </c>
      <c r="C712" s="6">
        <f>IFERROR(__xludf.DUMMYFUNCTION("""COMPUTED_VALUE"""),0.4)</f>
        <v>0.4</v>
      </c>
      <c r="D712" s="2">
        <f>IFERROR(__xludf.DUMMYFUNCTION("""COMPUTED_VALUE"""),0.0019444444444444444)</f>
        <v>0.001944444444</v>
      </c>
      <c r="E712" s="1">
        <f>IFERROR(__xludf.DUMMYFUNCTION("""COMPUTED_VALUE"""),1.12)</f>
        <v>1.12</v>
      </c>
      <c r="F712" s="1">
        <f>IFERROR(__xludf.DUMMYFUNCTION("""COMPUTED_VALUE"""),4.5)</f>
        <v>4.5</v>
      </c>
      <c r="G712" s="5">
        <f>IFERROR(__xludf.DUMMYFUNCTION("""COMPUTED_VALUE"""),16260.0)</f>
        <v>16260</v>
      </c>
      <c r="H712" s="5">
        <f>IFERROR(__xludf.DUMMYFUNCTION("""COMPUTED_VALUE"""),3610.0)</f>
        <v>3610</v>
      </c>
    </row>
    <row r="713">
      <c r="A713" s="4">
        <f>IFERROR(__xludf.DUMMYFUNCTION("""COMPUTED_VALUE"""),43081.0)</f>
        <v>43081</v>
      </c>
      <c r="B713" s="5">
        <f>IFERROR(__xludf.DUMMYFUNCTION("""COMPUTED_VALUE"""),8734.0)</f>
        <v>8734</v>
      </c>
      <c r="C713" s="6">
        <f>IFERROR(__xludf.DUMMYFUNCTION("""COMPUTED_VALUE"""),0.6781)</f>
        <v>0.6781</v>
      </c>
      <c r="D713" s="2">
        <f>IFERROR(__xludf.DUMMYFUNCTION("""COMPUTED_VALUE"""),7.523148148148148E-4)</f>
        <v>0.0007523148148</v>
      </c>
      <c r="E713" s="1">
        <f>IFERROR(__xludf.DUMMYFUNCTION("""COMPUTED_VALUE"""),1.07)</f>
        <v>1.07</v>
      </c>
      <c r="F713" s="1">
        <f>IFERROR(__xludf.DUMMYFUNCTION("""COMPUTED_VALUE"""),2.34)</f>
        <v>2.34</v>
      </c>
      <c r="G713" s="5">
        <f>IFERROR(__xludf.DUMMYFUNCTION("""COMPUTED_VALUE"""),21814.0)</f>
        <v>21814</v>
      </c>
      <c r="H713" s="5">
        <f>IFERROR(__xludf.DUMMYFUNCTION("""COMPUTED_VALUE"""),9317.0)</f>
        <v>9317</v>
      </c>
    </row>
    <row r="714">
      <c r="A714" s="4">
        <f>IFERROR(__xludf.DUMMYFUNCTION("""COMPUTED_VALUE"""),43082.0)</f>
        <v>43082</v>
      </c>
      <c r="B714" s="5">
        <f>IFERROR(__xludf.DUMMYFUNCTION("""COMPUTED_VALUE"""),8067.0)</f>
        <v>8067</v>
      </c>
      <c r="C714" s="6">
        <f>IFERROR(__xludf.DUMMYFUNCTION("""COMPUTED_VALUE"""),0.6528)</f>
        <v>0.6528</v>
      </c>
      <c r="D714" s="2">
        <f>IFERROR(__xludf.DUMMYFUNCTION("""COMPUTED_VALUE"""),0.0012731481481481483)</f>
        <v>0.001273148148</v>
      </c>
      <c r="E714" s="1">
        <f>IFERROR(__xludf.DUMMYFUNCTION("""COMPUTED_VALUE"""),1.12)</f>
        <v>1.12</v>
      </c>
      <c r="F714" s="1">
        <f>IFERROR(__xludf.DUMMYFUNCTION("""COMPUTED_VALUE"""),2.92)</f>
        <v>2.92</v>
      </c>
      <c r="G714" s="5">
        <f>IFERROR(__xludf.DUMMYFUNCTION("""COMPUTED_VALUE"""),26313.0)</f>
        <v>26313</v>
      </c>
      <c r="H714" s="5">
        <f>IFERROR(__xludf.DUMMYFUNCTION("""COMPUTED_VALUE"""),8998.0)</f>
        <v>8998</v>
      </c>
    </row>
    <row r="715">
      <c r="A715" s="4">
        <f>IFERROR(__xludf.DUMMYFUNCTION("""COMPUTED_VALUE"""),43083.0)</f>
        <v>43083</v>
      </c>
      <c r="B715" s="5">
        <f>IFERROR(__xludf.DUMMYFUNCTION("""COMPUTED_VALUE"""),3416.0)</f>
        <v>3416</v>
      </c>
      <c r="C715" s="6">
        <f>IFERROR(__xludf.DUMMYFUNCTION("""COMPUTED_VALUE"""),0.4668)</f>
        <v>0.4668</v>
      </c>
      <c r="D715" s="2">
        <f>IFERROR(__xludf.DUMMYFUNCTION("""COMPUTED_VALUE"""),0.001261574074074074)</f>
        <v>0.001261574074</v>
      </c>
      <c r="E715" s="1">
        <f>IFERROR(__xludf.DUMMYFUNCTION("""COMPUTED_VALUE"""),1.11)</f>
        <v>1.11</v>
      </c>
      <c r="F715" s="1">
        <f>IFERROR(__xludf.DUMMYFUNCTION("""COMPUTED_VALUE"""),3.43)</f>
        <v>3.43</v>
      </c>
      <c r="G715" s="5">
        <f>IFERROR(__xludf.DUMMYFUNCTION("""COMPUTED_VALUE"""),12955.0)</f>
        <v>12955</v>
      </c>
      <c r="H715" s="5">
        <f>IFERROR(__xludf.DUMMYFUNCTION("""COMPUTED_VALUE"""),3777.0)</f>
        <v>3777</v>
      </c>
    </row>
    <row r="716">
      <c r="A716" s="4">
        <f>IFERROR(__xludf.DUMMYFUNCTION("""COMPUTED_VALUE"""),43084.0)</f>
        <v>43084</v>
      </c>
      <c r="B716" s="5">
        <f>IFERROR(__xludf.DUMMYFUNCTION("""COMPUTED_VALUE"""),3485.0)</f>
        <v>3485</v>
      </c>
      <c r="C716" s="6">
        <f>IFERROR(__xludf.DUMMYFUNCTION("""COMPUTED_VALUE"""),0.5384)</f>
        <v>0.5384</v>
      </c>
      <c r="D716" s="2">
        <f>IFERROR(__xludf.DUMMYFUNCTION("""COMPUTED_VALUE"""),0.0012037037037037038)</f>
        <v>0.001203703704</v>
      </c>
      <c r="E716" s="1">
        <f>IFERROR(__xludf.DUMMYFUNCTION("""COMPUTED_VALUE"""),1.09)</f>
        <v>1.09</v>
      </c>
      <c r="F716" s="1">
        <f>IFERROR(__xludf.DUMMYFUNCTION("""COMPUTED_VALUE"""),3.57)</f>
        <v>3.57</v>
      </c>
      <c r="G716" s="5">
        <f>IFERROR(__xludf.DUMMYFUNCTION("""COMPUTED_VALUE"""),13524.0)</f>
        <v>13524</v>
      </c>
      <c r="H716" s="5">
        <f>IFERROR(__xludf.DUMMYFUNCTION("""COMPUTED_VALUE"""),3791.0)</f>
        <v>3791</v>
      </c>
    </row>
    <row r="717">
      <c r="A717" s="4">
        <f>IFERROR(__xludf.DUMMYFUNCTION("""COMPUTED_VALUE"""),43085.0)</f>
        <v>43085</v>
      </c>
      <c r="B717" s="5">
        <f>IFERROR(__xludf.DUMMYFUNCTION("""COMPUTED_VALUE"""),2527.0)</f>
        <v>2527</v>
      </c>
      <c r="C717" s="6">
        <f>IFERROR(__xludf.DUMMYFUNCTION("""COMPUTED_VALUE"""),0.51)</f>
        <v>0.51</v>
      </c>
      <c r="D717" s="2">
        <f>IFERROR(__xludf.DUMMYFUNCTION("""COMPUTED_VALUE"""),0.0015277777777777779)</f>
        <v>0.001527777778</v>
      </c>
      <c r="E717" s="1">
        <f>IFERROR(__xludf.DUMMYFUNCTION("""COMPUTED_VALUE"""),1.09)</f>
        <v>1.09</v>
      </c>
      <c r="F717" s="1">
        <f>IFERROR(__xludf.DUMMYFUNCTION("""COMPUTED_VALUE"""),4.14)</f>
        <v>4.14</v>
      </c>
      <c r="G717" s="5">
        <f>IFERROR(__xludf.DUMMYFUNCTION("""COMPUTED_VALUE"""),11372.0)</f>
        <v>11372</v>
      </c>
      <c r="H717" s="5">
        <f>IFERROR(__xludf.DUMMYFUNCTION("""COMPUTED_VALUE"""),2749.0)</f>
        <v>2749</v>
      </c>
    </row>
    <row r="718">
      <c r="A718" s="4">
        <f>IFERROR(__xludf.DUMMYFUNCTION("""COMPUTED_VALUE"""),43086.0)</f>
        <v>43086</v>
      </c>
      <c r="B718" s="5">
        <f>IFERROR(__xludf.DUMMYFUNCTION("""COMPUTED_VALUE"""),2499.0)</f>
        <v>2499</v>
      </c>
      <c r="C718" s="6">
        <f>IFERROR(__xludf.DUMMYFUNCTION("""COMPUTED_VALUE"""),0.5053)</f>
        <v>0.5053</v>
      </c>
      <c r="D718" s="2">
        <f>IFERROR(__xludf.DUMMYFUNCTION("""COMPUTED_VALUE"""),0.0016319444444444445)</f>
        <v>0.001631944444</v>
      </c>
      <c r="E718" s="1">
        <f>IFERROR(__xludf.DUMMYFUNCTION("""COMPUTED_VALUE"""),1.1)</f>
        <v>1.1</v>
      </c>
      <c r="F718" s="1">
        <f>IFERROR(__xludf.DUMMYFUNCTION("""COMPUTED_VALUE"""),3.35)</f>
        <v>3.35</v>
      </c>
      <c r="G718" s="5">
        <f>IFERROR(__xludf.DUMMYFUNCTION("""COMPUTED_VALUE"""),9206.0)</f>
        <v>9206</v>
      </c>
      <c r="H718" s="5">
        <f>IFERROR(__xludf.DUMMYFUNCTION("""COMPUTED_VALUE"""),2749.0)</f>
        <v>2749</v>
      </c>
    </row>
    <row r="719">
      <c r="A719" s="4">
        <f>IFERROR(__xludf.DUMMYFUNCTION("""COMPUTED_VALUE"""),43087.0)</f>
        <v>43087</v>
      </c>
      <c r="B719" s="5">
        <f>IFERROR(__xludf.DUMMYFUNCTION("""COMPUTED_VALUE"""),3735.0)</f>
        <v>3735</v>
      </c>
      <c r="C719" s="6">
        <f>IFERROR(__xludf.DUMMYFUNCTION("""COMPUTED_VALUE"""),0.4243)</f>
        <v>0.4243</v>
      </c>
      <c r="D719" s="2">
        <f>IFERROR(__xludf.DUMMYFUNCTION("""COMPUTED_VALUE"""),0.0015277777777777779)</f>
        <v>0.001527777778</v>
      </c>
      <c r="E719" s="1">
        <f>IFERROR(__xludf.DUMMYFUNCTION("""COMPUTED_VALUE"""),1.1)</f>
        <v>1.1</v>
      </c>
      <c r="F719" s="1">
        <f>IFERROR(__xludf.DUMMYFUNCTION("""COMPUTED_VALUE"""),4.52)</f>
        <v>4.52</v>
      </c>
      <c r="G719" s="5">
        <f>IFERROR(__xludf.DUMMYFUNCTION("""COMPUTED_VALUE"""),18634.0)</f>
        <v>18634</v>
      </c>
      <c r="H719" s="5">
        <f>IFERROR(__xludf.DUMMYFUNCTION("""COMPUTED_VALUE"""),4124.0)</f>
        <v>4124</v>
      </c>
    </row>
    <row r="720">
      <c r="A720" s="4">
        <f>IFERROR(__xludf.DUMMYFUNCTION("""COMPUTED_VALUE"""),43088.0)</f>
        <v>43088</v>
      </c>
      <c r="B720" s="5">
        <f>IFERROR(__xludf.DUMMYFUNCTION("""COMPUTED_VALUE"""),3444.0)</f>
        <v>3444</v>
      </c>
      <c r="C720" s="6">
        <f>IFERROR(__xludf.DUMMYFUNCTION("""COMPUTED_VALUE"""),0.5036)</f>
        <v>0.5036</v>
      </c>
      <c r="D720" s="2">
        <f>IFERROR(__xludf.DUMMYFUNCTION("""COMPUTED_VALUE"""),0.0015393518518518519)</f>
        <v>0.001539351852</v>
      </c>
      <c r="E720" s="1">
        <f>IFERROR(__xludf.DUMMYFUNCTION("""COMPUTED_VALUE"""),1.1)</f>
        <v>1.1</v>
      </c>
      <c r="F720" s="1">
        <f>IFERROR(__xludf.DUMMYFUNCTION("""COMPUTED_VALUE"""),3.96)</f>
        <v>3.96</v>
      </c>
      <c r="G720" s="5">
        <f>IFERROR(__xludf.DUMMYFUNCTION("""COMPUTED_VALUE"""),14968.0)</f>
        <v>14968</v>
      </c>
      <c r="H720" s="5">
        <f>IFERROR(__xludf.DUMMYFUNCTION("""COMPUTED_VALUE"""),3777.0)</f>
        <v>3777</v>
      </c>
    </row>
    <row r="721">
      <c r="A721" s="4">
        <f>IFERROR(__xludf.DUMMYFUNCTION("""COMPUTED_VALUE"""),43089.0)</f>
        <v>43089</v>
      </c>
      <c r="B721" s="5">
        <f>IFERROR(__xludf.DUMMYFUNCTION("""COMPUTED_VALUE"""),3194.0)</f>
        <v>3194</v>
      </c>
      <c r="C721" s="6">
        <f>IFERROR(__xludf.DUMMYFUNCTION("""COMPUTED_VALUE"""),0.474)</f>
        <v>0.474</v>
      </c>
      <c r="D721" s="2">
        <f>IFERROR(__xludf.DUMMYFUNCTION("""COMPUTED_VALUE"""),0.0014351851851851852)</f>
        <v>0.001435185185</v>
      </c>
      <c r="E721" s="1">
        <f>IFERROR(__xludf.DUMMYFUNCTION("""COMPUTED_VALUE"""),1.09)</f>
        <v>1.09</v>
      </c>
      <c r="F721" s="1">
        <f>IFERROR(__xludf.DUMMYFUNCTION("""COMPUTED_VALUE"""),4.15)</f>
        <v>4.15</v>
      </c>
      <c r="G721" s="5">
        <f>IFERROR(__xludf.DUMMYFUNCTION("""COMPUTED_VALUE"""),14469.0)</f>
        <v>14469</v>
      </c>
      <c r="H721" s="5">
        <f>IFERROR(__xludf.DUMMYFUNCTION("""COMPUTED_VALUE"""),3485.0)</f>
        <v>3485</v>
      </c>
    </row>
    <row r="722">
      <c r="A722" s="4">
        <f>IFERROR(__xludf.DUMMYFUNCTION("""COMPUTED_VALUE"""),43090.0)</f>
        <v>43090</v>
      </c>
      <c r="B722" s="5">
        <f>IFERROR(__xludf.DUMMYFUNCTION("""COMPUTED_VALUE"""),2860.0)</f>
        <v>2860</v>
      </c>
      <c r="C722" s="6">
        <f>IFERROR(__xludf.DUMMYFUNCTION("""COMPUTED_VALUE"""),0.5044)</f>
        <v>0.5044</v>
      </c>
      <c r="D722" s="2">
        <f>IFERROR(__xludf.DUMMYFUNCTION("""COMPUTED_VALUE"""),0.0011111111111111111)</f>
        <v>0.001111111111</v>
      </c>
      <c r="E722" s="1">
        <f>IFERROR(__xludf.DUMMYFUNCTION("""COMPUTED_VALUE"""),1.11)</f>
        <v>1.11</v>
      </c>
      <c r="F722" s="1">
        <f>IFERROR(__xludf.DUMMYFUNCTION("""COMPUTED_VALUE"""),3.47)</f>
        <v>3.47</v>
      </c>
      <c r="G722" s="5">
        <f>IFERROR(__xludf.DUMMYFUNCTION("""COMPUTED_VALUE"""),10983.0)</f>
        <v>10983</v>
      </c>
      <c r="H722" s="5">
        <f>IFERROR(__xludf.DUMMYFUNCTION("""COMPUTED_VALUE"""),3166.0)</f>
        <v>3166</v>
      </c>
    </row>
    <row r="723">
      <c r="A723" s="4">
        <f>IFERROR(__xludf.DUMMYFUNCTION("""COMPUTED_VALUE"""),43091.0)</f>
        <v>43091</v>
      </c>
      <c r="B723" s="5">
        <f>IFERROR(__xludf.DUMMYFUNCTION("""COMPUTED_VALUE"""),2458.0)</f>
        <v>2458</v>
      </c>
      <c r="C723" s="6">
        <f>IFERROR(__xludf.DUMMYFUNCTION("""COMPUTED_VALUE"""),0.4922)</f>
        <v>0.4922</v>
      </c>
      <c r="D723" s="2">
        <f>IFERROR(__xludf.DUMMYFUNCTION("""COMPUTED_VALUE"""),0.0013541666666666667)</f>
        <v>0.001354166667</v>
      </c>
      <c r="E723" s="1">
        <f>IFERROR(__xludf.DUMMYFUNCTION("""COMPUTED_VALUE"""),1.09)</f>
        <v>1.09</v>
      </c>
      <c r="F723" s="1">
        <f>IFERROR(__xludf.DUMMYFUNCTION("""COMPUTED_VALUE"""),3.65)</f>
        <v>3.65</v>
      </c>
      <c r="G723" s="5">
        <f>IFERROR(__xludf.DUMMYFUNCTION("""COMPUTED_VALUE"""),9775.0)</f>
        <v>9775</v>
      </c>
      <c r="H723" s="5">
        <f>IFERROR(__xludf.DUMMYFUNCTION("""COMPUTED_VALUE"""),2680.0)</f>
        <v>2680</v>
      </c>
    </row>
    <row r="724">
      <c r="A724" s="4">
        <f>IFERROR(__xludf.DUMMYFUNCTION("""COMPUTED_VALUE"""),43092.0)</f>
        <v>43092</v>
      </c>
      <c r="B724" s="5">
        <f>IFERROR(__xludf.DUMMYFUNCTION("""COMPUTED_VALUE"""),1944.0)</f>
        <v>1944</v>
      </c>
      <c r="C724" s="6">
        <f>IFERROR(__xludf.DUMMYFUNCTION("""COMPUTED_VALUE"""),0.5424)</f>
        <v>0.5424</v>
      </c>
      <c r="D724" s="2">
        <f>IFERROR(__xludf.DUMMYFUNCTION("""COMPUTED_VALUE"""),0.0016898148148148148)</f>
        <v>0.001689814815</v>
      </c>
      <c r="E724" s="1">
        <f>IFERROR(__xludf.DUMMYFUNCTION("""COMPUTED_VALUE"""),1.09)</f>
        <v>1.09</v>
      </c>
      <c r="F724" s="1">
        <f>IFERROR(__xludf.DUMMYFUNCTION("""COMPUTED_VALUE"""),3.94)</f>
        <v>3.94</v>
      </c>
      <c r="G724" s="5">
        <f>IFERROR(__xludf.DUMMYFUNCTION("""COMPUTED_VALUE"""),8373.0)</f>
        <v>8373</v>
      </c>
      <c r="H724" s="5">
        <f>IFERROR(__xludf.DUMMYFUNCTION("""COMPUTED_VALUE"""),2124.0)</f>
        <v>2124</v>
      </c>
    </row>
    <row r="725">
      <c r="A725" s="4">
        <f>IFERROR(__xludf.DUMMYFUNCTION("""COMPUTED_VALUE"""),43093.0)</f>
        <v>43093</v>
      </c>
      <c r="B725" s="5">
        <f>IFERROR(__xludf.DUMMYFUNCTION("""COMPUTED_VALUE"""),1819.0)</f>
        <v>1819</v>
      </c>
      <c r="C725" s="6">
        <f>IFERROR(__xludf.DUMMYFUNCTION("""COMPUTED_VALUE"""),0.5942)</f>
        <v>0.5942</v>
      </c>
      <c r="D725" s="2">
        <f>IFERROR(__xludf.DUMMYFUNCTION("""COMPUTED_VALUE"""),0.0015046296296296296)</f>
        <v>0.00150462963</v>
      </c>
      <c r="E725" s="1">
        <f>IFERROR(__xludf.DUMMYFUNCTION("""COMPUTED_VALUE"""),1.09)</f>
        <v>1.09</v>
      </c>
      <c r="F725" s="1">
        <f>IFERROR(__xludf.DUMMYFUNCTION("""COMPUTED_VALUE"""),3.57)</f>
        <v>3.57</v>
      </c>
      <c r="G725" s="5">
        <f>IFERROR(__xludf.DUMMYFUNCTION("""COMPUTED_VALUE"""),7082.0)</f>
        <v>7082</v>
      </c>
      <c r="H725" s="5">
        <f>IFERROR(__xludf.DUMMYFUNCTION("""COMPUTED_VALUE"""),1986.0)</f>
        <v>1986</v>
      </c>
    </row>
    <row r="726">
      <c r="A726" s="4">
        <f>IFERROR(__xludf.DUMMYFUNCTION("""COMPUTED_VALUE"""),43094.0)</f>
        <v>43094</v>
      </c>
      <c r="B726" s="5">
        <f>IFERROR(__xludf.DUMMYFUNCTION("""COMPUTED_VALUE"""),2027.0)</f>
        <v>2027</v>
      </c>
      <c r="C726" s="6">
        <f>IFERROR(__xludf.DUMMYFUNCTION("""COMPUTED_VALUE"""),0.5734)</f>
        <v>0.5734</v>
      </c>
      <c r="D726" s="2">
        <f>IFERROR(__xludf.DUMMYFUNCTION("""COMPUTED_VALUE"""),0.0011574074074074073)</f>
        <v>0.001157407407</v>
      </c>
      <c r="E726" s="1">
        <f>IFERROR(__xludf.DUMMYFUNCTION("""COMPUTED_VALUE"""),1.08)</f>
        <v>1.08</v>
      </c>
      <c r="F726" s="1">
        <f>IFERROR(__xludf.DUMMYFUNCTION("""COMPUTED_VALUE"""),3.22)</f>
        <v>3.22</v>
      </c>
      <c r="G726" s="5">
        <f>IFERROR(__xludf.DUMMYFUNCTION("""COMPUTED_VALUE"""),7012.0)</f>
        <v>7012</v>
      </c>
      <c r="H726" s="5">
        <f>IFERROR(__xludf.DUMMYFUNCTION("""COMPUTED_VALUE"""),2180.0)</f>
        <v>2180</v>
      </c>
    </row>
    <row r="727">
      <c r="A727" s="4">
        <f>IFERROR(__xludf.DUMMYFUNCTION("""COMPUTED_VALUE"""),43095.0)</f>
        <v>43095</v>
      </c>
      <c r="B727" s="5">
        <f>IFERROR(__xludf.DUMMYFUNCTION("""COMPUTED_VALUE"""),2208.0)</f>
        <v>2208</v>
      </c>
      <c r="C727" s="6">
        <f>IFERROR(__xludf.DUMMYFUNCTION("""COMPUTED_VALUE"""),0.5217)</f>
        <v>0.5217</v>
      </c>
      <c r="D727" s="2">
        <f>IFERROR(__xludf.DUMMYFUNCTION("""COMPUTED_VALUE"""),0.0017476851851851852)</f>
        <v>0.001747685185</v>
      </c>
      <c r="E727" s="1">
        <f>IFERROR(__xludf.DUMMYFUNCTION("""COMPUTED_VALUE"""),1.16)</f>
        <v>1.16</v>
      </c>
      <c r="F727" s="1">
        <f>IFERROR(__xludf.DUMMYFUNCTION("""COMPUTED_VALUE"""),3.49)</f>
        <v>3.49</v>
      </c>
      <c r="G727" s="5">
        <f>IFERROR(__xludf.DUMMYFUNCTION("""COMPUTED_VALUE"""),8914.0)</f>
        <v>8914</v>
      </c>
      <c r="H727" s="5">
        <f>IFERROR(__xludf.DUMMYFUNCTION("""COMPUTED_VALUE"""),2555.0)</f>
        <v>2555</v>
      </c>
    </row>
    <row r="728">
      <c r="A728" s="4">
        <f>IFERROR(__xludf.DUMMYFUNCTION("""COMPUTED_VALUE"""),43096.0)</f>
        <v>43096</v>
      </c>
      <c r="B728" s="5">
        <f>IFERROR(__xludf.DUMMYFUNCTION("""COMPUTED_VALUE"""),2680.0)</f>
        <v>2680</v>
      </c>
      <c r="C728" s="6">
        <f>IFERROR(__xludf.DUMMYFUNCTION("""COMPUTED_VALUE"""),0.5096)</f>
        <v>0.5096</v>
      </c>
      <c r="D728" s="2">
        <f>IFERROR(__xludf.DUMMYFUNCTION("""COMPUTED_VALUE"""),0.0010763888888888889)</f>
        <v>0.001076388889</v>
      </c>
      <c r="E728" s="1">
        <f>IFERROR(__xludf.DUMMYFUNCTION("""COMPUTED_VALUE"""),1.09)</f>
        <v>1.09</v>
      </c>
      <c r="F728" s="1">
        <f>IFERROR(__xludf.DUMMYFUNCTION("""COMPUTED_VALUE"""),3.08)</f>
        <v>3.08</v>
      </c>
      <c r="G728" s="5">
        <f>IFERROR(__xludf.DUMMYFUNCTION("""COMPUTED_VALUE"""),8970.0)</f>
        <v>8970</v>
      </c>
      <c r="H728" s="5">
        <f>IFERROR(__xludf.DUMMYFUNCTION("""COMPUTED_VALUE"""),2916.0)</f>
        <v>2916</v>
      </c>
    </row>
    <row r="729">
      <c r="A729" s="4">
        <f>IFERROR(__xludf.DUMMYFUNCTION("""COMPUTED_VALUE"""),43097.0)</f>
        <v>43097</v>
      </c>
      <c r="B729" s="5">
        <f>IFERROR(__xludf.DUMMYFUNCTION("""COMPUTED_VALUE"""),2291.0)</f>
        <v>2291</v>
      </c>
      <c r="C729" s="6">
        <f>IFERROR(__xludf.DUMMYFUNCTION("""COMPUTED_VALUE"""),0.4748)</f>
        <v>0.4748</v>
      </c>
      <c r="D729" s="2">
        <f>IFERROR(__xludf.DUMMYFUNCTION("""COMPUTED_VALUE"""),0.0013194444444444445)</f>
        <v>0.001319444444</v>
      </c>
      <c r="E729" s="1">
        <f>IFERROR(__xludf.DUMMYFUNCTION("""COMPUTED_VALUE"""),1.08)</f>
        <v>1.08</v>
      </c>
      <c r="F729" s="1">
        <f>IFERROR(__xludf.DUMMYFUNCTION("""COMPUTED_VALUE"""),3.91)</f>
        <v>3.91</v>
      </c>
      <c r="G729" s="5">
        <f>IFERROR(__xludf.DUMMYFUNCTION("""COMPUTED_VALUE"""),9706.0)</f>
        <v>9706</v>
      </c>
      <c r="H729" s="5">
        <f>IFERROR(__xludf.DUMMYFUNCTION("""COMPUTED_VALUE"""),2485.0)</f>
        <v>2485</v>
      </c>
    </row>
    <row r="730">
      <c r="A730" s="4">
        <f>IFERROR(__xludf.DUMMYFUNCTION("""COMPUTED_VALUE"""),43098.0)</f>
        <v>43098</v>
      </c>
      <c r="B730" s="5">
        <f>IFERROR(__xludf.DUMMYFUNCTION("""COMPUTED_VALUE"""),1847.0)</f>
        <v>1847</v>
      </c>
      <c r="C730" s="6">
        <f>IFERROR(__xludf.DUMMYFUNCTION("""COMPUTED_VALUE"""),0.4424)</f>
        <v>0.4424</v>
      </c>
      <c r="D730" s="2">
        <f>IFERROR(__xludf.DUMMYFUNCTION("""COMPUTED_VALUE"""),0.0013773148148148147)</f>
        <v>0.001377314815</v>
      </c>
      <c r="E730" s="1">
        <f>IFERROR(__xludf.DUMMYFUNCTION("""COMPUTED_VALUE"""),1.11)</f>
        <v>1.11</v>
      </c>
      <c r="F730" s="1">
        <f>IFERROR(__xludf.DUMMYFUNCTION("""COMPUTED_VALUE"""),4.01)</f>
        <v>4.01</v>
      </c>
      <c r="G730" s="5">
        <f>IFERROR(__xludf.DUMMYFUNCTION("""COMPUTED_VALUE"""),8178.0)</f>
        <v>8178</v>
      </c>
      <c r="H730" s="5">
        <f>IFERROR(__xludf.DUMMYFUNCTION("""COMPUTED_VALUE"""),2041.0)</f>
        <v>2041</v>
      </c>
    </row>
    <row r="731">
      <c r="A731" s="4">
        <f>IFERROR(__xludf.DUMMYFUNCTION("""COMPUTED_VALUE"""),43099.0)</f>
        <v>43099</v>
      </c>
      <c r="B731" s="5">
        <f>IFERROR(__xludf.DUMMYFUNCTION("""COMPUTED_VALUE"""),1666.0)</f>
        <v>1666</v>
      </c>
      <c r="C731" s="6">
        <f>IFERROR(__xludf.DUMMYFUNCTION("""COMPUTED_VALUE"""),0.4443)</f>
        <v>0.4443</v>
      </c>
      <c r="D731" s="2">
        <f>IFERROR(__xludf.DUMMYFUNCTION("""COMPUTED_VALUE"""),0.001585648148148148)</f>
        <v>0.001585648148</v>
      </c>
      <c r="E731" s="1">
        <f>IFERROR(__xludf.DUMMYFUNCTION("""COMPUTED_VALUE"""),1.13)</f>
        <v>1.13</v>
      </c>
      <c r="F731" s="1">
        <f>IFERROR(__xludf.DUMMYFUNCTION("""COMPUTED_VALUE"""),3.65)</f>
        <v>3.65</v>
      </c>
      <c r="G731" s="5">
        <f>IFERROR(__xludf.DUMMYFUNCTION("""COMPUTED_VALUE"""),6845.0)</f>
        <v>6845</v>
      </c>
      <c r="H731" s="5">
        <f>IFERROR(__xludf.DUMMYFUNCTION("""COMPUTED_VALUE"""),1875.0)</f>
        <v>1875</v>
      </c>
    </row>
    <row r="732">
      <c r="A732" s="4">
        <f>IFERROR(__xludf.DUMMYFUNCTION("""COMPUTED_VALUE"""),43100.0)</f>
        <v>43100</v>
      </c>
      <c r="B732" s="5">
        <f>IFERROR(__xludf.DUMMYFUNCTION("""COMPUTED_VALUE"""),1514.0)</f>
        <v>1514</v>
      </c>
      <c r="C732" s="6">
        <f>IFERROR(__xludf.DUMMYFUNCTION("""COMPUTED_VALUE"""),0.4915)</f>
        <v>0.4915</v>
      </c>
      <c r="D732" s="2">
        <f>IFERROR(__xludf.DUMMYFUNCTION("""COMPUTED_VALUE"""),0.0017824074074074075)</f>
        <v>0.001782407407</v>
      </c>
      <c r="E732" s="1">
        <f>IFERROR(__xludf.DUMMYFUNCTION("""COMPUTED_VALUE"""),1.05)</f>
        <v>1.05</v>
      </c>
      <c r="F732" s="1">
        <f>IFERROR(__xludf.DUMMYFUNCTION("""COMPUTED_VALUE"""),4.02)</f>
        <v>4.02</v>
      </c>
      <c r="G732" s="5">
        <f>IFERROR(__xludf.DUMMYFUNCTION("""COMPUTED_VALUE"""),6360.0)</f>
        <v>6360</v>
      </c>
      <c r="H732" s="5">
        <f>IFERROR(__xludf.DUMMYFUNCTION("""COMPUTED_VALUE"""),1583.0)</f>
        <v>1583</v>
      </c>
    </row>
    <row r="733">
      <c r="A733" s="4">
        <f>IFERROR(__xludf.DUMMYFUNCTION("""COMPUTED_VALUE"""),43101.0)</f>
        <v>43101</v>
      </c>
      <c r="B733" s="5">
        <f>IFERROR(__xludf.DUMMYFUNCTION("""COMPUTED_VALUE"""),1763.0)</f>
        <v>1763</v>
      </c>
      <c r="C733" s="6">
        <f>IFERROR(__xludf.DUMMYFUNCTION("""COMPUTED_VALUE"""),0.5142)</f>
        <v>0.5142</v>
      </c>
      <c r="D733" s="2">
        <f>IFERROR(__xludf.DUMMYFUNCTION("""COMPUTED_VALUE"""),9.490740740740741E-4)</f>
        <v>0.0009490740741</v>
      </c>
      <c r="E733" s="1">
        <f>IFERROR(__xludf.DUMMYFUNCTION("""COMPUTED_VALUE"""),1.12)</f>
        <v>1.12</v>
      </c>
      <c r="F733" s="1">
        <f>IFERROR(__xludf.DUMMYFUNCTION("""COMPUTED_VALUE"""),3.26)</f>
        <v>3.26</v>
      </c>
      <c r="G733" s="5">
        <f>IFERROR(__xludf.DUMMYFUNCTION("""COMPUTED_VALUE"""),6429.0)</f>
        <v>6429</v>
      </c>
      <c r="H733" s="5">
        <f>IFERROR(__xludf.DUMMYFUNCTION("""COMPUTED_VALUE"""),1972.0)</f>
        <v>1972</v>
      </c>
    </row>
    <row r="734">
      <c r="A734" s="4">
        <f>IFERROR(__xludf.DUMMYFUNCTION("""COMPUTED_VALUE"""),43102.0)</f>
        <v>43102</v>
      </c>
      <c r="B734" s="5">
        <f>IFERROR(__xludf.DUMMYFUNCTION("""COMPUTED_VALUE"""),2749.0)</f>
        <v>2749</v>
      </c>
      <c r="C734" s="6">
        <f>IFERROR(__xludf.DUMMYFUNCTION("""COMPUTED_VALUE"""),0.4267)</f>
        <v>0.4267</v>
      </c>
      <c r="D734" s="2">
        <f>IFERROR(__xludf.DUMMYFUNCTION("""COMPUTED_VALUE"""),0.0020717592592592593)</f>
        <v>0.002071759259</v>
      </c>
      <c r="E734" s="1">
        <f>IFERROR(__xludf.DUMMYFUNCTION("""COMPUTED_VALUE"""),1.14)</f>
        <v>1.14</v>
      </c>
      <c r="F734" s="1">
        <f>IFERROR(__xludf.DUMMYFUNCTION("""COMPUTED_VALUE"""),4.95)</f>
        <v>4.95</v>
      </c>
      <c r="G734" s="5">
        <f>IFERROR(__xludf.DUMMYFUNCTION("""COMPUTED_VALUE"""),15454.0)</f>
        <v>15454</v>
      </c>
      <c r="H734" s="5">
        <f>IFERROR(__xludf.DUMMYFUNCTION("""COMPUTED_VALUE"""),3124.0)</f>
        <v>3124</v>
      </c>
    </row>
    <row r="735">
      <c r="A735" s="4">
        <f>IFERROR(__xludf.DUMMYFUNCTION("""COMPUTED_VALUE"""),43103.0)</f>
        <v>43103</v>
      </c>
      <c r="B735" s="5">
        <f>IFERROR(__xludf.DUMMYFUNCTION("""COMPUTED_VALUE"""),2666.0)</f>
        <v>2666</v>
      </c>
      <c r="C735" s="6">
        <f>IFERROR(__xludf.DUMMYFUNCTION("""COMPUTED_VALUE"""),0.556)</f>
        <v>0.556</v>
      </c>
      <c r="D735" s="2">
        <f>IFERROR(__xludf.DUMMYFUNCTION("""COMPUTED_VALUE"""),0.0013773148148148147)</f>
        <v>0.001377314815</v>
      </c>
      <c r="E735" s="1">
        <f>IFERROR(__xludf.DUMMYFUNCTION("""COMPUTED_VALUE"""),1.11)</f>
        <v>1.11</v>
      </c>
      <c r="F735" s="1">
        <f>IFERROR(__xludf.DUMMYFUNCTION("""COMPUTED_VALUE"""),3.63)</f>
        <v>3.63</v>
      </c>
      <c r="G735" s="5">
        <f>IFERROR(__xludf.DUMMYFUNCTION("""COMPUTED_VALUE"""),10789.0)</f>
        <v>10789</v>
      </c>
      <c r="H735" s="5">
        <f>IFERROR(__xludf.DUMMYFUNCTION("""COMPUTED_VALUE"""),2971.0)</f>
        <v>2971</v>
      </c>
    </row>
    <row r="736">
      <c r="A736" s="4">
        <f>IFERROR(__xludf.DUMMYFUNCTION("""COMPUTED_VALUE"""),43104.0)</f>
        <v>43104</v>
      </c>
      <c r="B736" s="5">
        <f>IFERROR(__xludf.DUMMYFUNCTION("""COMPUTED_VALUE"""),2666.0)</f>
        <v>2666</v>
      </c>
      <c r="C736" s="6">
        <f>IFERROR(__xludf.DUMMYFUNCTION("""COMPUTED_VALUE"""),0.4929)</f>
        <v>0.4929</v>
      </c>
      <c r="D736" s="2">
        <f>IFERROR(__xludf.DUMMYFUNCTION("""COMPUTED_VALUE"""),0.00125)</f>
        <v>0.00125</v>
      </c>
      <c r="E736" s="1">
        <f>IFERROR(__xludf.DUMMYFUNCTION("""COMPUTED_VALUE"""),1.11)</f>
        <v>1.11</v>
      </c>
      <c r="F736" s="1">
        <f>IFERROR(__xludf.DUMMYFUNCTION("""COMPUTED_VALUE"""),3.91)</f>
        <v>3.91</v>
      </c>
      <c r="G736" s="5">
        <f>IFERROR(__xludf.DUMMYFUNCTION("""COMPUTED_VALUE"""),11567.0)</f>
        <v>11567</v>
      </c>
      <c r="H736" s="5">
        <f>IFERROR(__xludf.DUMMYFUNCTION("""COMPUTED_VALUE"""),2958.0)</f>
        <v>2958</v>
      </c>
    </row>
    <row r="737">
      <c r="A737" s="4">
        <f>IFERROR(__xludf.DUMMYFUNCTION("""COMPUTED_VALUE"""),43105.0)</f>
        <v>43105</v>
      </c>
      <c r="B737" s="5">
        <f>IFERROR(__xludf.DUMMYFUNCTION("""COMPUTED_VALUE"""),2416.0)</f>
        <v>2416</v>
      </c>
      <c r="C737" s="6">
        <f>IFERROR(__xludf.DUMMYFUNCTION("""COMPUTED_VALUE"""),0.4716)</f>
        <v>0.4716</v>
      </c>
      <c r="D737" s="2">
        <f>IFERROR(__xludf.DUMMYFUNCTION("""COMPUTED_VALUE"""),0.0014467592592592592)</f>
        <v>0.001446759259</v>
      </c>
      <c r="E737" s="1">
        <f>IFERROR(__xludf.DUMMYFUNCTION("""COMPUTED_VALUE"""),1.12)</f>
        <v>1.12</v>
      </c>
      <c r="F737" s="1">
        <f>IFERROR(__xludf.DUMMYFUNCTION("""COMPUTED_VALUE"""),4.33)</f>
        <v>4.33</v>
      </c>
      <c r="G737" s="5">
        <f>IFERROR(__xludf.DUMMYFUNCTION("""COMPUTED_VALUE"""),11719.0)</f>
        <v>11719</v>
      </c>
      <c r="H737" s="5">
        <f>IFERROR(__xludf.DUMMYFUNCTION("""COMPUTED_VALUE"""),2708.0)</f>
        <v>2708</v>
      </c>
    </row>
    <row r="738">
      <c r="A738" s="4">
        <f>IFERROR(__xludf.DUMMYFUNCTION("""COMPUTED_VALUE"""),43106.0)</f>
        <v>43106</v>
      </c>
      <c r="B738" s="5">
        <f>IFERROR(__xludf.DUMMYFUNCTION("""COMPUTED_VALUE"""),1888.0)</f>
        <v>1888</v>
      </c>
      <c r="C738" s="6">
        <f>IFERROR(__xludf.DUMMYFUNCTION("""COMPUTED_VALUE"""),0.5278)</f>
        <v>0.5278</v>
      </c>
      <c r="D738" s="2">
        <f>IFERROR(__xludf.DUMMYFUNCTION("""COMPUTED_VALUE"""),0.0013541666666666667)</f>
        <v>0.001354166667</v>
      </c>
      <c r="E738" s="1">
        <f>IFERROR(__xludf.DUMMYFUNCTION("""COMPUTED_VALUE"""),1.06)</f>
        <v>1.06</v>
      </c>
      <c r="F738" s="1">
        <f>IFERROR(__xludf.DUMMYFUNCTION("""COMPUTED_VALUE"""),3.32)</f>
        <v>3.32</v>
      </c>
      <c r="G738" s="5">
        <f>IFERROR(__xludf.DUMMYFUNCTION("""COMPUTED_VALUE"""),6637.0)</f>
        <v>6637</v>
      </c>
      <c r="H738" s="5">
        <f>IFERROR(__xludf.DUMMYFUNCTION("""COMPUTED_VALUE"""),1999.0)</f>
        <v>1999</v>
      </c>
    </row>
    <row r="739">
      <c r="A739" s="4">
        <f>IFERROR(__xludf.DUMMYFUNCTION("""COMPUTED_VALUE"""),43107.0)</f>
        <v>43107</v>
      </c>
      <c r="B739" s="5">
        <f>IFERROR(__xludf.DUMMYFUNCTION("""COMPUTED_VALUE"""),2027.0)</f>
        <v>2027</v>
      </c>
      <c r="C739" s="6">
        <f>IFERROR(__xludf.DUMMYFUNCTION("""COMPUTED_VALUE"""),0.4935)</f>
        <v>0.4935</v>
      </c>
      <c r="D739" s="2">
        <f>IFERROR(__xludf.DUMMYFUNCTION("""COMPUTED_VALUE"""),0.0013078703703703703)</f>
        <v>0.00130787037</v>
      </c>
      <c r="E739" s="1">
        <f>IFERROR(__xludf.DUMMYFUNCTION("""COMPUTED_VALUE"""),1.07)</f>
        <v>1.07</v>
      </c>
      <c r="F739" s="1">
        <f>IFERROR(__xludf.DUMMYFUNCTION("""COMPUTED_VALUE"""),3.26)</f>
        <v>3.26</v>
      </c>
      <c r="G739" s="5">
        <f>IFERROR(__xludf.DUMMYFUNCTION("""COMPUTED_VALUE"""),7054.0)</f>
        <v>7054</v>
      </c>
      <c r="H739" s="5">
        <f>IFERROR(__xludf.DUMMYFUNCTION("""COMPUTED_VALUE"""),2166.0)</f>
        <v>2166</v>
      </c>
    </row>
    <row r="740">
      <c r="A740" s="4">
        <f>IFERROR(__xludf.DUMMYFUNCTION("""COMPUTED_VALUE"""),43108.0)</f>
        <v>43108</v>
      </c>
      <c r="B740" s="5">
        <f>IFERROR(__xludf.DUMMYFUNCTION("""COMPUTED_VALUE"""),2694.0)</f>
        <v>2694</v>
      </c>
      <c r="C740" s="6">
        <f>IFERROR(__xludf.DUMMYFUNCTION("""COMPUTED_VALUE"""),0.4466)</f>
        <v>0.4466</v>
      </c>
      <c r="D740" s="2">
        <f>IFERROR(__xludf.DUMMYFUNCTION("""COMPUTED_VALUE"""),0.0013194444444444445)</f>
        <v>0.001319444444</v>
      </c>
      <c r="E740" s="1">
        <f>IFERROR(__xludf.DUMMYFUNCTION("""COMPUTED_VALUE"""),1.11)</f>
        <v>1.11</v>
      </c>
      <c r="F740" s="1">
        <f>IFERROR(__xludf.DUMMYFUNCTION("""COMPUTED_VALUE"""),4.31)</f>
        <v>4.31</v>
      </c>
      <c r="G740" s="5">
        <f>IFERROR(__xludf.DUMMYFUNCTION("""COMPUTED_VALUE"""),12858.0)</f>
        <v>12858</v>
      </c>
      <c r="H740" s="5">
        <f>IFERROR(__xludf.DUMMYFUNCTION("""COMPUTED_VALUE"""),2985.0)</f>
        <v>2985</v>
      </c>
    </row>
    <row r="741">
      <c r="A741" s="4">
        <f>IFERROR(__xludf.DUMMYFUNCTION("""COMPUTED_VALUE"""),43109.0)</f>
        <v>43109</v>
      </c>
      <c r="B741" s="5">
        <f>IFERROR(__xludf.DUMMYFUNCTION("""COMPUTED_VALUE"""),3166.0)</f>
        <v>3166</v>
      </c>
      <c r="C741" s="6">
        <f>IFERROR(__xludf.DUMMYFUNCTION("""COMPUTED_VALUE"""),0.4753)</f>
        <v>0.4753</v>
      </c>
      <c r="D741" s="2">
        <f>IFERROR(__xludf.DUMMYFUNCTION("""COMPUTED_VALUE"""),0.001388888888888889)</f>
        <v>0.001388888889</v>
      </c>
      <c r="E741" s="1">
        <f>IFERROR(__xludf.DUMMYFUNCTION("""COMPUTED_VALUE"""),1.06)</f>
        <v>1.06</v>
      </c>
      <c r="F741" s="1">
        <f>IFERROR(__xludf.DUMMYFUNCTION("""COMPUTED_VALUE"""),3.57)</f>
        <v>3.57</v>
      </c>
      <c r="G741" s="5">
        <f>IFERROR(__xludf.DUMMYFUNCTION("""COMPUTED_VALUE"""),11983.0)</f>
        <v>11983</v>
      </c>
      <c r="H741" s="5">
        <f>IFERROR(__xludf.DUMMYFUNCTION("""COMPUTED_VALUE"""),3360.0)</f>
        <v>3360</v>
      </c>
    </row>
    <row r="742">
      <c r="A742" s="4">
        <f>IFERROR(__xludf.DUMMYFUNCTION("""COMPUTED_VALUE"""),43110.0)</f>
        <v>43110</v>
      </c>
      <c r="B742" s="5">
        <f>IFERROR(__xludf.DUMMYFUNCTION("""COMPUTED_VALUE"""),2999.0)</f>
        <v>2999</v>
      </c>
      <c r="C742" s="6">
        <f>IFERROR(__xludf.DUMMYFUNCTION("""COMPUTED_VALUE"""),0.4768)</f>
        <v>0.4768</v>
      </c>
      <c r="D742" s="2">
        <f>IFERROR(__xludf.DUMMYFUNCTION("""COMPUTED_VALUE"""),0.001388888888888889)</f>
        <v>0.001388888889</v>
      </c>
      <c r="E742" s="1">
        <f>IFERROR(__xludf.DUMMYFUNCTION("""COMPUTED_VALUE"""),1.1)</f>
        <v>1.1</v>
      </c>
      <c r="F742" s="1">
        <f>IFERROR(__xludf.DUMMYFUNCTION("""COMPUTED_VALUE"""),4.4)</f>
        <v>4.4</v>
      </c>
      <c r="G742" s="5">
        <f>IFERROR(__xludf.DUMMYFUNCTION("""COMPUTED_VALUE"""),14469.0)</f>
        <v>14469</v>
      </c>
      <c r="H742" s="5">
        <f>IFERROR(__xludf.DUMMYFUNCTION("""COMPUTED_VALUE"""),3291.0)</f>
        <v>3291</v>
      </c>
    </row>
    <row r="743">
      <c r="A743" s="4">
        <f>IFERROR(__xludf.DUMMYFUNCTION("""COMPUTED_VALUE"""),43111.0)</f>
        <v>43111</v>
      </c>
      <c r="B743" s="5">
        <f>IFERROR(__xludf.DUMMYFUNCTION("""COMPUTED_VALUE"""),2902.0)</f>
        <v>2902</v>
      </c>
      <c r="C743" s="6">
        <f>IFERROR(__xludf.DUMMYFUNCTION("""COMPUTED_VALUE"""),0.5582)</f>
        <v>0.5582</v>
      </c>
      <c r="D743" s="2">
        <f>IFERROR(__xludf.DUMMYFUNCTION("""COMPUTED_VALUE"""),0.001412037037037037)</f>
        <v>0.001412037037</v>
      </c>
      <c r="E743" s="1">
        <f>IFERROR(__xludf.DUMMYFUNCTION("""COMPUTED_VALUE"""),1.07)</f>
        <v>1.07</v>
      </c>
      <c r="F743" s="1">
        <f>IFERROR(__xludf.DUMMYFUNCTION("""COMPUTED_VALUE"""),3.4)</f>
        <v>3.4</v>
      </c>
      <c r="G743" s="5">
        <f>IFERROR(__xludf.DUMMYFUNCTION("""COMPUTED_VALUE"""),10567.0)</f>
        <v>10567</v>
      </c>
      <c r="H743" s="5">
        <f>IFERROR(__xludf.DUMMYFUNCTION("""COMPUTED_VALUE"""),3110.0)</f>
        <v>3110</v>
      </c>
    </row>
    <row r="744">
      <c r="A744" s="4">
        <f>IFERROR(__xludf.DUMMYFUNCTION("""COMPUTED_VALUE"""),43112.0)</f>
        <v>43112</v>
      </c>
      <c r="B744" s="5">
        <f>IFERROR(__xludf.DUMMYFUNCTION("""COMPUTED_VALUE"""),2583.0)</f>
        <v>2583</v>
      </c>
      <c r="C744" s="6">
        <f>IFERROR(__xludf.DUMMYFUNCTION("""COMPUTED_VALUE"""),0.4951)</f>
        <v>0.4951</v>
      </c>
      <c r="D744" s="2">
        <f>IFERROR(__xludf.DUMMYFUNCTION("""COMPUTED_VALUE"""),0.001412037037037037)</f>
        <v>0.001412037037</v>
      </c>
      <c r="E744" s="1">
        <f>IFERROR(__xludf.DUMMYFUNCTION("""COMPUTED_VALUE"""),1.11)</f>
        <v>1.11</v>
      </c>
      <c r="F744" s="1">
        <f>IFERROR(__xludf.DUMMYFUNCTION("""COMPUTED_VALUE"""),3.86)</f>
        <v>3.86</v>
      </c>
      <c r="G744" s="5">
        <f>IFERROR(__xludf.DUMMYFUNCTION("""COMPUTED_VALUE"""),11053.0)</f>
        <v>11053</v>
      </c>
      <c r="H744" s="5">
        <f>IFERROR(__xludf.DUMMYFUNCTION("""COMPUTED_VALUE"""),2860.0)</f>
        <v>2860</v>
      </c>
    </row>
    <row r="745">
      <c r="A745" s="4">
        <f>IFERROR(__xludf.DUMMYFUNCTION("""COMPUTED_VALUE"""),43113.0)</f>
        <v>43113</v>
      </c>
      <c r="B745" s="5">
        <f>IFERROR(__xludf.DUMMYFUNCTION("""COMPUTED_VALUE"""),2055.0)</f>
        <v>2055</v>
      </c>
      <c r="C745" s="6">
        <f>IFERROR(__xludf.DUMMYFUNCTION("""COMPUTED_VALUE"""),0.5678)</f>
        <v>0.5678</v>
      </c>
      <c r="D745" s="2">
        <f>IFERROR(__xludf.DUMMYFUNCTION("""COMPUTED_VALUE"""),8.796296296296296E-4)</f>
        <v>0.0008796296296</v>
      </c>
      <c r="E745" s="1">
        <f>IFERROR(__xludf.DUMMYFUNCTION("""COMPUTED_VALUE"""),1.09)</f>
        <v>1.09</v>
      </c>
      <c r="F745" s="1">
        <f>IFERROR(__xludf.DUMMYFUNCTION("""COMPUTED_VALUE"""),3.2)</f>
        <v>3.2</v>
      </c>
      <c r="G745" s="5">
        <f>IFERROR(__xludf.DUMMYFUNCTION("""COMPUTED_VALUE"""),7193.0)</f>
        <v>7193</v>
      </c>
      <c r="H745" s="5">
        <f>IFERROR(__xludf.DUMMYFUNCTION("""COMPUTED_VALUE"""),2249.0)</f>
        <v>2249</v>
      </c>
    </row>
    <row r="746">
      <c r="A746" s="4">
        <f>IFERROR(__xludf.DUMMYFUNCTION("""COMPUTED_VALUE"""),43114.0)</f>
        <v>43114</v>
      </c>
      <c r="B746" s="5">
        <f>IFERROR(__xludf.DUMMYFUNCTION("""COMPUTED_VALUE"""),2097.0)</f>
        <v>2097</v>
      </c>
      <c r="C746" s="6">
        <f>IFERROR(__xludf.DUMMYFUNCTION("""COMPUTED_VALUE"""),0.5305)</f>
        <v>0.5305</v>
      </c>
      <c r="D746" s="2">
        <f>IFERROR(__xludf.DUMMYFUNCTION("""COMPUTED_VALUE"""),0.0013078703703703703)</f>
        <v>0.00130787037</v>
      </c>
      <c r="E746" s="1">
        <f>IFERROR(__xludf.DUMMYFUNCTION("""COMPUTED_VALUE"""),1.09)</f>
        <v>1.09</v>
      </c>
      <c r="F746" s="1">
        <f>IFERROR(__xludf.DUMMYFUNCTION("""COMPUTED_VALUE"""),3.66)</f>
        <v>3.66</v>
      </c>
      <c r="G746" s="5">
        <f>IFERROR(__xludf.DUMMYFUNCTION("""COMPUTED_VALUE"""),8331.0)</f>
        <v>8331</v>
      </c>
      <c r="H746" s="5">
        <f>IFERROR(__xludf.DUMMYFUNCTION("""COMPUTED_VALUE"""),2277.0)</f>
        <v>2277</v>
      </c>
    </row>
    <row r="747">
      <c r="A747" s="4">
        <f>IFERROR(__xludf.DUMMYFUNCTION("""COMPUTED_VALUE"""),43115.0)</f>
        <v>43115</v>
      </c>
      <c r="B747" s="5">
        <f>IFERROR(__xludf.DUMMYFUNCTION("""COMPUTED_VALUE"""),2958.0)</f>
        <v>2958</v>
      </c>
      <c r="C747" s="6">
        <f>IFERROR(__xludf.DUMMYFUNCTION("""COMPUTED_VALUE"""),0.464)</f>
        <v>0.464</v>
      </c>
      <c r="D747" s="2">
        <f>IFERROR(__xludf.DUMMYFUNCTION("""COMPUTED_VALUE"""),0.0018981481481481482)</f>
        <v>0.001898148148</v>
      </c>
      <c r="E747" s="1">
        <f>IFERROR(__xludf.DUMMYFUNCTION("""COMPUTED_VALUE"""),1.1)</f>
        <v>1.1</v>
      </c>
      <c r="F747" s="1">
        <f>IFERROR(__xludf.DUMMYFUNCTION("""COMPUTED_VALUE"""),3.67)</f>
        <v>3.67</v>
      </c>
      <c r="G747" s="5">
        <f>IFERROR(__xludf.DUMMYFUNCTION("""COMPUTED_VALUE"""),11969.0)</f>
        <v>11969</v>
      </c>
      <c r="H747" s="5">
        <f>IFERROR(__xludf.DUMMYFUNCTION("""COMPUTED_VALUE"""),3263.0)</f>
        <v>3263</v>
      </c>
    </row>
    <row r="748">
      <c r="A748" s="4">
        <f>IFERROR(__xludf.DUMMYFUNCTION("""COMPUTED_VALUE"""),43116.0)</f>
        <v>43116</v>
      </c>
      <c r="B748" s="5">
        <f>IFERROR(__xludf.DUMMYFUNCTION("""COMPUTED_VALUE"""),3027.0)</f>
        <v>3027</v>
      </c>
      <c r="C748" s="6">
        <f>IFERROR(__xludf.DUMMYFUNCTION("""COMPUTED_VALUE"""),0.5241)</f>
        <v>0.5241</v>
      </c>
      <c r="D748" s="2">
        <f>IFERROR(__xludf.DUMMYFUNCTION("""COMPUTED_VALUE"""),0.001585648148148148)</f>
        <v>0.001585648148</v>
      </c>
      <c r="E748" s="1">
        <f>IFERROR(__xludf.DUMMYFUNCTION("""COMPUTED_VALUE"""),1.14)</f>
        <v>1.14</v>
      </c>
      <c r="F748" s="1">
        <f>IFERROR(__xludf.DUMMYFUNCTION("""COMPUTED_VALUE"""),3.22)</f>
        <v>3.22</v>
      </c>
      <c r="G748" s="5">
        <f>IFERROR(__xludf.DUMMYFUNCTION("""COMPUTED_VALUE"""),11094.0)</f>
        <v>11094</v>
      </c>
      <c r="H748" s="5">
        <f>IFERROR(__xludf.DUMMYFUNCTION("""COMPUTED_VALUE"""),3444.0)</f>
        <v>3444</v>
      </c>
    </row>
    <row r="749">
      <c r="A749" s="4">
        <f>IFERROR(__xludf.DUMMYFUNCTION("""COMPUTED_VALUE"""),43117.0)</f>
        <v>43117</v>
      </c>
      <c r="B749" s="5">
        <f>IFERROR(__xludf.DUMMYFUNCTION("""COMPUTED_VALUE"""),2902.0)</f>
        <v>2902</v>
      </c>
      <c r="C749" s="6">
        <f>IFERROR(__xludf.DUMMYFUNCTION("""COMPUTED_VALUE"""),0.5085)</f>
        <v>0.5085</v>
      </c>
      <c r="D749" s="2">
        <f>IFERROR(__xludf.DUMMYFUNCTION("""COMPUTED_VALUE"""),0.0014467592592592592)</f>
        <v>0.001446759259</v>
      </c>
      <c r="E749" s="1">
        <f>IFERROR(__xludf.DUMMYFUNCTION("""COMPUTED_VALUE"""),1.12)</f>
        <v>1.12</v>
      </c>
      <c r="F749" s="1">
        <f>IFERROR(__xludf.DUMMYFUNCTION("""COMPUTED_VALUE"""),3.55)</f>
        <v>3.55</v>
      </c>
      <c r="G749" s="5">
        <f>IFERROR(__xludf.DUMMYFUNCTION("""COMPUTED_VALUE"""),11539.0)</f>
        <v>11539</v>
      </c>
      <c r="H749" s="5">
        <f>IFERROR(__xludf.DUMMYFUNCTION("""COMPUTED_VALUE"""),3249.0)</f>
        <v>3249</v>
      </c>
    </row>
    <row r="750">
      <c r="A750" s="4">
        <f>IFERROR(__xludf.DUMMYFUNCTION("""COMPUTED_VALUE"""),43118.0)</f>
        <v>43118</v>
      </c>
      <c r="B750" s="5">
        <f>IFERROR(__xludf.DUMMYFUNCTION("""COMPUTED_VALUE"""),2527.0)</f>
        <v>2527</v>
      </c>
      <c r="C750" s="6">
        <f>IFERROR(__xludf.DUMMYFUNCTION("""COMPUTED_VALUE"""),0.4638)</f>
        <v>0.4638</v>
      </c>
      <c r="D750" s="2">
        <f>IFERROR(__xludf.DUMMYFUNCTION("""COMPUTED_VALUE"""),0.0021527777777777778)</f>
        <v>0.002152777778</v>
      </c>
      <c r="E750" s="1">
        <f>IFERROR(__xludf.DUMMYFUNCTION("""COMPUTED_VALUE"""),1.14)</f>
        <v>1.14</v>
      </c>
      <c r="F750" s="1">
        <f>IFERROR(__xludf.DUMMYFUNCTION("""COMPUTED_VALUE"""),3.84)</f>
        <v>3.84</v>
      </c>
      <c r="G750" s="5">
        <f>IFERROR(__xludf.DUMMYFUNCTION("""COMPUTED_VALUE"""),11025.0)</f>
        <v>11025</v>
      </c>
      <c r="H750" s="5">
        <f>IFERROR(__xludf.DUMMYFUNCTION("""COMPUTED_VALUE"""),2874.0)</f>
        <v>2874</v>
      </c>
    </row>
    <row r="751">
      <c r="A751" s="4">
        <f>IFERROR(__xludf.DUMMYFUNCTION("""COMPUTED_VALUE"""),43119.0)</f>
        <v>43119</v>
      </c>
      <c r="B751" s="5">
        <f>IFERROR(__xludf.DUMMYFUNCTION("""COMPUTED_VALUE"""),2458.0)</f>
        <v>2458</v>
      </c>
      <c r="C751" s="6">
        <f>IFERROR(__xludf.DUMMYFUNCTION("""COMPUTED_VALUE"""),0.4087)</f>
        <v>0.4087</v>
      </c>
      <c r="D751" s="2">
        <f>IFERROR(__xludf.DUMMYFUNCTION("""COMPUTED_VALUE"""),0.0021064814814814813)</f>
        <v>0.002106481481</v>
      </c>
      <c r="E751" s="1">
        <f>IFERROR(__xludf.DUMMYFUNCTION("""COMPUTED_VALUE"""),1.15)</f>
        <v>1.15</v>
      </c>
      <c r="F751" s="1">
        <f>IFERROR(__xludf.DUMMYFUNCTION("""COMPUTED_VALUE"""),4.64)</f>
        <v>4.64</v>
      </c>
      <c r="G751" s="5">
        <f>IFERROR(__xludf.DUMMYFUNCTION("""COMPUTED_VALUE"""),13094.0)</f>
        <v>13094</v>
      </c>
      <c r="H751" s="5">
        <f>IFERROR(__xludf.DUMMYFUNCTION("""COMPUTED_VALUE"""),2819.0)</f>
        <v>2819</v>
      </c>
    </row>
    <row r="752">
      <c r="A752" s="4">
        <f>IFERROR(__xludf.DUMMYFUNCTION("""COMPUTED_VALUE"""),43120.0)</f>
        <v>43120</v>
      </c>
      <c r="B752" s="5">
        <f>IFERROR(__xludf.DUMMYFUNCTION("""COMPUTED_VALUE"""),2083.0)</f>
        <v>2083</v>
      </c>
      <c r="C752" s="6">
        <f>IFERROR(__xludf.DUMMYFUNCTION("""COMPUTED_VALUE"""),0.565)</f>
        <v>0.565</v>
      </c>
      <c r="D752" s="2">
        <f>IFERROR(__xludf.DUMMYFUNCTION("""COMPUTED_VALUE"""),0.0010416666666666667)</f>
        <v>0.001041666667</v>
      </c>
      <c r="E752" s="1">
        <f>IFERROR(__xludf.DUMMYFUNCTION("""COMPUTED_VALUE"""),1.03)</f>
        <v>1.03</v>
      </c>
      <c r="F752" s="1">
        <f>IFERROR(__xludf.DUMMYFUNCTION("""COMPUTED_VALUE"""),3.43)</f>
        <v>3.43</v>
      </c>
      <c r="G752" s="5">
        <f>IFERROR(__xludf.DUMMYFUNCTION("""COMPUTED_VALUE"""),7331.0)</f>
        <v>7331</v>
      </c>
      <c r="H752" s="5">
        <f>IFERROR(__xludf.DUMMYFUNCTION("""COMPUTED_VALUE"""),2138.0)</f>
        <v>2138</v>
      </c>
    </row>
    <row r="753">
      <c r="A753" s="4">
        <f>IFERROR(__xludf.DUMMYFUNCTION("""COMPUTED_VALUE"""),43121.0)</f>
        <v>43121</v>
      </c>
      <c r="B753" s="5">
        <f>IFERROR(__xludf.DUMMYFUNCTION("""COMPUTED_VALUE"""),1972.0)</f>
        <v>1972</v>
      </c>
      <c r="C753" s="6">
        <f>IFERROR(__xludf.DUMMYFUNCTION("""COMPUTED_VALUE"""),0.5161)</f>
        <v>0.5161</v>
      </c>
      <c r="D753" s="2">
        <f>IFERROR(__xludf.DUMMYFUNCTION("""COMPUTED_VALUE"""),0.0018287037037037037)</f>
        <v>0.001828703704</v>
      </c>
      <c r="E753" s="1">
        <f>IFERROR(__xludf.DUMMYFUNCTION("""COMPUTED_VALUE"""),1.11)</f>
        <v>1.11</v>
      </c>
      <c r="F753" s="1">
        <f>IFERROR(__xludf.DUMMYFUNCTION("""COMPUTED_VALUE"""),3.55)</f>
        <v>3.55</v>
      </c>
      <c r="G753" s="5">
        <f>IFERROR(__xludf.DUMMYFUNCTION("""COMPUTED_VALUE"""),7748.0)</f>
        <v>7748</v>
      </c>
      <c r="H753" s="5">
        <f>IFERROR(__xludf.DUMMYFUNCTION("""COMPUTED_VALUE"""),2180.0)</f>
        <v>2180</v>
      </c>
    </row>
    <row r="754">
      <c r="A754" s="4">
        <f>IFERROR(__xludf.DUMMYFUNCTION("""COMPUTED_VALUE"""),43122.0)</f>
        <v>43122</v>
      </c>
      <c r="B754" s="5">
        <f>IFERROR(__xludf.DUMMYFUNCTION("""COMPUTED_VALUE"""),2847.0)</f>
        <v>2847</v>
      </c>
      <c r="C754" s="6">
        <f>IFERROR(__xludf.DUMMYFUNCTION("""COMPUTED_VALUE"""),0.4802)</f>
        <v>0.4802</v>
      </c>
      <c r="D754" s="2">
        <f>IFERROR(__xludf.DUMMYFUNCTION("""COMPUTED_VALUE"""),0.0018171296296296297)</f>
        <v>0.00181712963</v>
      </c>
      <c r="E754" s="1">
        <f>IFERROR(__xludf.DUMMYFUNCTION("""COMPUTED_VALUE"""),1.1)</f>
        <v>1.1</v>
      </c>
      <c r="F754" s="1">
        <f>IFERROR(__xludf.DUMMYFUNCTION("""COMPUTED_VALUE"""),4.16)</f>
        <v>4.16</v>
      </c>
      <c r="G754" s="5">
        <f>IFERROR(__xludf.DUMMYFUNCTION("""COMPUTED_VALUE"""),12997.0)</f>
        <v>12997</v>
      </c>
      <c r="H754" s="5">
        <f>IFERROR(__xludf.DUMMYFUNCTION("""COMPUTED_VALUE"""),3124.0)</f>
        <v>3124</v>
      </c>
    </row>
    <row r="755">
      <c r="A755" s="4">
        <f>IFERROR(__xludf.DUMMYFUNCTION("""COMPUTED_VALUE"""),43123.0)</f>
        <v>43123</v>
      </c>
      <c r="B755" s="5">
        <f>IFERROR(__xludf.DUMMYFUNCTION("""COMPUTED_VALUE"""),2722.0)</f>
        <v>2722</v>
      </c>
      <c r="C755" s="6">
        <f>IFERROR(__xludf.DUMMYFUNCTION("""COMPUTED_VALUE"""),0.5322)</f>
        <v>0.5322</v>
      </c>
      <c r="D755" s="2">
        <f>IFERROR(__xludf.DUMMYFUNCTION("""COMPUTED_VALUE"""),0.0013078703703703703)</f>
        <v>0.00130787037</v>
      </c>
      <c r="E755" s="1">
        <f>IFERROR(__xludf.DUMMYFUNCTION("""COMPUTED_VALUE"""),1.11)</f>
        <v>1.11</v>
      </c>
      <c r="F755" s="1">
        <f>IFERROR(__xludf.DUMMYFUNCTION("""COMPUTED_VALUE"""),4.02)</f>
        <v>4.02</v>
      </c>
      <c r="G755" s="5">
        <f>IFERROR(__xludf.DUMMYFUNCTION("""COMPUTED_VALUE"""),12164.0)</f>
        <v>12164</v>
      </c>
      <c r="H755" s="5">
        <f>IFERROR(__xludf.DUMMYFUNCTION("""COMPUTED_VALUE"""),3027.0)</f>
        <v>3027</v>
      </c>
    </row>
    <row r="756">
      <c r="A756" s="4">
        <f>IFERROR(__xludf.DUMMYFUNCTION("""COMPUTED_VALUE"""),43124.0)</f>
        <v>43124</v>
      </c>
      <c r="B756" s="5">
        <f>IFERROR(__xludf.DUMMYFUNCTION("""COMPUTED_VALUE"""),2874.0)</f>
        <v>2874</v>
      </c>
      <c r="C756" s="6">
        <f>IFERROR(__xludf.DUMMYFUNCTION("""COMPUTED_VALUE"""),0.4337)</f>
        <v>0.4337</v>
      </c>
      <c r="D756" s="2">
        <f>IFERROR(__xludf.DUMMYFUNCTION("""COMPUTED_VALUE"""),0.002013888888888889)</f>
        <v>0.002013888889</v>
      </c>
      <c r="E756" s="1">
        <f>IFERROR(__xludf.DUMMYFUNCTION("""COMPUTED_VALUE"""),1.09)</f>
        <v>1.09</v>
      </c>
      <c r="F756" s="1">
        <f>IFERROR(__xludf.DUMMYFUNCTION("""COMPUTED_VALUE"""),4.4)</f>
        <v>4.4</v>
      </c>
      <c r="G756" s="5">
        <f>IFERROR(__xludf.DUMMYFUNCTION("""COMPUTED_VALUE"""),13816.0)</f>
        <v>13816</v>
      </c>
      <c r="H756" s="5">
        <f>IFERROR(__xludf.DUMMYFUNCTION("""COMPUTED_VALUE"""),3138.0)</f>
        <v>3138</v>
      </c>
    </row>
    <row r="757">
      <c r="A757" s="4">
        <f>IFERROR(__xludf.DUMMYFUNCTION("""COMPUTED_VALUE"""),43125.0)</f>
        <v>43125</v>
      </c>
      <c r="B757" s="5">
        <f>IFERROR(__xludf.DUMMYFUNCTION("""COMPUTED_VALUE"""),3208.0)</f>
        <v>3208</v>
      </c>
      <c r="C757" s="6">
        <f>IFERROR(__xludf.DUMMYFUNCTION("""COMPUTED_VALUE"""),0.5567)</f>
        <v>0.5567</v>
      </c>
      <c r="D757" s="2">
        <f>IFERROR(__xludf.DUMMYFUNCTION("""COMPUTED_VALUE"""),0.0016782407407407408)</f>
        <v>0.001678240741</v>
      </c>
      <c r="E757" s="1">
        <f>IFERROR(__xludf.DUMMYFUNCTION("""COMPUTED_VALUE"""),1.14)</f>
        <v>1.14</v>
      </c>
      <c r="F757" s="1">
        <f>IFERROR(__xludf.DUMMYFUNCTION("""COMPUTED_VALUE"""),4.11)</f>
        <v>4.11</v>
      </c>
      <c r="G757" s="5">
        <f>IFERROR(__xludf.DUMMYFUNCTION("""COMPUTED_VALUE"""),15052.0)</f>
        <v>15052</v>
      </c>
      <c r="H757" s="5">
        <f>IFERROR(__xludf.DUMMYFUNCTION("""COMPUTED_VALUE"""),3666.0)</f>
        <v>3666</v>
      </c>
    </row>
    <row r="758">
      <c r="A758" s="4">
        <f>IFERROR(__xludf.DUMMYFUNCTION("""COMPUTED_VALUE"""),43126.0)</f>
        <v>43126</v>
      </c>
      <c r="B758" s="5">
        <f>IFERROR(__xludf.DUMMYFUNCTION("""COMPUTED_VALUE"""),2541.0)</f>
        <v>2541</v>
      </c>
      <c r="C758" s="6">
        <f>IFERROR(__xludf.DUMMYFUNCTION("""COMPUTED_VALUE"""),0.5146)</f>
        <v>0.5146</v>
      </c>
      <c r="D758" s="2">
        <f>IFERROR(__xludf.DUMMYFUNCTION("""COMPUTED_VALUE"""),0.0015625)</f>
        <v>0.0015625</v>
      </c>
      <c r="E758" s="1">
        <f>IFERROR(__xludf.DUMMYFUNCTION("""COMPUTED_VALUE"""),1.11)</f>
        <v>1.11</v>
      </c>
      <c r="F758" s="1">
        <f>IFERROR(__xludf.DUMMYFUNCTION("""COMPUTED_VALUE"""),4.35)</f>
        <v>4.35</v>
      </c>
      <c r="G758" s="5">
        <f>IFERROR(__xludf.DUMMYFUNCTION("""COMPUTED_VALUE"""),12330.0)</f>
        <v>12330</v>
      </c>
      <c r="H758" s="5">
        <f>IFERROR(__xludf.DUMMYFUNCTION("""COMPUTED_VALUE"""),2833.0)</f>
        <v>2833</v>
      </c>
    </row>
    <row r="759">
      <c r="A759" s="4">
        <f>IFERROR(__xludf.DUMMYFUNCTION("""COMPUTED_VALUE"""),43127.0)</f>
        <v>43127</v>
      </c>
      <c r="B759" s="5">
        <f>IFERROR(__xludf.DUMMYFUNCTION("""COMPUTED_VALUE"""),1986.0)</f>
        <v>1986</v>
      </c>
      <c r="C759" s="6">
        <f>IFERROR(__xludf.DUMMYFUNCTION("""COMPUTED_VALUE"""),0.5627)</f>
        <v>0.5627</v>
      </c>
      <c r="D759" s="2">
        <f>IFERROR(__xludf.DUMMYFUNCTION("""COMPUTED_VALUE"""),0.0011342592592592593)</f>
        <v>0.001134259259</v>
      </c>
      <c r="E759" s="1">
        <f>IFERROR(__xludf.DUMMYFUNCTION("""COMPUTED_VALUE"""),1.06)</f>
        <v>1.06</v>
      </c>
      <c r="F759" s="1">
        <f>IFERROR(__xludf.DUMMYFUNCTION("""COMPUTED_VALUE"""),3.36)</f>
        <v>3.36</v>
      </c>
      <c r="G759" s="5">
        <f>IFERROR(__xludf.DUMMYFUNCTION("""COMPUTED_VALUE"""),7054.0)</f>
        <v>7054</v>
      </c>
      <c r="H759" s="5">
        <f>IFERROR(__xludf.DUMMYFUNCTION("""COMPUTED_VALUE"""),2097.0)</f>
        <v>2097</v>
      </c>
    </row>
    <row r="760">
      <c r="A760" s="4">
        <f>IFERROR(__xludf.DUMMYFUNCTION("""COMPUTED_VALUE"""),43128.0)</f>
        <v>43128</v>
      </c>
      <c r="B760" s="5">
        <f>IFERROR(__xludf.DUMMYFUNCTION("""COMPUTED_VALUE"""),2083.0)</f>
        <v>2083</v>
      </c>
      <c r="C760" s="6">
        <f>IFERROR(__xludf.DUMMYFUNCTION("""COMPUTED_VALUE"""),0.5063)</f>
        <v>0.5063</v>
      </c>
      <c r="D760" s="2">
        <f>IFERROR(__xludf.DUMMYFUNCTION("""COMPUTED_VALUE"""),0.0015393518518518519)</f>
        <v>0.001539351852</v>
      </c>
      <c r="E760" s="1">
        <f>IFERROR(__xludf.DUMMYFUNCTION("""COMPUTED_VALUE"""),1.07)</f>
        <v>1.07</v>
      </c>
      <c r="F760" s="1">
        <f>IFERROR(__xludf.DUMMYFUNCTION("""COMPUTED_VALUE"""),4.03)</f>
        <v>4.03</v>
      </c>
      <c r="G760" s="5">
        <f>IFERROR(__xludf.DUMMYFUNCTION("""COMPUTED_VALUE"""),8956.0)</f>
        <v>8956</v>
      </c>
      <c r="H760" s="5">
        <f>IFERROR(__xludf.DUMMYFUNCTION("""COMPUTED_VALUE"""),2222.0)</f>
        <v>2222</v>
      </c>
    </row>
    <row r="761">
      <c r="A761" s="4">
        <f>IFERROR(__xludf.DUMMYFUNCTION("""COMPUTED_VALUE"""),43129.0)</f>
        <v>43129</v>
      </c>
      <c r="B761" s="5">
        <f>IFERROR(__xludf.DUMMYFUNCTION("""COMPUTED_VALUE"""),2833.0)</f>
        <v>2833</v>
      </c>
      <c r="C761" s="6">
        <f>IFERROR(__xludf.DUMMYFUNCTION("""COMPUTED_VALUE"""),0.4605)</f>
        <v>0.4605</v>
      </c>
      <c r="D761" s="2">
        <f>IFERROR(__xludf.DUMMYFUNCTION("""COMPUTED_VALUE"""),0.002013888888888889)</f>
        <v>0.002013888889</v>
      </c>
      <c r="E761" s="1">
        <f>IFERROR(__xludf.DUMMYFUNCTION("""COMPUTED_VALUE"""),1.12)</f>
        <v>1.12</v>
      </c>
      <c r="F761" s="1">
        <f>IFERROR(__xludf.DUMMYFUNCTION("""COMPUTED_VALUE"""),4.61)</f>
        <v>4.61</v>
      </c>
      <c r="G761" s="5">
        <f>IFERROR(__xludf.DUMMYFUNCTION("""COMPUTED_VALUE"""),14607.0)</f>
        <v>14607</v>
      </c>
      <c r="H761" s="5">
        <f>IFERROR(__xludf.DUMMYFUNCTION("""COMPUTED_VALUE"""),3166.0)</f>
        <v>3166</v>
      </c>
    </row>
    <row r="762">
      <c r="A762" s="4">
        <f>IFERROR(__xludf.DUMMYFUNCTION("""COMPUTED_VALUE"""),43130.0)</f>
        <v>43130</v>
      </c>
      <c r="B762" s="5">
        <f>IFERROR(__xludf.DUMMYFUNCTION("""COMPUTED_VALUE"""),2847.0)</f>
        <v>2847</v>
      </c>
      <c r="C762" s="6">
        <f>IFERROR(__xludf.DUMMYFUNCTION("""COMPUTED_VALUE"""),0.474)</f>
        <v>0.474</v>
      </c>
      <c r="D762" s="2">
        <f>IFERROR(__xludf.DUMMYFUNCTION("""COMPUTED_VALUE"""),0.0021643518518518518)</f>
        <v>0.002164351852</v>
      </c>
      <c r="E762" s="1">
        <f>IFERROR(__xludf.DUMMYFUNCTION("""COMPUTED_VALUE"""),1.12)</f>
        <v>1.12</v>
      </c>
      <c r="F762" s="1">
        <f>IFERROR(__xludf.DUMMYFUNCTION("""COMPUTED_VALUE"""),3.9)</f>
        <v>3.9</v>
      </c>
      <c r="G762" s="5">
        <f>IFERROR(__xludf.DUMMYFUNCTION("""COMPUTED_VALUE"""),12469.0)</f>
        <v>12469</v>
      </c>
      <c r="H762" s="5">
        <f>IFERROR(__xludf.DUMMYFUNCTION("""COMPUTED_VALUE"""),3194.0)</f>
        <v>3194</v>
      </c>
    </row>
    <row r="763">
      <c r="A763" s="4">
        <f>IFERROR(__xludf.DUMMYFUNCTION("""COMPUTED_VALUE"""),43131.0)</f>
        <v>43131</v>
      </c>
      <c r="B763" s="5">
        <f>IFERROR(__xludf.DUMMYFUNCTION("""COMPUTED_VALUE"""),2847.0)</f>
        <v>2847</v>
      </c>
      <c r="C763" s="6">
        <f>IFERROR(__xludf.DUMMYFUNCTION("""COMPUTED_VALUE"""),0.4426)</f>
        <v>0.4426</v>
      </c>
      <c r="D763" s="2">
        <f>IFERROR(__xludf.DUMMYFUNCTION("""COMPUTED_VALUE"""),0.0016782407407407408)</f>
        <v>0.001678240741</v>
      </c>
      <c r="E763" s="1">
        <f>IFERROR(__xludf.DUMMYFUNCTION("""COMPUTED_VALUE"""),1.1)</f>
        <v>1.1</v>
      </c>
      <c r="F763" s="1">
        <f>IFERROR(__xludf.DUMMYFUNCTION("""COMPUTED_VALUE"""),3.79)</f>
        <v>3.79</v>
      </c>
      <c r="G763" s="5">
        <f>IFERROR(__xludf.DUMMYFUNCTION("""COMPUTED_VALUE"""),11900.0)</f>
        <v>11900</v>
      </c>
      <c r="H763" s="5">
        <f>IFERROR(__xludf.DUMMYFUNCTION("""COMPUTED_VALUE"""),3138.0)</f>
        <v>3138</v>
      </c>
    </row>
    <row r="764">
      <c r="A764" s="4">
        <f>IFERROR(__xludf.DUMMYFUNCTION("""COMPUTED_VALUE"""),43132.0)</f>
        <v>43132</v>
      </c>
      <c r="B764" s="5">
        <f>IFERROR(__xludf.DUMMYFUNCTION("""COMPUTED_VALUE"""),2847.0)</f>
        <v>2847</v>
      </c>
      <c r="C764" s="6">
        <f>IFERROR(__xludf.DUMMYFUNCTION("""COMPUTED_VALUE"""),0.4217)</f>
        <v>0.4217</v>
      </c>
      <c r="D764" s="2">
        <f>IFERROR(__xludf.DUMMYFUNCTION("""COMPUTED_VALUE"""),0.0020717592592592593)</f>
        <v>0.002071759259</v>
      </c>
      <c r="E764" s="1">
        <f>IFERROR(__xludf.DUMMYFUNCTION("""COMPUTED_VALUE"""),1.12)</f>
        <v>1.12</v>
      </c>
      <c r="F764" s="1">
        <f>IFERROR(__xludf.DUMMYFUNCTION("""COMPUTED_VALUE"""),5.11)</f>
        <v>5.11</v>
      </c>
      <c r="G764" s="5">
        <f>IFERROR(__xludf.DUMMYFUNCTION("""COMPUTED_VALUE"""),16315.0)</f>
        <v>16315</v>
      </c>
      <c r="H764" s="5">
        <f>IFERROR(__xludf.DUMMYFUNCTION("""COMPUTED_VALUE"""),3194.0)</f>
        <v>3194</v>
      </c>
    </row>
    <row r="765">
      <c r="A765" s="4">
        <f>IFERROR(__xludf.DUMMYFUNCTION("""COMPUTED_VALUE"""),43133.0)</f>
        <v>43133</v>
      </c>
      <c r="B765" s="5">
        <f>IFERROR(__xludf.DUMMYFUNCTION("""COMPUTED_VALUE"""),2541.0)</f>
        <v>2541</v>
      </c>
      <c r="C765" s="6">
        <f>IFERROR(__xludf.DUMMYFUNCTION("""COMPUTED_VALUE"""),0.5002)</f>
        <v>0.5002</v>
      </c>
      <c r="D765" s="2">
        <f>IFERROR(__xludf.DUMMYFUNCTION("""COMPUTED_VALUE"""),0.0014814814814814814)</f>
        <v>0.001481481481</v>
      </c>
      <c r="E765" s="1">
        <f>IFERROR(__xludf.DUMMYFUNCTION("""COMPUTED_VALUE"""),1.08)</f>
        <v>1.08</v>
      </c>
      <c r="F765" s="1">
        <f>IFERROR(__xludf.DUMMYFUNCTION("""COMPUTED_VALUE"""),3.93)</f>
        <v>3.93</v>
      </c>
      <c r="G765" s="5">
        <f>IFERROR(__xludf.DUMMYFUNCTION("""COMPUTED_VALUE"""),10817.0)</f>
        <v>10817</v>
      </c>
      <c r="H765" s="5">
        <f>IFERROR(__xludf.DUMMYFUNCTION("""COMPUTED_VALUE"""),2749.0)</f>
        <v>2749</v>
      </c>
    </row>
    <row r="766">
      <c r="A766" s="4">
        <f>IFERROR(__xludf.DUMMYFUNCTION("""COMPUTED_VALUE"""),43134.0)</f>
        <v>43134</v>
      </c>
      <c r="B766" s="5">
        <f>IFERROR(__xludf.DUMMYFUNCTION("""COMPUTED_VALUE"""),1930.0)</f>
        <v>1930</v>
      </c>
      <c r="C766" s="6">
        <f>IFERROR(__xludf.DUMMYFUNCTION("""COMPUTED_VALUE"""),0.6104)</f>
        <v>0.6104</v>
      </c>
      <c r="D766" s="2">
        <f>IFERROR(__xludf.DUMMYFUNCTION("""COMPUTED_VALUE"""),0.0011805555555555556)</f>
        <v>0.001180555556</v>
      </c>
      <c r="E766" s="1">
        <f>IFERROR(__xludf.DUMMYFUNCTION("""COMPUTED_VALUE"""),1.11)</f>
        <v>1.11</v>
      </c>
      <c r="F766" s="1">
        <f>IFERROR(__xludf.DUMMYFUNCTION("""COMPUTED_VALUE"""),3.28)</f>
        <v>3.28</v>
      </c>
      <c r="G766" s="5">
        <f>IFERROR(__xludf.DUMMYFUNCTION("""COMPUTED_VALUE"""),7012.0)</f>
        <v>7012</v>
      </c>
      <c r="H766" s="5">
        <f>IFERROR(__xludf.DUMMYFUNCTION("""COMPUTED_VALUE"""),2138.0)</f>
        <v>2138</v>
      </c>
    </row>
    <row r="767">
      <c r="A767" s="4">
        <f>IFERROR(__xludf.DUMMYFUNCTION("""COMPUTED_VALUE"""),43135.0)</f>
        <v>43135</v>
      </c>
      <c r="B767" s="5">
        <f>IFERROR(__xludf.DUMMYFUNCTION("""COMPUTED_VALUE"""),2097.0)</f>
        <v>2097</v>
      </c>
      <c r="C767" s="6">
        <f>IFERROR(__xludf.DUMMYFUNCTION("""COMPUTED_VALUE"""),0.5277)</f>
        <v>0.5277</v>
      </c>
      <c r="D767" s="2">
        <f>IFERROR(__xludf.DUMMYFUNCTION("""COMPUTED_VALUE"""),9.606481481481482E-4)</f>
        <v>0.0009606481481</v>
      </c>
      <c r="E767" s="1">
        <f>IFERROR(__xludf.DUMMYFUNCTION("""COMPUTED_VALUE"""),1.07)</f>
        <v>1.07</v>
      </c>
      <c r="F767" s="1">
        <f>IFERROR(__xludf.DUMMYFUNCTION("""COMPUTED_VALUE"""),3.63)</f>
        <v>3.63</v>
      </c>
      <c r="G767" s="5">
        <f>IFERROR(__xludf.DUMMYFUNCTION("""COMPUTED_VALUE"""),8123.0)</f>
        <v>8123</v>
      </c>
      <c r="H767" s="5">
        <f>IFERROR(__xludf.DUMMYFUNCTION("""COMPUTED_VALUE"""),2236.0)</f>
        <v>2236</v>
      </c>
    </row>
    <row r="768">
      <c r="A768" s="4">
        <f>IFERROR(__xludf.DUMMYFUNCTION("""COMPUTED_VALUE"""),43136.0)</f>
        <v>43136</v>
      </c>
      <c r="B768" s="5">
        <f>IFERROR(__xludf.DUMMYFUNCTION("""COMPUTED_VALUE"""),2902.0)</f>
        <v>2902</v>
      </c>
      <c r="C768" s="6">
        <f>IFERROR(__xludf.DUMMYFUNCTION("""COMPUTED_VALUE"""),0.5113)</f>
        <v>0.5113</v>
      </c>
      <c r="D768" s="2">
        <f>IFERROR(__xludf.DUMMYFUNCTION("""COMPUTED_VALUE"""),0.0012847222222222223)</f>
        <v>0.001284722222</v>
      </c>
      <c r="E768" s="1">
        <f>IFERROR(__xludf.DUMMYFUNCTION("""COMPUTED_VALUE"""),1.07)</f>
        <v>1.07</v>
      </c>
      <c r="F768" s="1">
        <f>IFERROR(__xludf.DUMMYFUNCTION("""COMPUTED_VALUE"""),3.86)</f>
        <v>3.86</v>
      </c>
      <c r="G768" s="5">
        <f>IFERROR(__xludf.DUMMYFUNCTION("""COMPUTED_VALUE"""),11955.0)</f>
        <v>11955</v>
      </c>
      <c r="H768" s="5">
        <f>IFERROR(__xludf.DUMMYFUNCTION("""COMPUTED_VALUE"""),3096.0)</f>
        <v>3096</v>
      </c>
    </row>
    <row r="769">
      <c r="A769" s="4">
        <f>IFERROR(__xludf.DUMMYFUNCTION("""COMPUTED_VALUE"""),43137.0)</f>
        <v>43137</v>
      </c>
      <c r="B769" s="5">
        <f>IFERROR(__xludf.DUMMYFUNCTION("""COMPUTED_VALUE"""),2666.0)</f>
        <v>2666</v>
      </c>
      <c r="C769" s="6">
        <f>IFERROR(__xludf.DUMMYFUNCTION("""COMPUTED_VALUE"""),0.4027)</f>
        <v>0.4027</v>
      </c>
      <c r="D769" s="2">
        <f>IFERROR(__xludf.DUMMYFUNCTION("""COMPUTED_VALUE"""),0.0015393518518518519)</f>
        <v>0.001539351852</v>
      </c>
      <c r="E769" s="1">
        <f>IFERROR(__xludf.DUMMYFUNCTION("""COMPUTED_VALUE"""),1.15)</f>
        <v>1.15</v>
      </c>
      <c r="F769" s="1">
        <f>IFERROR(__xludf.DUMMYFUNCTION("""COMPUTED_VALUE"""),4.29)</f>
        <v>4.29</v>
      </c>
      <c r="G769" s="5">
        <f>IFERROR(__xludf.DUMMYFUNCTION("""COMPUTED_VALUE"""),13163.0)</f>
        <v>13163</v>
      </c>
      <c r="H769" s="5">
        <f>IFERROR(__xludf.DUMMYFUNCTION("""COMPUTED_VALUE"""),3069.0)</f>
        <v>3069</v>
      </c>
    </row>
    <row r="770">
      <c r="A770" s="4">
        <f>IFERROR(__xludf.DUMMYFUNCTION("""COMPUTED_VALUE"""),43138.0)</f>
        <v>43138</v>
      </c>
      <c r="B770" s="5">
        <f>IFERROR(__xludf.DUMMYFUNCTION("""COMPUTED_VALUE"""),2749.0)</f>
        <v>2749</v>
      </c>
      <c r="C770" s="6">
        <f>IFERROR(__xludf.DUMMYFUNCTION("""COMPUTED_VALUE"""),0.4865)</f>
        <v>0.4865</v>
      </c>
      <c r="D770" s="2">
        <f>IFERROR(__xludf.DUMMYFUNCTION("""COMPUTED_VALUE"""),0.0014583333333333334)</f>
        <v>0.001458333333</v>
      </c>
      <c r="E770" s="1">
        <f>IFERROR(__xludf.DUMMYFUNCTION("""COMPUTED_VALUE"""),1.12)</f>
        <v>1.12</v>
      </c>
      <c r="F770" s="1">
        <f>IFERROR(__xludf.DUMMYFUNCTION("""COMPUTED_VALUE"""),4.03)</f>
        <v>4.03</v>
      </c>
      <c r="G770" s="5">
        <f>IFERROR(__xludf.DUMMYFUNCTION("""COMPUTED_VALUE"""),12427.0)</f>
        <v>12427</v>
      </c>
      <c r="H770" s="5">
        <f>IFERROR(__xludf.DUMMYFUNCTION("""COMPUTED_VALUE"""),3083.0)</f>
        <v>3083</v>
      </c>
    </row>
    <row r="771">
      <c r="A771" s="4">
        <f>IFERROR(__xludf.DUMMYFUNCTION("""COMPUTED_VALUE"""),43139.0)</f>
        <v>43139</v>
      </c>
      <c r="B771" s="5">
        <f>IFERROR(__xludf.DUMMYFUNCTION("""COMPUTED_VALUE"""),2791.0)</f>
        <v>2791</v>
      </c>
      <c r="C771" s="6">
        <f>IFERROR(__xludf.DUMMYFUNCTION("""COMPUTED_VALUE"""),0.5337)</f>
        <v>0.5337</v>
      </c>
      <c r="D771" s="2">
        <f>IFERROR(__xludf.DUMMYFUNCTION("""COMPUTED_VALUE"""),0.0015393518518518519)</f>
        <v>0.001539351852</v>
      </c>
      <c r="E771" s="1">
        <f>IFERROR(__xludf.DUMMYFUNCTION("""COMPUTED_VALUE"""),1.1)</f>
        <v>1.1</v>
      </c>
      <c r="F771" s="1">
        <f>IFERROR(__xludf.DUMMYFUNCTION("""COMPUTED_VALUE"""),3.8)</f>
        <v>3.8</v>
      </c>
      <c r="G771" s="5">
        <f>IFERROR(__xludf.DUMMYFUNCTION("""COMPUTED_VALUE"""),11664.0)</f>
        <v>11664</v>
      </c>
      <c r="H771" s="5">
        <f>IFERROR(__xludf.DUMMYFUNCTION("""COMPUTED_VALUE"""),3069.0)</f>
        <v>3069</v>
      </c>
    </row>
    <row r="772">
      <c r="A772" s="4">
        <f>IFERROR(__xludf.DUMMYFUNCTION("""COMPUTED_VALUE"""),43140.0)</f>
        <v>43140</v>
      </c>
      <c r="B772" s="5">
        <f>IFERROR(__xludf.DUMMYFUNCTION("""COMPUTED_VALUE"""),2694.0)</f>
        <v>2694</v>
      </c>
      <c r="C772" s="6">
        <f>IFERROR(__xludf.DUMMYFUNCTION("""COMPUTED_VALUE"""),0.4933)</f>
        <v>0.4933</v>
      </c>
      <c r="D772" s="2">
        <f>IFERROR(__xludf.DUMMYFUNCTION("""COMPUTED_VALUE"""),0.0015162037037037036)</f>
        <v>0.001516203704</v>
      </c>
      <c r="E772" s="1">
        <f>IFERROR(__xludf.DUMMYFUNCTION("""COMPUTED_VALUE"""),1.13)</f>
        <v>1.13</v>
      </c>
      <c r="F772" s="1">
        <f>IFERROR(__xludf.DUMMYFUNCTION("""COMPUTED_VALUE"""),3.29)</f>
        <v>3.29</v>
      </c>
      <c r="G772" s="5">
        <f>IFERROR(__xludf.DUMMYFUNCTION("""COMPUTED_VALUE"""),9997.0)</f>
        <v>9997</v>
      </c>
      <c r="H772" s="5">
        <f>IFERROR(__xludf.DUMMYFUNCTION("""COMPUTED_VALUE"""),3041.0)</f>
        <v>3041</v>
      </c>
    </row>
    <row r="773">
      <c r="A773" s="4">
        <f>IFERROR(__xludf.DUMMYFUNCTION("""COMPUTED_VALUE"""),43141.0)</f>
        <v>43141</v>
      </c>
      <c r="B773" s="5">
        <f>IFERROR(__xludf.DUMMYFUNCTION("""COMPUTED_VALUE"""),2347.0)</f>
        <v>2347</v>
      </c>
      <c r="C773" s="6">
        <f>IFERROR(__xludf.DUMMYFUNCTION("""COMPUTED_VALUE"""),0.461)</f>
        <v>0.461</v>
      </c>
      <c r="D773" s="2">
        <f>IFERROR(__xludf.DUMMYFUNCTION("""COMPUTED_VALUE"""),8.912037037037037E-4)</f>
        <v>0.0008912037037</v>
      </c>
      <c r="E773" s="1">
        <f>IFERROR(__xludf.DUMMYFUNCTION("""COMPUTED_VALUE"""),1.06)</f>
        <v>1.06</v>
      </c>
      <c r="F773" s="1">
        <f>IFERROR(__xludf.DUMMYFUNCTION("""COMPUTED_VALUE"""),2.86)</f>
        <v>2.86</v>
      </c>
      <c r="G773" s="5">
        <f>IFERROR(__xludf.DUMMYFUNCTION("""COMPUTED_VALUE"""),7137.0)</f>
        <v>7137</v>
      </c>
      <c r="H773" s="5">
        <f>IFERROR(__xludf.DUMMYFUNCTION("""COMPUTED_VALUE"""),2499.0)</f>
        <v>2499</v>
      </c>
    </row>
    <row r="774">
      <c r="A774" s="4">
        <f>IFERROR(__xludf.DUMMYFUNCTION("""COMPUTED_VALUE"""),43142.0)</f>
        <v>43142</v>
      </c>
      <c r="B774" s="5">
        <f>IFERROR(__xludf.DUMMYFUNCTION("""COMPUTED_VALUE"""),2610.0)</f>
        <v>2610</v>
      </c>
      <c r="C774" s="6">
        <f>IFERROR(__xludf.DUMMYFUNCTION("""COMPUTED_VALUE"""),0.4199)</f>
        <v>0.4199</v>
      </c>
      <c r="D774" s="2">
        <f>IFERROR(__xludf.DUMMYFUNCTION("""COMPUTED_VALUE"""),0.002025462962962963)</f>
        <v>0.002025462963</v>
      </c>
      <c r="E774" s="1">
        <f>IFERROR(__xludf.DUMMYFUNCTION("""COMPUTED_VALUE"""),1.06)</f>
        <v>1.06</v>
      </c>
      <c r="F774" s="1">
        <f>IFERROR(__xludf.DUMMYFUNCTION("""COMPUTED_VALUE"""),3.95)</f>
        <v>3.95</v>
      </c>
      <c r="G774" s="5">
        <f>IFERROR(__xludf.DUMMYFUNCTION("""COMPUTED_VALUE"""),10969.0)</f>
        <v>10969</v>
      </c>
      <c r="H774" s="5">
        <f>IFERROR(__xludf.DUMMYFUNCTION("""COMPUTED_VALUE"""),2777.0)</f>
        <v>2777</v>
      </c>
    </row>
    <row r="775">
      <c r="A775" s="4">
        <f>IFERROR(__xludf.DUMMYFUNCTION("""COMPUTED_VALUE"""),43143.0)</f>
        <v>43143</v>
      </c>
      <c r="B775" s="5">
        <f>IFERROR(__xludf.DUMMYFUNCTION("""COMPUTED_VALUE"""),3471.0)</f>
        <v>3471</v>
      </c>
      <c r="C775" s="6">
        <f>IFERROR(__xludf.DUMMYFUNCTION("""COMPUTED_VALUE"""),0.4258)</f>
        <v>0.4258</v>
      </c>
      <c r="D775" s="2">
        <f>IFERROR(__xludf.DUMMYFUNCTION("""COMPUTED_VALUE"""),0.0014814814814814814)</f>
        <v>0.001481481481</v>
      </c>
      <c r="E775" s="1">
        <f>IFERROR(__xludf.DUMMYFUNCTION("""COMPUTED_VALUE"""),1.05)</f>
        <v>1.05</v>
      </c>
      <c r="F775" s="1">
        <f>IFERROR(__xludf.DUMMYFUNCTION("""COMPUTED_VALUE"""),3.91)</f>
        <v>3.91</v>
      </c>
      <c r="G775" s="5">
        <f>IFERROR(__xludf.DUMMYFUNCTION("""COMPUTED_VALUE"""),14274.0)</f>
        <v>14274</v>
      </c>
      <c r="H775" s="5">
        <f>IFERROR(__xludf.DUMMYFUNCTION("""COMPUTED_VALUE"""),3652.0)</f>
        <v>3652</v>
      </c>
    </row>
    <row r="776">
      <c r="A776" s="4">
        <f>IFERROR(__xludf.DUMMYFUNCTION("""COMPUTED_VALUE"""),43144.0)</f>
        <v>43144</v>
      </c>
      <c r="B776" s="5">
        <f>IFERROR(__xludf.DUMMYFUNCTION("""COMPUTED_VALUE"""),3208.0)</f>
        <v>3208</v>
      </c>
      <c r="C776" s="6">
        <f>IFERROR(__xludf.DUMMYFUNCTION("""COMPUTED_VALUE"""),0.3945)</f>
        <v>0.3945</v>
      </c>
      <c r="D776" s="2">
        <f>IFERROR(__xludf.DUMMYFUNCTION("""COMPUTED_VALUE"""),0.001400462962962963)</f>
        <v>0.001400462963</v>
      </c>
      <c r="E776" s="1">
        <f>IFERROR(__xludf.DUMMYFUNCTION("""COMPUTED_VALUE"""),1.09)</f>
        <v>1.09</v>
      </c>
      <c r="F776" s="1">
        <f>IFERROR(__xludf.DUMMYFUNCTION("""COMPUTED_VALUE"""),3.69)</f>
        <v>3.69</v>
      </c>
      <c r="G776" s="5">
        <f>IFERROR(__xludf.DUMMYFUNCTION("""COMPUTED_VALUE"""),12872.0)</f>
        <v>12872</v>
      </c>
      <c r="H776" s="5">
        <f>IFERROR(__xludf.DUMMYFUNCTION("""COMPUTED_VALUE"""),3485.0)</f>
        <v>3485</v>
      </c>
    </row>
    <row r="777">
      <c r="A777" s="4">
        <f>IFERROR(__xludf.DUMMYFUNCTION("""COMPUTED_VALUE"""),43145.0)</f>
        <v>43145</v>
      </c>
      <c r="B777" s="5">
        <f>IFERROR(__xludf.DUMMYFUNCTION("""COMPUTED_VALUE"""),3235.0)</f>
        <v>3235</v>
      </c>
      <c r="C777" s="6">
        <f>IFERROR(__xludf.DUMMYFUNCTION("""COMPUTED_VALUE"""),0.4876)</f>
        <v>0.4876</v>
      </c>
      <c r="D777" s="2">
        <f>IFERROR(__xludf.DUMMYFUNCTION("""COMPUTED_VALUE"""),0.0014236111111111112)</f>
        <v>0.001423611111</v>
      </c>
      <c r="E777" s="1">
        <f>IFERROR(__xludf.DUMMYFUNCTION("""COMPUTED_VALUE"""),1.05)</f>
        <v>1.05</v>
      </c>
      <c r="F777" s="1">
        <f>IFERROR(__xludf.DUMMYFUNCTION("""COMPUTED_VALUE"""),3.09)</f>
        <v>3.09</v>
      </c>
      <c r="G777" s="5">
        <f>IFERROR(__xludf.DUMMYFUNCTION("""COMPUTED_VALUE"""),10470.0)</f>
        <v>10470</v>
      </c>
      <c r="H777" s="5">
        <f>IFERROR(__xludf.DUMMYFUNCTION("""COMPUTED_VALUE"""),3388.0)</f>
        <v>3388</v>
      </c>
    </row>
    <row r="778">
      <c r="A778" s="4">
        <f>IFERROR(__xludf.DUMMYFUNCTION("""COMPUTED_VALUE"""),43146.0)</f>
        <v>43146</v>
      </c>
      <c r="B778" s="5">
        <f>IFERROR(__xludf.DUMMYFUNCTION("""COMPUTED_VALUE"""),2874.0)</f>
        <v>2874</v>
      </c>
      <c r="C778" s="6">
        <f>IFERROR(__xludf.DUMMYFUNCTION("""COMPUTED_VALUE"""),0.5)</f>
        <v>0.5</v>
      </c>
      <c r="D778" s="2">
        <f>IFERROR(__xludf.DUMMYFUNCTION("""COMPUTED_VALUE"""),0.001736111111111111)</f>
        <v>0.001736111111</v>
      </c>
      <c r="E778" s="1">
        <f>IFERROR(__xludf.DUMMYFUNCTION("""COMPUTED_VALUE"""),1.1)</f>
        <v>1.1</v>
      </c>
      <c r="F778" s="1">
        <f>IFERROR(__xludf.DUMMYFUNCTION("""COMPUTED_VALUE"""),3.71)</f>
        <v>3.71</v>
      </c>
      <c r="G778" s="5">
        <f>IFERROR(__xludf.DUMMYFUNCTION("""COMPUTED_VALUE"""),11747.0)</f>
        <v>11747</v>
      </c>
      <c r="H778" s="5">
        <f>IFERROR(__xludf.DUMMYFUNCTION("""COMPUTED_VALUE"""),3166.0)</f>
        <v>3166</v>
      </c>
    </row>
    <row r="779">
      <c r="A779" s="4">
        <f>IFERROR(__xludf.DUMMYFUNCTION("""COMPUTED_VALUE"""),43147.0)</f>
        <v>43147</v>
      </c>
      <c r="B779" s="5">
        <f>IFERROR(__xludf.DUMMYFUNCTION("""COMPUTED_VALUE"""),2610.0)</f>
        <v>2610</v>
      </c>
      <c r="C779" s="6">
        <f>IFERROR(__xludf.DUMMYFUNCTION("""COMPUTED_VALUE"""),0.5122)</f>
        <v>0.5122</v>
      </c>
      <c r="D779" s="2">
        <f>IFERROR(__xludf.DUMMYFUNCTION("""COMPUTED_VALUE"""),0.0014351851851851852)</f>
        <v>0.001435185185</v>
      </c>
      <c r="E779" s="1">
        <f>IFERROR(__xludf.DUMMYFUNCTION("""COMPUTED_VALUE"""),1.08)</f>
        <v>1.08</v>
      </c>
      <c r="F779" s="1">
        <f>IFERROR(__xludf.DUMMYFUNCTION("""COMPUTED_VALUE"""),3.29)</f>
        <v>3.29</v>
      </c>
      <c r="G779" s="5">
        <f>IFERROR(__xludf.DUMMYFUNCTION("""COMPUTED_VALUE"""),9262.0)</f>
        <v>9262</v>
      </c>
      <c r="H779" s="5">
        <f>IFERROR(__xludf.DUMMYFUNCTION("""COMPUTED_VALUE"""),2819.0)</f>
        <v>2819</v>
      </c>
    </row>
    <row r="780">
      <c r="A780" s="4">
        <f>IFERROR(__xludf.DUMMYFUNCTION("""COMPUTED_VALUE"""),43148.0)</f>
        <v>43148</v>
      </c>
      <c r="B780" s="5">
        <f>IFERROR(__xludf.DUMMYFUNCTION("""COMPUTED_VALUE"""),2236.0)</f>
        <v>2236</v>
      </c>
      <c r="C780" s="6">
        <f>IFERROR(__xludf.DUMMYFUNCTION("""COMPUTED_VALUE"""),0.5116)</f>
        <v>0.5116</v>
      </c>
      <c r="D780" s="2">
        <f>IFERROR(__xludf.DUMMYFUNCTION("""COMPUTED_VALUE"""),8.101851851851852E-4)</f>
        <v>0.0008101851852</v>
      </c>
      <c r="E780" s="1">
        <f>IFERROR(__xludf.DUMMYFUNCTION("""COMPUTED_VALUE"""),1.08)</f>
        <v>1.08</v>
      </c>
      <c r="F780" s="1">
        <f>IFERROR(__xludf.DUMMYFUNCTION("""COMPUTED_VALUE"""),2.72)</f>
        <v>2.72</v>
      </c>
      <c r="G780" s="5">
        <f>IFERROR(__xludf.DUMMYFUNCTION("""COMPUTED_VALUE"""),6582.0)</f>
        <v>6582</v>
      </c>
      <c r="H780" s="5">
        <f>IFERROR(__xludf.DUMMYFUNCTION("""COMPUTED_VALUE"""),2416.0)</f>
        <v>2416</v>
      </c>
    </row>
    <row r="781">
      <c r="A781" s="4">
        <f>IFERROR(__xludf.DUMMYFUNCTION("""COMPUTED_VALUE"""),43149.0)</f>
        <v>43149</v>
      </c>
      <c r="B781" s="5">
        <f>IFERROR(__xludf.DUMMYFUNCTION("""COMPUTED_VALUE"""),2458.0)</f>
        <v>2458</v>
      </c>
      <c r="C781" s="6">
        <f>IFERROR(__xludf.DUMMYFUNCTION("""COMPUTED_VALUE"""),0.5078)</f>
        <v>0.5078</v>
      </c>
      <c r="D781" s="2">
        <f>IFERROR(__xludf.DUMMYFUNCTION("""COMPUTED_VALUE"""),0.0011689814814814816)</f>
        <v>0.001168981481</v>
      </c>
      <c r="E781" s="1">
        <f>IFERROR(__xludf.DUMMYFUNCTION("""COMPUTED_VALUE"""),1.09)</f>
        <v>1.09</v>
      </c>
      <c r="F781" s="1">
        <f>IFERROR(__xludf.DUMMYFUNCTION("""COMPUTED_VALUE"""),2.88)</f>
        <v>2.88</v>
      </c>
      <c r="G781" s="5">
        <f>IFERROR(__xludf.DUMMYFUNCTION("""COMPUTED_VALUE"""),7720.0)</f>
        <v>7720</v>
      </c>
      <c r="H781" s="5">
        <f>IFERROR(__xludf.DUMMYFUNCTION("""COMPUTED_VALUE"""),2680.0)</f>
        <v>2680</v>
      </c>
    </row>
    <row r="782">
      <c r="A782" s="4">
        <f>IFERROR(__xludf.DUMMYFUNCTION("""COMPUTED_VALUE"""),43150.0)</f>
        <v>43150</v>
      </c>
      <c r="B782" s="5">
        <f>IFERROR(__xludf.DUMMYFUNCTION("""COMPUTED_VALUE"""),2583.0)</f>
        <v>2583</v>
      </c>
      <c r="C782" s="6">
        <f>IFERROR(__xludf.DUMMYFUNCTION("""COMPUTED_VALUE"""),0.4736)</f>
        <v>0.4736</v>
      </c>
      <c r="D782" s="2">
        <f>IFERROR(__xludf.DUMMYFUNCTION("""COMPUTED_VALUE"""),0.0015277777777777779)</f>
        <v>0.001527777778</v>
      </c>
      <c r="E782" s="1">
        <f>IFERROR(__xludf.DUMMYFUNCTION("""COMPUTED_VALUE"""),1.11)</f>
        <v>1.11</v>
      </c>
      <c r="F782" s="1">
        <f>IFERROR(__xludf.DUMMYFUNCTION("""COMPUTED_VALUE"""),3.64)</f>
        <v>3.64</v>
      </c>
      <c r="G782" s="5">
        <f>IFERROR(__xludf.DUMMYFUNCTION("""COMPUTED_VALUE"""),10470.0)</f>
        <v>10470</v>
      </c>
      <c r="H782" s="5">
        <f>IFERROR(__xludf.DUMMYFUNCTION("""COMPUTED_VALUE"""),2874.0)</f>
        <v>2874</v>
      </c>
    </row>
    <row r="783">
      <c r="A783" s="4">
        <f>IFERROR(__xludf.DUMMYFUNCTION("""COMPUTED_VALUE"""),43151.0)</f>
        <v>43151</v>
      </c>
      <c r="B783" s="5">
        <f>IFERROR(__xludf.DUMMYFUNCTION("""COMPUTED_VALUE"""),3305.0)</f>
        <v>3305</v>
      </c>
      <c r="C783" s="6">
        <f>IFERROR(__xludf.DUMMYFUNCTION("""COMPUTED_VALUE"""),0.4656)</f>
        <v>0.4656</v>
      </c>
      <c r="D783" s="2">
        <f>IFERROR(__xludf.DUMMYFUNCTION("""COMPUTED_VALUE"""),0.0010069444444444444)</f>
        <v>0.001006944444</v>
      </c>
      <c r="E783" s="1">
        <f>IFERROR(__xludf.DUMMYFUNCTION("""COMPUTED_VALUE"""),1.1)</f>
        <v>1.1</v>
      </c>
      <c r="F783" s="1">
        <f>IFERROR(__xludf.DUMMYFUNCTION("""COMPUTED_VALUE"""),3.71)</f>
        <v>3.71</v>
      </c>
      <c r="G783" s="5">
        <f>IFERROR(__xludf.DUMMYFUNCTION("""COMPUTED_VALUE"""),13510.0)</f>
        <v>13510</v>
      </c>
      <c r="H783" s="5">
        <f>IFERROR(__xludf.DUMMYFUNCTION("""COMPUTED_VALUE"""),3638.0)</f>
        <v>3638</v>
      </c>
    </row>
    <row r="784">
      <c r="A784" s="4">
        <f>IFERROR(__xludf.DUMMYFUNCTION("""COMPUTED_VALUE"""),43152.0)</f>
        <v>43152</v>
      </c>
      <c r="B784" s="5">
        <f>IFERROR(__xludf.DUMMYFUNCTION("""COMPUTED_VALUE"""),3263.0)</f>
        <v>3263</v>
      </c>
      <c r="C784" s="6">
        <f>IFERROR(__xludf.DUMMYFUNCTION("""COMPUTED_VALUE"""),0.4782)</f>
        <v>0.4782</v>
      </c>
      <c r="D784" s="2">
        <f>IFERROR(__xludf.DUMMYFUNCTION("""COMPUTED_VALUE"""),0.0015162037037037036)</f>
        <v>0.001516203704</v>
      </c>
      <c r="E784" s="1">
        <f>IFERROR(__xludf.DUMMYFUNCTION("""COMPUTED_VALUE"""),1.08)</f>
        <v>1.08</v>
      </c>
      <c r="F784" s="1">
        <f>IFERROR(__xludf.DUMMYFUNCTION("""COMPUTED_VALUE"""),4.29)</f>
        <v>4.29</v>
      </c>
      <c r="G784" s="5">
        <f>IFERROR(__xludf.DUMMYFUNCTION("""COMPUTED_VALUE"""),15066.0)</f>
        <v>15066</v>
      </c>
      <c r="H784" s="5">
        <f>IFERROR(__xludf.DUMMYFUNCTION("""COMPUTED_VALUE"""),3513.0)</f>
        <v>3513</v>
      </c>
    </row>
    <row r="785">
      <c r="A785" s="4">
        <f>IFERROR(__xludf.DUMMYFUNCTION("""COMPUTED_VALUE"""),43153.0)</f>
        <v>43153</v>
      </c>
      <c r="B785" s="5">
        <f>IFERROR(__xludf.DUMMYFUNCTION("""COMPUTED_VALUE"""),3277.0)</f>
        <v>3277</v>
      </c>
      <c r="C785" s="6">
        <f>IFERROR(__xludf.DUMMYFUNCTION("""COMPUTED_VALUE"""),0.4924)</f>
        <v>0.4924</v>
      </c>
      <c r="D785" s="2">
        <f>IFERROR(__xludf.DUMMYFUNCTION("""COMPUTED_VALUE"""),0.0015393518518518519)</f>
        <v>0.001539351852</v>
      </c>
      <c r="E785" s="1">
        <f>IFERROR(__xludf.DUMMYFUNCTION("""COMPUTED_VALUE"""),1.12)</f>
        <v>1.12</v>
      </c>
      <c r="F785" s="1">
        <f>IFERROR(__xludf.DUMMYFUNCTION("""COMPUTED_VALUE"""),3.83)</f>
        <v>3.83</v>
      </c>
      <c r="G785" s="5">
        <f>IFERROR(__xludf.DUMMYFUNCTION("""COMPUTED_VALUE"""),14024.0)</f>
        <v>14024</v>
      </c>
      <c r="H785" s="5">
        <f>IFERROR(__xludf.DUMMYFUNCTION("""COMPUTED_VALUE"""),3666.0)</f>
        <v>3666</v>
      </c>
    </row>
    <row r="786">
      <c r="A786" s="4">
        <f>IFERROR(__xludf.DUMMYFUNCTION("""COMPUTED_VALUE"""),43154.0)</f>
        <v>43154</v>
      </c>
      <c r="B786" s="5">
        <f>IFERROR(__xludf.DUMMYFUNCTION("""COMPUTED_VALUE"""),2680.0)</f>
        <v>2680</v>
      </c>
      <c r="C786" s="6">
        <f>IFERROR(__xludf.DUMMYFUNCTION("""COMPUTED_VALUE"""),0.4389)</f>
        <v>0.4389</v>
      </c>
      <c r="D786" s="2">
        <f>IFERROR(__xludf.DUMMYFUNCTION("""COMPUTED_VALUE"""),0.001412037037037037)</f>
        <v>0.001412037037</v>
      </c>
      <c r="E786" s="1">
        <f>IFERROR(__xludf.DUMMYFUNCTION("""COMPUTED_VALUE"""),1.15)</f>
        <v>1.15</v>
      </c>
      <c r="F786" s="1">
        <f>IFERROR(__xludf.DUMMYFUNCTION("""COMPUTED_VALUE"""),4.24)</f>
        <v>4.24</v>
      </c>
      <c r="G786" s="5">
        <f>IFERROR(__xludf.DUMMYFUNCTION("""COMPUTED_VALUE"""),13024.0)</f>
        <v>13024</v>
      </c>
      <c r="H786" s="5">
        <f>IFERROR(__xludf.DUMMYFUNCTION("""COMPUTED_VALUE"""),3069.0)</f>
        <v>3069</v>
      </c>
    </row>
    <row r="787">
      <c r="A787" s="4">
        <f>IFERROR(__xludf.DUMMYFUNCTION("""COMPUTED_VALUE"""),43155.0)</f>
        <v>43155</v>
      </c>
      <c r="B787" s="5">
        <f>IFERROR(__xludf.DUMMYFUNCTION("""COMPUTED_VALUE"""),2166.0)</f>
        <v>2166</v>
      </c>
      <c r="C787" s="6">
        <f>IFERROR(__xludf.DUMMYFUNCTION("""COMPUTED_VALUE"""),0.5302)</f>
        <v>0.5302</v>
      </c>
      <c r="D787" s="2">
        <f>IFERROR(__xludf.DUMMYFUNCTION("""COMPUTED_VALUE"""),0.001388888888888889)</f>
        <v>0.001388888889</v>
      </c>
      <c r="E787" s="1">
        <f>IFERROR(__xludf.DUMMYFUNCTION("""COMPUTED_VALUE"""),1.06)</f>
        <v>1.06</v>
      </c>
      <c r="F787" s="1">
        <f>IFERROR(__xludf.DUMMYFUNCTION("""COMPUTED_VALUE"""),3.15)</f>
        <v>3.15</v>
      </c>
      <c r="G787" s="5">
        <f>IFERROR(__xludf.DUMMYFUNCTION("""COMPUTED_VALUE"""),7262.0)</f>
        <v>7262</v>
      </c>
      <c r="H787" s="5">
        <f>IFERROR(__xludf.DUMMYFUNCTION("""COMPUTED_VALUE"""),2305.0)</f>
        <v>2305</v>
      </c>
    </row>
    <row r="788">
      <c r="A788" s="4">
        <f>IFERROR(__xludf.DUMMYFUNCTION("""COMPUTED_VALUE"""),43156.0)</f>
        <v>43156</v>
      </c>
      <c r="B788" s="5">
        <f>IFERROR(__xludf.DUMMYFUNCTION("""COMPUTED_VALUE"""),2263.0)</f>
        <v>2263</v>
      </c>
      <c r="C788" s="6">
        <f>IFERROR(__xludf.DUMMYFUNCTION("""COMPUTED_VALUE"""),0.5562)</f>
        <v>0.5562</v>
      </c>
      <c r="D788" s="2">
        <f>IFERROR(__xludf.DUMMYFUNCTION("""COMPUTED_VALUE"""),9.837962962962962E-4)</f>
        <v>0.0009837962963</v>
      </c>
      <c r="E788" s="1">
        <f>IFERROR(__xludf.DUMMYFUNCTION("""COMPUTED_VALUE"""),1.09)</f>
        <v>1.09</v>
      </c>
      <c r="F788" s="1">
        <f>IFERROR(__xludf.DUMMYFUNCTION("""COMPUTED_VALUE"""),3.14)</f>
        <v>3.14</v>
      </c>
      <c r="G788" s="5">
        <f>IFERROR(__xludf.DUMMYFUNCTION("""COMPUTED_VALUE"""),7762.0)</f>
        <v>7762</v>
      </c>
      <c r="H788" s="5">
        <f>IFERROR(__xludf.DUMMYFUNCTION("""COMPUTED_VALUE"""),2472.0)</f>
        <v>2472</v>
      </c>
    </row>
    <row r="789">
      <c r="A789" s="4">
        <f>IFERROR(__xludf.DUMMYFUNCTION("""COMPUTED_VALUE"""),43157.0)</f>
        <v>43157</v>
      </c>
      <c r="B789" s="5">
        <f>IFERROR(__xludf.DUMMYFUNCTION("""COMPUTED_VALUE"""),3805.0)</f>
        <v>3805</v>
      </c>
      <c r="C789" s="6">
        <f>IFERROR(__xludf.DUMMYFUNCTION("""COMPUTED_VALUE"""),0.4033)</f>
        <v>0.4033</v>
      </c>
      <c r="D789" s="2">
        <f>IFERROR(__xludf.DUMMYFUNCTION("""COMPUTED_VALUE"""),0.0011342592592592593)</f>
        <v>0.001134259259</v>
      </c>
      <c r="E789" s="1">
        <f>IFERROR(__xludf.DUMMYFUNCTION("""COMPUTED_VALUE"""),1.09)</f>
        <v>1.09</v>
      </c>
      <c r="F789" s="1">
        <f>IFERROR(__xludf.DUMMYFUNCTION("""COMPUTED_VALUE"""),3.53)</f>
        <v>3.53</v>
      </c>
      <c r="G789" s="5">
        <f>IFERROR(__xludf.DUMMYFUNCTION("""COMPUTED_VALUE"""),14691.0)</f>
        <v>14691</v>
      </c>
      <c r="H789" s="5">
        <f>IFERROR(__xludf.DUMMYFUNCTION("""COMPUTED_VALUE"""),4166.0)</f>
        <v>4166</v>
      </c>
    </row>
    <row r="790">
      <c r="A790" s="4">
        <f>IFERROR(__xludf.DUMMYFUNCTION("""COMPUTED_VALUE"""),43158.0)</f>
        <v>43158</v>
      </c>
      <c r="B790" s="5">
        <f>IFERROR(__xludf.DUMMYFUNCTION("""COMPUTED_VALUE"""),3388.0)</f>
        <v>3388</v>
      </c>
      <c r="C790" s="6">
        <f>IFERROR(__xludf.DUMMYFUNCTION("""COMPUTED_VALUE"""),0.4707)</f>
        <v>0.4707</v>
      </c>
      <c r="D790" s="2">
        <f>IFERROR(__xludf.DUMMYFUNCTION("""COMPUTED_VALUE"""),0.0013078703703703703)</f>
        <v>0.00130787037</v>
      </c>
      <c r="E790" s="1">
        <f>IFERROR(__xludf.DUMMYFUNCTION("""COMPUTED_VALUE"""),1.05)</f>
        <v>1.05</v>
      </c>
      <c r="F790" s="1">
        <f>IFERROR(__xludf.DUMMYFUNCTION("""COMPUTED_VALUE"""),3.7)</f>
        <v>3.7</v>
      </c>
      <c r="G790" s="5">
        <f>IFERROR(__xludf.DUMMYFUNCTION("""COMPUTED_VALUE"""),13191.0)</f>
        <v>13191</v>
      </c>
      <c r="H790" s="5">
        <f>IFERROR(__xludf.DUMMYFUNCTION("""COMPUTED_VALUE"""),3569.0)</f>
        <v>3569</v>
      </c>
    </row>
    <row r="791">
      <c r="A791" s="4">
        <f>IFERROR(__xludf.DUMMYFUNCTION("""COMPUTED_VALUE"""),43159.0)</f>
        <v>43159</v>
      </c>
      <c r="B791" s="5">
        <f>IFERROR(__xludf.DUMMYFUNCTION("""COMPUTED_VALUE"""),2902.0)</f>
        <v>2902</v>
      </c>
      <c r="C791" s="6">
        <f>IFERROR(__xludf.DUMMYFUNCTION("""COMPUTED_VALUE"""),0.4937)</f>
        <v>0.4937</v>
      </c>
      <c r="D791" s="2">
        <f>IFERROR(__xludf.DUMMYFUNCTION("""COMPUTED_VALUE"""),0.0011342592592592593)</f>
        <v>0.001134259259</v>
      </c>
      <c r="E791" s="1">
        <f>IFERROR(__xludf.DUMMYFUNCTION("""COMPUTED_VALUE"""),1.11)</f>
        <v>1.11</v>
      </c>
      <c r="F791" s="1">
        <f>IFERROR(__xludf.DUMMYFUNCTION("""COMPUTED_VALUE"""),3.75)</f>
        <v>3.75</v>
      </c>
      <c r="G791" s="5">
        <f>IFERROR(__xludf.DUMMYFUNCTION("""COMPUTED_VALUE"""),12122.0)</f>
        <v>12122</v>
      </c>
      <c r="H791" s="5">
        <f>IFERROR(__xludf.DUMMYFUNCTION("""COMPUTED_VALUE"""),3235.0)</f>
        <v>3235</v>
      </c>
    </row>
    <row r="792">
      <c r="A792" s="4">
        <f>IFERROR(__xludf.DUMMYFUNCTION("""COMPUTED_VALUE"""),43160.0)</f>
        <v>43160</v>
      </c>
      <c r="B792" s="5">
        <f>IFERROR(__xludf.DUMMYFUNCTION("""COMPUTED_VALUE"""),2916.0)</f>
        <v>2916</v>
      </c>
      <c r="C792" s="6">
        <f>IFERROR(__xludf.DUMMYFUNCTION("""COMPUTED_VALUE"""),0.5343)</f>
        <v>0.5343</v>
      </c>
      <c r="D792" s="2">
        <f>IFERROR(__xludf.DUMMYFUNCTION("""COMPUTED_VALUE"""),9.143518518518518E-4)</f>
        <v>0.0009143518519</v>
      </c>
      <c r="E792" s="1">
        <f>IFERROR(__xludf.DUMMYFUNCTION("""COMPUTED_VALUE"""),1.11)</f>
        <v>1.11</v>
      </c>
      <c r="F792" s="1">
        <f>IFERROR(__xludf.DUMMYFUNCTION("""COMPUTED_VALUE"""),3.28)</f>
        <v>3.28</v>
      </c>
      <c r="G792" s="5">
        <f>IFERROR(__xludf.DUMMYFUNCTION("""COMPUTED_VALUE"""),10664.0)</f>
        <v>10664</v>
      </c>
      <c r="H792" s="5">
        <f>IFERROR(__xludf.DUMMYFUNCTION("""COMPUTED_VALUE"""),3249.0)</f>
        <v>3249</v>
      </c>
    </row>
    <row r="793">
      <c r="A793" s="4">
        <f>IFERROR(__xludf.DUMMYFUNCTION("""COMPUTED_VALUE"""),43161.0)</f>
        <v>43161</v>
      </c>
      <c r="B793" s="5">
        <f>IFERROR(__xludf.DUMMYFUNCTION("""COMPUTED_VALUE"""),2819.0)</f>
        <v>2819</v>
      </c>
      <c r="C793" s="6">
        <f>IFERROR(__xludf.DUMMYFUNCTION("""COMPUTED_VALUE"""),0.4719)</f>
        <v>0.4719</v>
      </c>
      <c r="D793" s="2">
        <f>IFERROR(__xludf.DUMMYFUNCTION("""COMPUTED_VALUE"""),0.001574074074074074)</f>
        <v>0.001574074074</v>
      </c>
      <c r="E793" s="1">
        <f>IFERROR(__xludf.DUMMYFUNCTION("""COMPUTED_VALUE"""),1.05)</f>
        <v>1.05</v>
      </c>
      <c r="F793" s="1">
        <f>IFERROR(__xludf.DUMMYFUNCTION("""COMPUTED_VALUE"""),4.11)</f>
        <v>4.11</v>
      </c>
      <c r="G793" s="5">
        <f>IFERROR(__xludf.DUMMYFUNCTION("""COMPUTED_VALUE"""),12219.0)</f>
        <v>12219</v>
      </c>
      <c r="H793" s="5">
        <f>IFERROR(__xludf.DUMMYFUNCTION("""COMPUTED_VALUE"""),2971.0)</f>
        <v>2971</v>
      </c>
    </row>
    <row r="794">
      <c r="A794" s="4">
        <f>IFERROR(__xludf.DUMMYFUNCTION("""COMPUTED_VALUE"""),43162.0)</f>
        <v>43162</v>
      </c>
      <c r="B794" s="5">
        <f>IFERROR(__xludf.DUMMYFUNCTION("""COMPUTED_VALUE"""),2263.0)</f>
        <v>2263</v>
      </c>
      <c r="C794" s="6">
        <f>IFERROR(__xludf.DUMMYFUNCTION("""COMPUTED_VALUE"""),0.5029)</f>
        <v>0.5029</v>
      </c>
      <c r="D794" s="2">
        <f>IFERROR(__xludf.DUMMYFUNCTION("""COMPUTED_VALUE"""),0.0017013888888888888)</f>
        <v>0.001701388889</v>
      </c>
      <c r="E794" s="1">
        <f>IFERROR(__xludf.DUMMYFUNCTION("""COMPUTED_VALUE"""),1.06)</f>
        <v>1.06</v>
      </c>
      <c r="F794" s="1">
        <f>IFERROR(__xludf.DUMMYFUNCTION("""COMPUTED_VALUE"""),4.14)</f>
        <v>4.14</v>
      </c>
      <c r="G794" s="5">
        <f>IFERROR(__xludf.DUMMYFUNCTION("""COMPUTED_VALUE"""),9942.0)</f>
        <v>9942</v>
      </c>
      <c r="H794" s="5">
        <f>IFERROR(__xludf.DUMMYFUNCTION("""COMPUTED_VALUE"""),2402.0)</f>
        <v>2402</v>
      </c>
    </row>
    <row r="795">
      <c r="A795" s="4">
        <f>IFERROR(__xludf.DUMMYFUNCTION("""COMPUTED_VALUE"""),43163.0)</f>
        <v>43163</v>
      </c>
      <c r="B795" s="5">
        <f>IFERROR(__xludf.DUMMYFUNCTION("""COMPUTED_VALUE"""),2208.0)</f>
        <v>2208</v>
      </c>
      <c r="C795" s="6">
        <f>IFERROR(__xludf.DUMMYFUNCTION("""COMPUTED_VALUE"""),0.5113)</f>
        <v>0.5113</v>
      </c>
      <c r="D795" s="2">
        <f>IFERROR(__xludf.DUMMYFUNCTION("""COMPUTED_VALUE"""),0.0013078703703703703)</f>
        <v>0.00130787037</v>
      </c>
      <c r="E795" s="1">
        <f>IFERROR(__xludf.DUMMYFUNCTION("""COMPUTED_VALUE"""),1.12)</f>
        <v>1.12</v>
      </c>
      <c r="F795" s="1">
        <f>IFERROR(__xludf.DUMMYFUNCTION("""COMPUTED_VALUE"""),3.53)</f>
        <v>3.53</v>
      </c>
      <c r="G795" s="5">
        <f>IFERROR(__xludf.DUMMYFUNCTION("""COMPUTED_VALUE"""),8720.0)</f>
        <v>8720</v>
      </c>
      <c r="H795" s="5">
        <f>IFERROR(__xludf.DUMMYFUNCTION("""COMPUTED_VALUE"""),2472.0)</f>
        <v>2472</v>
      </c>
    </row>
    <row r="796">
      <c r="A796" s="4">
        <f>IFERROR(__xludf.DUMMYFUNCTION("""COMPUTED_VALUE"""),43164.0)</f>
        <v>43164</v>
      </c>
      <c r="B796" s="5">
        <f>IFERROR(__xludf.DUMMYFUNCTION("""COMPUTED_VALUE"""),2944.0)</f>
        <v>2944</v>
      </c>
      <c r="C796" s="6">
        <f>IFERROR(__xludf.DUMMYFUNCTION("""COMPUTED_VALUE"""),0.4643)</f>
        <v>0.4643</v>
      </c>
      <c r="D796" s="2">
        <f>IFERROR(__xludf.DUMMYFUNCTION("""COMPUTED_VALUE"""),0.0015393518518518519)</f>
        <v>0.001539351852</v>
      </c>
      <c r="E796" s="1">
        <f>IFERROR(__xludf.DUMMYFUNCTION("""COMPUTED_VALUE"""),1.13)</f>
        <v>1.13</v>
      </c>
      <c r="F796" s="1">
        <f>IFERROR(__xludf.DUMMYFUNCTION("""COMPUTED_VALUE"""),4.45)</f>
        <v>4.45</v>
      </c>
      <c r="G796" s="5">
        <f>IFERROR(__xludf.DUMMYFUNCTION("""COMPUTED_VALUE"""),14760.0)</f>
        <v>14760</v>
      </c>
      <c r="H796" s="5">
        <f>IFERROR(__xludf.DUMMYFUNCTION("""COMPUTED_VALUE"""),3319.0)</f>
        <v>3319</v>
      </c>
    </row>
    <row r="797">
      <c r="A797" s="4">
        <f>IFERROR(__xludf.DUMMYFUNCTION("""COMPUTED_VALUE"""),43165.0)</f>
        <v>43165</v>
      </c>
      <c r="B797" s="5">
        <f>IFERROR(__xludf.DUMMYFUNCTION("""COMPUTED_VALUE"""),3499.0)</f>
        <v>3499</v>
      </c>
      <c r="C797" s="6">
        <f>IFERROR(__xludf.DUMMYFUNCTION("""COMPUTED_VALUE"""),0.482)</f>
        <v>0.482</v>
      </c>
      <c r="D797" s="2">
        <f>IFERROR(__xludf.DUMMYFUNCTION("""COMPUTED_VALUE"""),0.0012037037037037038)</f>
        <v>0.001203703704</v>
      </c>
      <c r="E797" s="1">
        <f>IFERROR(__xludf.DUMMYFUNCTION("""COMPUTED_VALUE"""),1.1)</f>
        <v>1.1</v>
      </c>
      <c r="F797" s="1">
        <f>IFERROR(__xludf.DUMMYFUNCTION("""COMPUTED_VALUE"""),3.51)</f>
        <v>3.51</v>
      </c>
      <c r="G797" s="5">
        <f>IFERROR(__xludf.DUMMYFUNCTION("""COMPUTED_VALUE"""),13455.0)</f>
        <v>13455</v>
      </c>
      <c r="H797" s="5">
        <f>IFERROR(__xludf.DUMMYFUNCTION("""COMPUTED_VALUE"""),3832.0)</f>
        <v>3832</v>
      </c>
    </row>
    <row r="798">
      <c r="A798" s="4">
        <f>IFERROR(__xludf.DUMMYFUNCTION("""COMPUTED_VALUE"""),43166.0)</f>
        <v>43166</v>
      </c>
      <c r="B798" s="5">
        <f>IFERROR(__xludf.DUMMYFUNCTION("""COMPUTED_VALUE"""),2999.0)</f>
        <v>2999</v>
      </c>
      <c r="C798" s="6">
        <f>IFERROR(__xludf.DUMMYFUNCTION("""COMPUTED_VALUE"""),0.4558)</f>
        <v>0.4558</v>
      </c>
      <c r="D798" s="2">
        <f>IFERROR(__xludf.DUMMYFUNCTION("""COMPUTED_VALUE"""),0.001400462962962963)</f>
        <v>0.001400462963</v>
      </c>
      <c r="E798" s="1">
        <f>IFERROR(__xludf.DUMMYFUNCTION("""COMPUTED_VALUE"""),1.1)</f>
        <v>1.1</v>
      </c>
      <c r="F798" s="1">
        <f>IFERROR(__xludf.DUMMYFUNCTION("""COMPUTED_VALUE"""),4.3)</f>
        <v>4.3</v>
      </c>
      <c r="G798" s="5">
        <f>IFERROR(__xludf.DUMMYFUNCTION("""COMPUTED_VALUE"""),14149.0)</f>
        <v>14149</v>
      </c>
      <c r="H798" s="5">
        <f>IFERROR(__xludf.DUMMYFUNCTION("""COMPUTED_VALUE"""),3291.0)</f>
        <v>3291</v>
      </c>
    </row>
    <row r="799">
      <c r="A799" s="4">
        <f>IFERROR(__xludf.DUMMYFUNCTION("""COMPUTED_VALUE"""),43167.0)</f>
        <v>43167</v>
      </c>
      <c r="B799" s="5">
        <f>IFERROR(__xludf.DUMMYFUNCTION("""COMPUTED_VALUE"""),2902.0)</f>
        <v>2902</v>
      </c>
      <c r="C799" s="6">
        <f>IFERROR(__xludf.DUMMYFUNCTION("""COMPUTED_VALUE"""),0.4933)</f>
        <v>0.4933</v>
      </c>
      <c r="D799" s="2">
        <f>IFERROR(__xludf.DUMMYFUNCTION("""COMPUTED_VALUE"""),0.0011574074074074073)</f>
        <v>0.001157407407</v>
      </c>
      <c r="E799" s="1">
        <f>IFERROR(__xludf.DUMMYFUNCTION("""COMPUTED_VALUE"""),1.08)</f>
        <v>1.08</v>
      </c>
      <c r="F799" s="1">
        <f>IFERROR(__xludf.DUMMYFUNCTION("""COMPUTED_VALUE"""),3.76)</f>
        <v>3.76</v>
      </c>
      <c r="G799" s="5">
        <f>IFERROR(__xludf.DUMMYFUNCTION("""COMPUTED_VALUE"""),11761.0)</f>
        <v>11761</v>
      </c>
      <c r="H799" s="5">
        <f>IFERROR(__xludf.DUMMYFUNCTION("""COMPUTED_VALUE"""),3124.0)</f>
        <v>3124</v>
      </c>
    </row>
    <row r="800">
      <c r="A800" s="4">
        <f>IFERROR(__xludf.DUMMYFUNCTION("""COMPUTED_VALUE"""),43168.0)</f>
        <v>43168</v>
      </c>
      <c r="B800" s="5">
        <f>IFERROR(__xludf.DUMMYFUNCTION("""COMPUTED_VALUE"""),2624.0)</f>
        <v>2624</v>
      </c>
      <c r="C800" s="6">
        <f>IFERROR(__xludf.DUMMYFUNCTION("""COMPUTED_VALUE"""),0.4902)</f>
        <v>0.4902</v>
      </c>
      <c r="D800" s="2">
        <f>IFERROR(__xludf.DUMMYFUNCTION("""COMPUTED_VALUE"""),0.001412037037037037)</f>
        <v>0.001412037037</v>
      </c>
      <c r="E800" s="1">
        <f>IFERROR(__xludf.DUMMYFUNCTION("""COMPUTED_VALUE"""),1.07)</f>
        <v>1.07</v>
      </c>
      <c r="F800" s="1">
        <f>IFERROR(__xludf.DUMMYFUNCTION("""COMPUTED_VALUE"""),3.76)</f>
        <v>3.76</v>
      </c>
      <c r="G800" s="5">
        <f>IFERROR(__xludf.DUMMYFUNCTION("""COMPUTED_VALUE"""),10553.0)</f>
        <v>10553</v>
      </c>
      <c r="H800" s="5">
        <f>IFERROR(__xludf.DUMMYFUNCTION("""COMPUTED_VALUE"""),2805.0)</f>
        <v>2805</v>
      </c>
    </row>
    <row r="801">
      <c r="A801" s="4">
        <f>IFERROR(__xludf.DUMMYFUNCTION("""COMPUTED_VALUE"""),43169.0)</f>
        <v>43169</v>
      </c>
      <c r="B801" s="5">
        <f>IFERROR(__xludf.DUMMYFUNCTION("""COMPUTED_VALUE"""),2152.0)</f>
        <v>2152</v>
      </c>
      <c r="C801" s="6">
        <f>IFERROR(__xludf.DUMMYFUNCTION("""COMPUTED_VALUE"""),0.4912)</f>
        <v>0.4912</v>
      </c>
      <c r="D801" s="2">
        <f>IFERROR(__xludf.DUMMYFUNCTION("""COMPUTED_VALUE"""),0.0013773148148148147)</f>
        <v>0.001377314815</v>
      </c>
      <c r="E801" s="1">
        <f>IFERROR(__xludf.DUMMYFUNCTION("""COMPUTED_VALUE"""),1.08)</f>
        <v>1.08</v>
      </c>
      <c r="F801" s="1">
        <f>IFERROR(__xludf.DUMMYFUNCTION("""COMPUTED_VALUE"""),4.18)</f>
        <v>4.18</v>
      </c>
      <c r="G801" s="5">
        <f>IFERROR(__xludf.DUMMYFUNCTION("""COMPUTED_VALUE"""),9692.0)</f>
        <v>9692</v>
      </c>
      <c r="H801" s="5">
        <f>IFERROR(__xludf.DUMMYFUNCTION("""COMPUTED_VALUE"""),2319.0)</f>
        <v>2319</v>
      </c>
    </row>
    <row r="802">
      <c r="A802" s="4">
        <f>IFERROR(__xludf.DUMMYFUNCTION("""COMPUTED_VALUE"""),43170.0)</f>
        <v>43170</v>
      </c>
      <c r="B802" s="5">
        <f>IFERROR(__xludf.DUMMYFUNCTION("""COMPUTED_VALUE"""),2097.0)</f>
        <v>2097</v>
      </c>
      <c r="C802" s="6">
        <f>IFERROR(__xludf.DUMMYFUNCTION("""COMPUTED_VALUE"""),0.5089)</f>
        <v>0.5089</v>
      </c>
      <c r="D802" s="2">
        <f>IFERROR(__xludf.DUMMYFUNCTION("""COMPUTED_VALUE"""),0.0013773148148148147)</f>
        <v>0.001377314815</v>
      </c>
      <c r="E802" s="1">
        <f>IFERROR(__xludf.DUMMYFUNCTION("""COMPUTED_VALUE"""),1.09)</f>
        <v>1.09</v>
      </c>
      <c r="F802" s="1">
        <f>IFERROR(__xludf.DUMMYFUNCTION("""COMPUTED_VALUE"""),3.47)</f>
        <v>3.47</v>
      </c>
      <c r="G802" s="5">
        <f>IFERROR(__xludf.DUMMYFUNCTION("""COMPUTED_VALUE"""),7942.0)</f>
        <v>7942</v>
      </c>
      <c r="H802" s="5">
        <f>IFERROR(__xludf.DUMMYFUNCTION("""COMPUTED_VALUE"""),2291.0)</f>
        <v>2291</v>
      </c>
    </row>
    <row r="803">
      <c r="A803" s="4">
        <f>IFERROR(__xludf.DUMMYFUNCTION("""COMPUTED_VALUE"""),43171.0)</f>
        <v>43171</v>
      </c>
      <c r="B803" s="5">
        <f>IFERROR(__xludf.DUMMYFUNCTION("""COMPUTED_VALUE"""),3277.0)</f>
        <v>3277</v>
      </c>
      <c r="C803" s="6">
        <f>IFERROR(__xludf.DUMMYFUNCTION("""COMPUTED_VALUE"""),0.4773)</f>
        <v>0.4773</v>
      </c>
      <c r="D803" s="2">
        <f>IFERROR(__xludf.DUMMYFUNCTION("""COMPUTED_VALUE"""),0.0015277777777777779)</f>
        <v>0.001527777778</v>
      </c>
      <c r="E803" s="1">
        <f>IFERROR(__xludf.DUMMYFUNCTION("""COMPUTED_VALUE"""),1.13)</f>
        <v>1.13</v>
      </c>
      <c r="F803" s="1">
        <f>IFERROR(__xludf.DUMMYFUNCTION("""COMPUTED_VALUE"""),3.66)</f>
        <v>3.66</v>
      </c>
      <c r="G803" s="5">
        <f>IFERROR(__xludf.DUMMYFUNCTION("""COMPUTED_VALUE"""),13524.0)</f>
        <v>13524</v>
      </c>
      <c r="H803" s="5">
        <f>IFERROR(__xludf.DUMMYFUNCTION("""COMPUTED_VALUE"""),3694.0)</f>
        <v>3694</v>
      </c>
    </row>
    <row r="804">
      <c r="A804" s="4">
        <f>IFERROR(__xludf.DUMMYFUNCTION("""COMPUTED_VALUE"""),43172.0)</f>
        <v>43172</v>
      </c>
      <c r="B804" s="5">
        <f>IFERROR(__xludf.DUMMYFUNCTION("""COMPUTED_VALUE"""),3208.0)</f>
        <v>3208</v>
      </c>
      <c r="C804" s="6">
        <f>IFERROR(__xludf.DUMMYFUNCTION("""COMPUTED_VALUE"""),0.459)</f>
        <v>0.459</v>
      </c>
      <c r="D804" s="2">
        <f>IFERROR(__xludf.DUMMYFUNCTION("""COMPUTED_VALUE"""),0.0015625)</f>
        <v>0.0015625</v>
      </c>
      <c r="E804" s="1">
        <f>IFERROR(__xludf.DUMMYFUNCTION("""COMPUTED_VALUE"""),1.11)</f>
        <v>1.11</v>
      </c>
      <c r="F804" s="1">
        <f>IFERROR(__xludf.DUMMYFUNCTION("""COMPUTED_VALUE"""),3.7)</f>
        <v>3.7</v>
      </c>
      <c r="G804" s="5">
        <f>IFERROR(__xludf.DUMMYFUNCTION("""COMPUTED_VALUE"""),13191.0)</f>
        <v>13191</v>
      </c>
      <c r="H804" s="5">
        <f>IFERROR(__xludf.DUMMYFUNCTION("""COMPUTED_VALUE"""),3569.0)</f>
        <v>3569</v>
      </c>
    </row>
    <row r="805">
      <c r="A805" s="4">
        <f>IFERROR(__xludf.DUMMYFUNCTION("""COMPUTED_VALUE"""),43173.0)</f>
        <v>43173</v>
      </c>
      <c r="B805" s="5">
        <f>IFERROR(__xludf.DUMMYFUNCTION("""COMPUTED_VALUE"""),3221.0)</f>
        <v>3221</v>
      </c>
      <c r="C805" s="6">
        <f>IFERROR(__xludf.DUMMYFUNCTION("""COMPUTED_VALUE"""),0.5039)</f>
        <v>0.5039</v>
      </c>
      <c r="D805" s="2">
        <f>IFERROR(__xludf.DUMMYFUNCTION("""COMPUTED_VALUE"""),9.490740740740741E-4)</f>
        <v>0.0009490740741</v>
      </c>
      <c r="E805" s="1">
        <f>IFERROR(__xludf.DUMMYFUNCTION("""COMPUTED_VALUE"""),1.09)</f>
        <v>1.09</v>
      </c>
      <c r="F805" s="1">
        <f>IFERROR(__xludf.DUMMYFUNCTION("""COMPUTED_VALUE"""),3.45)</f>
        <v>3.45</v>
      </c>
      <c r="G805" s="5">
        <f>IFERROR(__xludf.DUMMYFUNCTION("""COMPUTED_VALUE"""),12066.0)</f>
        <v>12066</v>
      </c>
      <c r="H805" s="5">
        <f>IFERROR(__xludf.DUMMYFUNCTION("""COMPUTED_VALUE"""),3499.0)</f>
        <v>3499</v>
      </c>
    </row>
    <row r="806">
      <c r="A806" s="4">
        <f>IFERROR(__xludf.DUMMYFUNCTION("""COMPUTED_VALUE"""),43174.0)</f>
        <v>43174</v>
      </c>
      <c r="B806" s="5">
        <f>IFERROR(__xludf.DUMMYFUNCTION("""COMPUTED_VALUE"""),3652.0)</f>
        <v>3652</v>
      </c>
      <c r="C806" s="6">
        <f>IFERROR(__xludf.DUMMYFUNCTION("""COMPUTED_VALUE"""),0.4028)</f>
        <v>0.4028</v>
      </c>
      <c r="D806" s="2">
        <f>IFERROR(__xludf.DUMMYFUNCTION("""COMPUTED_VALUE"""),0.0017592592592592592)</f>
        <v>0.001759259259</v>
      </c>
      <c r="E806" s="1">
        <f>IFERROR(__xludf.DUMMYFUNCTION("""COMPUTED_VALUE"""),1.08)</f>
        <v>1.08</v>
      </c>
      <c r="F806" s="1">
        <f>IFERROR(__xludf.DUMMYFUNCTION("""COMPUTED_VALUE"""),4.26)</f>
        <v>4.26</v>
      </c>
      <c r="G806" s="5">
        <f>IFERROR(__xludf.DUMMYFUNCTION("""COMPUTED_VALUE"""),16760.0)</f>
        <v>16760</v>
      </c>
      <c r="H806" s="5">
        <f>IFERROR(__xludf.DUMMYFUNCTION("""COMPUTED_VALUE"""),3930.0)</f>
        <v>3930</v>
      </c>
    </row>
    <row r="807">
      <c r="A807" s="4">
        <f>IFERROR(__xludf.DUMMYFUNCTION("""COMPUTED_VALUE"""),43175.0)</f>
        <v>43175</v>
      </c>
      <c r="B807" s="5">
        <f>IFERROR(__xludf.DUMMYFUNCTION("""COMPUTED_VALUE"""),2999.0)</f>
        <v>2999</v>
      </c>
      <c r="C807" s="6">
        <f>IFERROR(__xludf.DUMMYFUNCTION("""COMPUTED_VALUE"""),0.4085)</f>
        <v>0.4085</v>
      </c>
      <c r="D807" s="2">
        <f>IFERROR(__xludf.DUMMYFUNCTION("""COMPUTED_VALUE"""),0.0016666666666666668)</f>
        <v>0.001666666667</v>
      </c>
      <c r="E807" s="1">
        <f>IFERROR(__xludf.DUMMYFUNCTION("""COMPUTED_VALUE"""),1.09)</f>
        <v>1.09</v>
      </c>
      <c r="F807" s="1">
        <f>IFERROR(__xludf.DUMMYFUNCTION("""COMPUTED_VALUE"""),4.19)</f>
        <v>4.19</v>
      </c>
      <c r="G807" s="5">
        <f>IFERROR(__xludf.DUMMYFUNCTION("""COMPUTED_VALUE"""),13677.0)</f>
        <v>13677</v>
      </c>
      <c r="H807" s="5">
        <f>IFERROR(__xludf.DUMMYFUNCTION("""COMPUTED_VALUE"""),3263.0)</f>
        <v>3263</v>
      </c>
    </row>
    <row r="808">
      <c r="A808" s="4">
        <f>IFERROR(__xludf.DUMMYFUNCTION("""COMPUTED_VALUE"""),43176.0)</f>
        <v>43176</v>
      </c>
      <c r="B808" s="5">
        <f>IFERROR(__xludf.DUMMYFUNCTION("""COMPUTED_VALUE"""),2097.0)</f>
        <v>2097</v>
      </c>
      <c r="C808" s="6">
        <f>IFERROR(__xludf.DUMMYFUNCTION("""COMPUTED_VALUE"""),0.4698)</f>
        <v>0.4698</v>
      </c>
      <c r="D808" s="2">
        <f>IFERROR(__xludf.DUMMYFUNCTION("""COMPUTED_VALUE"""),0.0014699074074074074)</f>
        <v>0.001469907407</v>
      </c>
      <c r="E808" s="1">
        <f>IFERROR(__xludf.DUMMYFUNCTION("""COMPUTED_VALUE"""),1.1)</f>
        <v>1.1</v>
      </c>
      <c r="F808" s="1">
        <f>IFERROR(__xludf.DUMMYFUNCTION("""COMPUTED_VALUE"""),3.83)</f>
        <v>3.83</v>
      </c>
      <c r="G808" s="5">
        <f>IFERROR(__xludf.DUMMYFUNCTION("""COMPUTED_VALUE"""),8817.0)</f>
        <v>8817</v>
      </c>
      <c r="H808" s="5">
        <f>IFERROR(__xludf.DUMMYFUNCTION("""COMPUTED_VALUE"""),2305.0)</f>
        <v>2305</v>
      </c>
    </row>
    <row r="809">
      <c r="A809" s="4">
        <f>IFERROR(__xludf.DUMMYFUNCTION("""COMPUTED_VALUE"""),43177.0)</f>
        <v>43177</v>
      </c>
      <c r="B809" s="5">
        <f>IFERROR(__xludf.DUMMYFUNCTION("""COMPUTED_VALUE"""),2277.0)</f>
        <v>2277</v>
      </c>
      <c r="C809" s="6">
        <f>IFERROR(__xludf.DUMMYFUNCTION("""COMPUTED_VALUE"""),0.5397)</f>
        <v>0.5397</v>
      </c>
      <c r="D809" s="2">
        <f>IFERROR(__xludf.DUMMYFUNCTION("""COMPUTED_VALUE"""),0.0016087962962962963)</f>
        <v>0.001608796296</v>
      </c>
      <c r="E809" s="1">
        <f>IFERROR(__xludf.DUMMYFUNCTION("""COMPUTED_VALUE"""),1.07)</f>
        <v>1.07</v>
      </c>
      <c r="F809" s="1">
        <f>IFERROR(__xludf.DUMMYFUNCTION("""COMPUTED_VALUE"""),4.06)</f>
        <v>4.06</v>
      </c>
      <c r="G809" s="5">
        <f>IFERROR(__xludf.DUMMYFUNCTION("""COMPUTED_VALUE"""),9928.0)</f>
        <v>9928</v>
      </c>
      <c r="H809" s="5">
        <f>IFERROR(__xludf.DUMMYFUNCTION("""COMPUTED_VALUE"""),2444.0)</f>
        <v>2444</v>
      </c>
    </row>
    <row r="810">
      <c r="A810" s="4">
        <f>IFERROR(__xludf.DUMMYFUNCTION("""COMPUTED_VALUE"""),43178.0)</f>
        <v>43178</v>
      </c>
      <c r="B810" s="5">
        <f>IFERROR(__xludf.DUMMYFUNCTION("""COMPUTED_VALUE"""),3541.0)</f>
        <v>3541</v>
      </c>
      <c r="C810" s="6">
        <f>IFERROR(__xludf.DUMMYFUNCTION("""COMPUTED_VALUE"""),0.4626)</f>
        <v>0.4626</v>
      </c>
      <c r="D810" s="2">
        <f>IFERROR(__xludf.DUMMYFUNCTION("""COMPUTED_VALUE"""),0.001238425925925926)</f>
        <v>0.001238425926</v>
      </c>
      <c r="E810" s="1">
        <f>IFERROR(__xludf.DUMMYFUNCTION("""COMPUTED_VALUE"""),1.1)</f>
        <v>1.1</v>
      </c>
      <c r="F810" s="1">
        <f>IFERROR(__xludf.DUMMYFUNCTION("""COMPUTED_VALUE"""),4.28)</f>
        <v>4.28</v>
      </c>
      <c r="G810" s="5">
        <f>IFERROR(__xludf.DUMMYFUNCTION("""COMPUTED_VALUE"""),16718.0)</f>
        <v>16718</v>
      </c>
      <c r="H810" s="5">
        <f>IFERROR(__xludf.DUMMYFUNCTION("""COMPUTED_VALUE"""),3902.0)</f>
        <v>3902</v>
      </c>
    </row>
    <row r="811">
      <c r="A811" s="4">
        <f>IFERROR(__xludf.DUMMYFUNCTION("""COMPUTED_VALUE"""),43179.0)</f>
        <v>43179</v>
      </c>
      <c r="B811" s="5">
        <f>IFERROR(__xludf.DUMMYFUNCTION("""COMPUTED_VALUE"""),3110.0)</f>
        <v>3110</v>
      </c>
      <c r="C811" s="6">
        <f>IFERROR(__xludf.DUMMYFUNCTION("""COMPUTED_VALUE"""),0.3945)</f>
        <v>0.3945</v>
      </c>
      <c r="D811" s="2">
        <f>IFERROR(__xludf.DUMMYFUNCTION("""COMPUTED_VALUE"""),0.0016666666666666668)</f>
        <v>0.001666666667</v>
      </c>
      <c r="E811" s="1">
        <f>IFERROR(__xludf.DUMMYFUNCTION("""COMPUTED_VALUE"""),1.12)</f>
        <v>1.12</v>
      </c>
      <c r="F811" s="1">
        <f>IFERROR(__xludf.DUMMYFUNCTION("""COMPUTED_VALUE"""),4.45)</f>
        <v>4.45</v>
      </c>
      <c r="G811" s="5">
        <f>IFERROR(__xludf.DUMMYFUNCTION("""COMPUTED_VALUE"""),15524.0)</f>
        <v>15524</v>
      </c>
      <c r="H811" s="5">
        <f>IFERROR(__xludf.DUMMYFUNCTION("""COMPUTED_VALUE"""),3485.0)</f>
        <v>3485</v>
      </c>
    </row>
    <row r="812">
      <c r="A812" s="4">
        <f>IFERROR(__xludf.DUMMYFUNCTION("""COMPUTED_VALUE"""),43180.0)</f>
        <v>43180</v>
      </c>
      <c r="B812" s="5">
        <f>IFERROR(__xludf.DUMMYFUNCTION("""COMPUTED_VALUE"""),4318.0)</f>
        <v>4318</v>
      </c>
      <c r="C812" s="6">
        <f>IFERROR(__xludf.DUMMYFUNCTION("""COMPUTED_VALUE"""),0.4502)</f>
        <v>0.4502</v>
      </c>
      <c r="D812" s="2">
        <f>IFERROR(__xludf.DUMMYFUNCTION("""COMPUTED_VALUE"""),0.0017476851851851852)</f>
        <v>0.001747685185</v>
      </c>
      <c r="E812" s="1">
        <f>IFERROR(__xludf.DUMMYFUNCTION("""COMPUTED_VALUE"""),1.1)</f>
        <v>1.1</v>
      </c>
      <c r="F812" s="1">
        <f>IFERROR(__xludf.DUMMYFUNCTION("""COMPUTED_VALUE"""),4.01)</f>
        <v>4.01</v>
      </c>
      <c r="G812" s="5">
        <f>IFERROR(__xludf.DUMMYFUNCTION("""COMPUTED_VALUE"""),19065.0)</f>
        <v>19065</v>
      </c>
      <c r="H812" s="5">
        <f>IFERROR(__xludf.DUMMYFUNCTION("""COMPUTED_VALUE"""),4749.0)</f>
        <v>4749</v>
      </c>
    </row>
    <row r="813">
      <c r="A813" s="4">
        <f>IFERROR(__xludf.DUMMYFUNCTION("""COMPUTED_VALUE"""),43181.0)</f>
        <v>43181</v>
      </c>
      <c r="B813" s="5">
        <f>IFERROR(__xludf.DUMMYFUNCTION("""COMPUTED_VALUE"""),3513.0)</f>
        <v>3513</v>
      </c>
      <c r="C813" s="6">
        <f>IFERROR(__xludf.DUMMYFUNCTION("""COMPUTED_VALUE"""),0.4787)</f>
        <v>0.4787</v>
      </c>
      <c r="D813" s="2">
        <f>IFERROR(__xludf.DUMMYFUNCTION("""COMPUTED_VALUE"""),0.0019328703703703704)</f>
        <v>0.00193287037</v>
      </c>
      <c r="E813" s="1">
        <f>IFERROR(__xludf.DUMMYFUNCTION("""COMPUTED_VALUE"""),1.11)</f>
        <v>1.11</v>
      </c>
      <c r="F813" s="1">
        <f>IFERROR(__xludf.DUMMYFUNCTION("""COMPUTED_VALUE"""),3.71)</f>
        <v>3.71</v>
      </c>
      <c r="G813" s="5">
        <f>IFERROR(__xludf.DUMMYFUNCTION("""COMPUTED_VALUE"""),14427.0)</f>
        <v>14427</v>
      </c>
      <c r="H813" s="5">
        <f>IFERROR(__xludf.DUMMYFUNCTION("""COMPUTED_VALUE"""),3888.0)</f>
        <v>3888</v>
      </c>
    </row>
    <row r="814">
      <c r="A814" s="4">
        <f>IFERROR(__xludf.DUMMYFUNCTION("""COMPUTED_VALUE"""),43182.0)</f>
        <v>43182</v>
      </c>
      <c r="B814" s="5">
        <f>IFERROR(__xludf.DUMMYFUNCTION("""COMPUTED_VALUE"""),3055.0)</f>
        <v>3055</v>
      </c>
      <c r="C814" s="6">
        <f>IFERROR(__xludf.DUMMYFUNCTION("""COMPUTED_VALUE"""),0.437)</f>
        <v>0.437</v>
      </c>
      <c r="D814" s="2">
        <f>IFERROR(__xludf.DUMMYFUNCTION("""COMPUTED_VALUE"""),0.0016550925925925926)</f>
        <v>0.001655092593</v>
      </c>
      <c r="E814" s="1">
        <f>IFERROR(__xludf.DUMMYFUNCTION("""COMPUTED_VALUE"""),1.05)</f>
        <v>1.05</v>
      </c>
      <c r="F814" s="1">
        <f>IFERROR(__xludf.DUMMYFUNCTION("""COMPUTED_VALUE"""),4.01)</f>
        <v>4.01</v>
      </c>
      <c r="G814" s="5">
        <f>IFERROR(__xludf.DUMMYFUNCTION("""COMPUTED_VALUE"""),12858.0)</f>
        <v>12858</v>
      </c>
      <c r="H814" s="5">
        <f>IFERROR(__xludf.DUMMYFUNCTION("""COMPUTED_VALUE"""),3208.0)</f>
        <v>3208</v>
      </c>
    </row>
    <row r="815">
      <c r="A815" s="4">
        <f>IFERROR(__xludf.DUMMYFUNCTION("""COMPUTED_VALUE"""),43183.0)</f>
        <v>43183</v>
      </c>
      <c r="B815" s="5">
        <f>IFERROR(__xludf.DUMMYFUNCTION("""COMPUTED_VALUE"""),2291.0)</f>
        <v>2291</v>
      </c>
      <c r="C815" s="6">
        <f>IFERROR(__xludf.DUMMYFUNCTION("""COMPUTED_VALUE"""),0.4457)</f>
        <v>0.4457</v>
      </c>
      <c r="D815" s="2">
        <f>IFERROR(__xludf.DUMMYFUNCTION("""COMPUTED_VALUE"""),0.0016898148148148148)</f>
        <v>0.001689814815</v>
      </c>
      <c r="E815" s="1">
        <f>IFERROR(__xludf.DUMMYFUNCTION("""COMPUTED_VALUE"""),1.06)</f>
        <v>1.06</v>
      </c>
      <c r="F815" s="1">
        <f>IFERROR(__xludf.DUMMYFUNCTION("""COMPUTED_VALUE"""),4.25)</f>
        <v>4.25</v>
      </c>
      <c r="G815" s="5">
        <f>IFERROR(__xludf.DUMMYFUNCTION("""COMPUTED_VALUE"""),10317.0)</f>
        <v>10317</v>
      </c>
      <c r="H815" s="5">
        <f>IFERROR(__xludf.DUMMYFUNCTION("""COMPUTED_VALUE"""),2430.0)</f>
        <v>2430</v>
      </c>
    </row>
    <row r="816">
      <c r="A816" s="4">
        <f>IFERROR(__xludf.DUMMYFUNCTION("""COMPUTED_VALUE"""),43184.0)</f>
        <v>43184</v>
      </c>
      <c r="B816" s="5">
        <f>IFERROR(__xludf.DUMMYFUNCTION("""COMPUTED_VALUE"""),2124.0)</f>
        <v>2124</v>
      </c>
      <c r="C816" s="6">
        <f>IFERROR(__xludf.DUMMYFUNCTION("""COMPUTED_VALUE"""),0.4489)</f>
        <v>0.4489</v>
      </c>
      <c r="D816" s="2">
        <f>IFERROR(__xludf.DUMMYFUNCTION("""COMPUTED_VALUE"""),0.0014467592592592592)</f>
        <v>0.001446759259</v>
      </c>
      <c r="E816" s="1">
        <f>IFERROR(__xludf.DUMMYFUNCTION("""COMPUTED_VALUE"""),1.09)</f>
        <v>1.09</v>
      </c>
      <c r="F816" s="1">
        <f>IFERROR(__xludf.DUMMYFUNCTION("""COMPUTED_VALUE"""),4.09)</f>
        <v>4.09</v>
      </c>
      <c r="G816" s="5">
        <f>IFERROR(__xludf.DUMMYFUNCTION("""COMPUTED_VALUE"""),9484.0)</f>
        <v>9484</v>
      </c>
      <c r="H816" s="5">
        <f>IFERROR(__xludf.DUMMYFUNCTION("""COMPUTED_VALUE"""),2319.0)</f>
        <v>2319</v>
      </c>
    </row>
    <row r="817">
      <c r="A817" s="4">
        <f>IFERROR(__xludf.DUMMYFUNCTION("""COMPUTED_VALUE"""),43185.0)</f>
        <v>43185</v>
      </c>
      <c r="B817" s="5">
        <f>IFERROR(__xludf.DUMMYFUNCTION("""COMPUTED_VALUE"""),3152.0)</f>
        <v>3152</v>
      </c>
      <c r="C817" s="6">
        <f>IFERROR(__xludf.DUMMYFUNCTION("""COMPUTED_VALUE"""),0.4124)</f>
        <v>0.4124</v>
      </c>
      <c r="D817" s="2">
        <f>IFERROR(__xludf.DUMMYFUNCTION("""COMPUTED_VALUE"""),0.0013425925925925925)</f>
        <v>0.001342592593</v>
      </c>
      <c r="E817" s="1">
        <f>IFERROR(__xludf.DUMMYFUNCTION("""COMPUTED_VALUE"""),1.13)</f>
        <v>1.13</v>
      </c>
      <c r="F817" s="1">
        <f>IFERROR(__xludf.DUMMYFUNCTION("""COMPUTED_VALUE"""),3.67)</f>
        <v>3.67</v>
      </c>
      <c r="G817" s="5">
        <f>IFERROR(__xludf.DUMMYFUNCTION("""COMPUTED_VALUE"""),13108.0)</f>
        <v>13108</v>
      </c>
      <c r="H817" s="5">
        <f>IFERROR(__xludf.DUMMYFUNCTION("""COMPUTED_VALUE"""),3569.0)</f>
        <v>3569</v>
      </c>
    </row>
    <row r="818">
      <c r="A818" s="4">
        <f>IFERROR(__xludf.DUMMYFUNCTION("""COMPUTED_VALUE"""),43186.0)</f>
        <v>43186</v>
      </c>
      <c r="B818" s="5">
        <f>IFERROR(__xludf.DUMMYFUNCTION("""COMPUTED_VALUE"""),3888.0)</f>
        <v>3888</v>
      </c>
      <c r="C818" s="6">
        <f>IFERROR(__xludf.DUMMYFUNCTION("""COMPUTED_VALUE"""),0.4014)</f>
        <v>0.4014</v>
      </c>
      <c r="D818" s="2">
        <f>IFERROR(__xludf.DUMMYFUNCTION("""COMPUTED_VALUE"""),0.0018287037037037037)</f>
        <v>0.001828703704</v>
      </c>
      <c r="E818" s="1">
        <f>IFERROR(__xludf.DUMMYFUNCTION("""COMPUTED_VALUE"""),1.12)</f>
        <v>1.12</v>
      </c>
      <c r="F818" s="1">
        <f>IFERROR(__xludf.DUMMYFUNCTION("""COMPUTED_VALUE"""),4.95)</f>
        <v>4.95</v>
      </c>
      <c r="G818" s="5">
        <f>IFERROR(__xludf.DUMMYFUNCTION("""COMPUTED_VALUE"""),21592.0)</f>
        <v>21592</v>
      </c>
      <c r="H818" s="5">
        <f>IFERROR(__xludf.DUMMYFUNCTION("""COMPUTED_VALUE"""),4360.0)</f>
        <v>4360</v>
      </c>
    </row>
    <row r="819">
      <c r="A819" s="4">
        <f>IFERROR(__xludf.DUMMYFUNCTION("""COMPUTED_VALUE"""),43187.0)</f>
        <v>43187</v>
      </c>
      <c r="B819" s="5">
        <f>IFERROR(__xludf.DUMMYFUNCTION("""COMPUTED_VALUE"""),3596.0)</f>
        <v>3596</v>
      </c>
      <c r="C819" s="6">
        <f>IFERROR(__xludf.DUMMYFUNCTION("""COMPUTED_VALUE"""),0.4788)</f>
        <v>0.4788</v>
      </c>
      <c r="D819" s="2">
        <f>IFERROR(__xludf.DUMMYFUNCTION("""COMPUTED_VALUE"""),0.0016898148148148148)</f>
        <v>0.001689814815</v>
      </c>
      <c r="E819" s="1">
        <f>IFERROR(__xludf.DUMMYFUNCTION("""COMPUTED_VALUE"""),1.1)</f>
        <v>1.1</v>
      </c>
      <c r="F819" s="1">
        <f>IFERROR(__xludf.DUMMYFUNCTION("""COMPUTED_VALUE"""),3.79)</f>
        <v>3.79</v>
      </c>
      <c r="G819" s="5">
        <f>IFERROR(__xludf.DUMMYFUNCTION("""COMPUTED_VALUE"""),14927.0)</f>
        <v>14927</v>
      </c>
      <c r="H819" s="5">
        <f>IFERROR(__xludf.DUMMYFUNCTION("""COMPUTED_VALUE"""),3943.0)</f>
        <v>3943</v>
      </c>
    </row>
    <row r="820">
      <c r="A820" s="4">
        <f>IFERROR(__xludf.DUMMYFUNCTION("""COMPUTED_VALUE"""),43188.0)</f>
        <v>43188</v>
      </c>
      <c r="B820" s="5">
        <f>IFERROR(__xludf.DUMMYFUNCTION("""COMPUTED_VALUE"""),3221.0)</f>
        <v>3221</v>
      </c>
      <c r="C820" s="6">
        <f>IFERROR(__xludf.DUMMYFUNCTION("""COMPUTED_VALUE"""),0.3601)</f>
        <v>0.3601</v>
      </c>
      <c r="D820" s="2">
        <f>IFERROR(__xludf.DUMMYFUNCTION("""COMPUTED_VALUE"""),0.002025462962962963)</f>
        <v>0.002025462963</v>
      </c>
      <c r="E820" s="1">
        <f>IFERROR(__xludf.DUMMYFUNCTION("""COMPUTED_VALUE"""),1.13)</f>
        <v>1.13</v>
      </c>
      <c r="F820" s="1">
        <f>IFERROR(__xludf.DUMMYFUNCTION("""COMPUTED_VALUE"""),4.54)</f>
        <v>4.54</v>
      </c>
      <c r="G820" s="5">
        <f>IFERROR(__xludf.DUMMYFUNCTION("""COMPUTED_VALUE"""),16440.0)</f>
        <v>16440</v>
      </c>
      <c r="H820" s="5">
        <f>IFERROR(__xludf.DUMMYFUNCTION("""COMPUTED_VALUE"""),3624.0)</f>
        <v>3624</v>
      </c>
    </row>
    <row r="821">
      <c r="A821" s="4">
        <f>IFERROR(__xludf.DUMMYFUNCTION("""COMPUTED_VALUE"""),43189.0)</f>
        <v>43189</v>
      </c>
      <c r="B821" s="5">
        <f>IFERROR(__xludf.DUMMYFUNCTION("""COMPUTED_VALUE"""),2527.0)</f>
        <v>2527</v>
      </c>
      <c r="C821" s="6">
        <f>IFERROR(__xludf.DUMMYFUNCTION("""COMPUTED_VALUE"""),0.3666)</f>
        <v>0.3666</v>
      </c>
      <c r="D821" s="2">
        <f>IFERROR(__xludf.DUMMYFUNCTION("""COMPUTED_VALUE"""),0.0019560185185185184)</f>
        <v>0.001956018519</v>
      </c>
      <c r="E821" s="1">
        <f>IFERROR(__xludf.DUMMYFUNCTION("""COMPUTED_VALUE"""),1.15)</f>
        <v>1.15</v>
      </c>
      <c r="F821" s="1">
        <f>IFERROR(__xludf.DUMMYFUNCTION("""COMPUTED_VALUE"""),4.67)</f>
        <v>4.67</v>
      </c>
      <c r="G821" s="5">
        <f>IFERROR(__xludf.DUMMYFUNCTION("""COMPUTED_VALUE"""),13622.0)</f>
        <v>13622</v>
      </c>
      <c r="H821" s="5">
        <f>IFERROR(__xludf.DUMMYFUNCTION("""COMPUTED_VALUE"""),2916.0)</f>
        <v>2916</v>
      </c>
    </row>
    <row r="822">
      <c r="A822" s="4">
        <f>IFERROR(__xludf.DUMMYFUNCTION("""COMPUTED_VALUE"""),43190.0)</f>
        <v>43190</v>
      </c>
      <c r="B822" s="5">
        <f>IFERROR(__xludf.DUMMYFUNCTION("""COMPUTED_VALUE"""),1805.0)</f>
        <v>1805</v>
      </c>
      <c r="C822" s="6">
        <f>IFERROR(__xludf.DUMMYFUNCTION("""COMPUTED_VALUE"""),0.4862)</f>
        <v>0.4862</v>
      </c>
      <c r="D822" s="2">
        <f>IFERROR(__xludf.DUMMYFUNCTION("""COMPUTED_VALUE"""),0.0016087962962962963)</f>
        <v>0.001608796296</v>
      </c>
      <c r="E822" s="1">
        <f>IFERROR(__xludf.DUMMYFUNCTION("""COMPUTED_VALUE"""),1.11)</f>
        <v>1.11</v>
      </c>
      <c r="F822" s="1">
        <f>IFERROR(__xludf.DUMMYFUNCTION("""COMPUTED_VALUE"""),3.68)</f>
        <v>3.68</v>
      </c>
      <c r="G822" s="5">
        <f>IFERROR(__xludf.DUMMYFUNCTION("""COMPUTED_VALUE"""),7359.0)</f>
        <v>7359</v>
      </c>
      <c r="H822" s="5">
        <f>IFERROR(__xludf.DUMMYFUNCTION("""COMPUTED_VALUE"""),1999.0)</f>
        <v>1999</v>
      </c>
    </row>
    <row r="823">
      <c r="A823" s="4">
        <f>IFERROR(__xludf.DUMMYFUNCTION("""COMPUTED_VALUE"""),43191.0)</f>
        <v>43191</v>
      </c>
      <c r="B823" s="5">
        <f>IFERROR(__xludf.DUMMYFUNCTION("""COMPUTED_VALUE"""),2097.0)</f>
        <v>2097</v>
      </c>
      <c r="C823" s="6">
        <f>IFERROR(__xludf.DUMMYFUNCTION("""COMPUTED_VALUE"""),0.4941)</f>
        <v>0.4941</v>
      </c>
      <c r="D823" s="2">
        <f>IFERROR(__xludf.DUMMYFUNCTION("""COMPUTED_VALUE"""),0.0014814814814814814)</f>
        <v>0.001481481481</v>
      </c>
      <c r="E823" s="1">
        <f>IFERROR(__xludf.DUMMYFUNCTION("""COMPUTED_VALUE"""),1.1)</f>
        <v>1.1</v>
      </c>
      <c r="F823" s="1">
        <f>IFERROR(__xludf.DUMMYFUNCTION("""COMPUTED_VALUE"""),3.46)</f>
        <v>3.46</v>
      </c>
      <c r="G823" s="5">
        <f>IFERROR(__xludf.DUMMYFUNCTION("""COMPUTED_VALUE"""),7984.0)</f>
        <v>7984</v>
      </c>
      <c r="H823" s="5">
        <f>IFERROR(__xludf.DUMMYFUNCTION("""COMPUTED_VALUE"""),2305.0)</f>
        <v>2305</v>
      </c>
    </row>
    <row r="824">
      <c r="A824" s="4">
        <f>IFERROR(__xludf.DUMMYFUNCTION("""COMPUTED_VALUE"""),43192.0)</f>
        <v>43192</v>
      </c>
      <c r="B824" s="5">
        <f>IFERROR(__xludf.DUMMYFUNCTION("""COMPUTED_VALUE"""),3013.0)</f>
        <v>3013</v>
      </c>
      <c r="C824" s="6">
        <f>IFERROR(__xludf.DUMMYFUNCTION("""COMPUTED_VALUE"""),0.4251)</f>
        <v>0.4251</v>
      </c>
      <c r="D824" s="2">
        <f>IFERROR(__xludf.DUMMYFUNCTION("""COMPUTED_VALUE"""),0.0014351851851851852)</f>
        <v>0.001435185185</v>
      </c>
      <c r="E824" s="1">
        <f>IFERROR(__xludf.DUMMYFUNCTION("""COMPUTED_VALUE"""),1.14)</f>
        <v>1.14</v>
      </c>
      <c r="F824" s="1">
        <f>IFERROR(__xludf.DUMMYFUNCTION("""COMPUTED_VALUE"""),3.92)</f>
        <v>3.92</v>
      </c>
      <c r="G824" s="5">
        <f>IFERROR(__xludf.DUMMYFUNCTION("""COMPUTED_VALUE"""),13455.0)</f>
        <v>13455</v>
      </c>
      <c r="H824" s="5">
        <f>IFERROR(__xludf.DUMMYFUNCTION("""COMPUTED_VALUE"""),3430.0)</f>
        <v>3430</v>
      </c>
    </row>
    <row r="825">
      <c r="A825" s="4">
        <f>IFERROR(__xludf.DUMMYFUNCTION("""COMPUTED_VALUE"""),43193.0)</f>
        <v>43193</v>
      </c>
      <c r="B825" s="5">
        <f>IFERROR(__xludf.DUMMYFUNCTION("""COMPUTED_VALUE"""),3319.0)</f>
        <v>3319</v>
      </c>
      <c r="C825" s="6">
        <f>IFERROR(__xludf.DUMMYFUNCTION("""COMPUTED_VALUE"""),0.4962)</f>
        <v>0.4962</v>
      </c>
      <c r="D825" s="2">
        <f>IFERROR(__xludf.DUMMYFUNCTION("""COMPUTED_VALUE"""),0.0017824074074074075)</f>
        <v>0.001782407407</v>
      </c>
      <c r="E825" s="1">
        <f>IFERROR(__xludf.DUMMYFUNCTION("""COMPUTED_VALUE"""),1.1)</f>
        <v>1.1</v>
      </c>
      <c r="F825" s="1">
        <f>IFERROR(__xludf.DUMMYFUNCTION("""COMPUTED_VALUE"""),4.16)</f>
        <v>4.16</v>
      </c>
      <c r="G825" s="5">
        <f>IFERROR(__xludf.DUMMYFUNCTION("""COMPUTED_VALUE"""),15121.0)</f>
        <v>15121</v>
      </c>
      <c r="H825" s="5">
        <f>IFERROR(__xludf.DUMMYFUNCTION("""COMPUTED_VALUE"""),3638.0)</f>
        <v>3638</v>
      </c>
    </row>
    <row r="826">
      <c r="A826" s="4">
        <f>IFERROR(__xludf.DUMMYFUNCTION("""COMPUTED_VALUE"""),43194.0)</f>
        <v>43194</v>
      </c>
      <c r="B826" s="5">
        <f>IFERROR(__xludf.DUMMYFUNCTION("""COMPUTED_VALUE"""),3096.0)</f>
        <v>3096</v>
      </c>
      <c r="C826" s="6">
        <f>IFERROR(__xludf.DUMMYFUNCTION("""COMPUTED_VALUE"""),0.4651)</f>
        <v>0.4651</v>
      </c>
      <c r="D826" s="2">
        <f>IFERROR(__xludf.DUMMYFUNCTION("""COMPUTED_VALUE"""),0.001099537037037037)</f>
        <v>0.001099537037</v>
      </c>
      <c r="E826" s="1">
        <f>IFERROR(__xludf.DUMMYFUNCTION("""COMPUTED_VALUE"""),1.16)</f>
        <v>1.16</v>
      </c>
      <c r="F826" s="1">
        <f>IFERROR(__xludf.DUMMYFUNCTION("""COMPUTED_VALUE"""),3.85)</f>
        <v>3.85</v>
      </c>
      <c r="G826" s="5">
        <f>IFERROR(__xludf.DUMMYFUNCTION("""COMPUTED_VALUE"""),13802.0)</f>
        <v>13802</v>
      </c>
      <c r="H826" s="5">
        <f>IFERROR(__xludf.DUMMYFUNCTION("""COMPUTED_VALUE"""),3582.0)</f>
        <v>3582</v>
      </c>
    </row>
    <row r="827">
      <c r="A827" s="4">
        <f>IFERROR(__xludf.DUMMYFUNCTION("""COMPUTED_VALUE"""),43195.0)</f>
        <v>43195</v>
      </c>
      <c r="B827" s="5">
        <f>IFERROR(__xludf.DUMMYFUNCTION("""COMPUTED_VALUE"""),2874.0)</f>
        <v>2874</v>
      </c>
      <c r="C827" s="6">
        <f>IFERROR(__xludf.DUMMYFUNCTION("""COMPUTED_VALUE"""),0.393)</f>
        <v>0.393</v>
      </c>
      <c r="D827" s="2">
        <f>IFERROR(__xludf.DUMMYFUNCTION("""COMPUTED_VALUE"""),0.0017592592592592592)</f>
        <v>0.001759259259</v>
      </c>
      <c r="E827" s="1">
        <f>IFERROR(__xludf.DUMMYFUNCTION("""COMPUTED_VALUE"""),1.13)</f>
        <v>1.13</v>
      </c>
      <c r="F827" s="1">
        <f>IFERROR(__xludf.DUMMYFUNCTION("""COMPUTED_VALUE"""),4.15)</f>
        <v>4.15</v>
      </c>
      <c r="G827" s="5">
        <f>IFERROR(__xludf.DUMMYFUNCTION("""COMPUTED_VALUE"""),13497.0)</f>
        <v>13497</v>
      </c>
      <c r="H827" s="5">
        <f>IFERROR(__xludf.DUMMYFUNCTION("""COMPUTED_VALUE"""),3249.0)</f>
        <v>3249</v>
      </c>
    </row>
    <row r="828">
      <c r="A828" s="4">
        <f>IFERROR(__xludf.DUMMYFUNCTION("""COMPUTED_VALUE"""),43196.0)</f>
        <v>43196</v>
      </c>
      <c r="B828" s="5">
        <f>IFERROR(__xludf.DUMMYFUNCTION("""COMPUTED_VALUE"""),2624.0)</f>
        <v>2624</v>
      </c>
      <c r="C828" s="6">
        <f>IFERROR(__xludf.DUMMYFUNCTION("""COMPUTED_VALUE"""),0.3983)</f>
        <v>0.3983</v>
      </c>
      <c r="D828" s="2">
        <f>IFERROR(__xludf.DUMMYFUNCTION("""COMPUTED_VALUE"""),0.001585648148148148)</f>
        <v>0.001585648148</v>
      </c>
      <c r="E828" s="1">
        <f>IFERROR(__xludf.DUMMYFUNCTION("""COMPUTED_VALUE"""),1.09)</f>
        <v>1.09</v>
      </c>
      <c r="F828" s="1">
        <f>IFERROR(__xludf.DUMMYFUNCTION("""COMPUTED_VALUE"""),5.14)</f>
        <v>5.14</v>
      </c>
      <c r="G828" s="5">
        <f>IFERROR(__xludf.DUMMYFUNCTION("""COMPUTED_VALUE"""),14691.0)</f>
        <v>14691</v>
      </c>
      <c r="H828" s="5">
        <f>IFERROR(__xludf.DUMMYFUNCTION("""COMPUTED_VALUE"""),2860.0)</f>
        <v>2860</v>
      </c>
    </row>
    <row r="829">
      <c r="A829" s="4">
        <f>IFERROR(__xludf.DUMMYFUNCTION("""COMPUTED_VALUE"""),43197.0)</f>
        <v>43197</v>
      </c>
      <c r="B829" s="5">
        <f>IFERROR(__xludf.DUMMYFUNCTION("""COMPUTED_VALUE"""),1999.0)</f>
        <v>1999</v>
      </c>
      <c r="C829" s="6">
        <f>IFERROR(__xludf.DUMMYFUNCTION("""COMPUTED_VALUE"""),0.4243)</f>
        <v>0.4243</v>
      </c>
      <c r="D829" s="2">
        <f>IFERROR(__xludf.DUMMYFUNCTION("""COMPUTED_VALUE"""),0.001863425925925926)</f>
        <v>0.001863425926</v>
      </c>
      <c r="E829" s="1">
        <f>IFERROR(__xludf.DUMMYFUNCTION("""COMPUTED_VALUE"""),1.15)</f>
        <v>1.15</v>
      </c>
      <c r="F829" s="1">
        <f>IFERROR(__xludf.DUMMYFUNCTION("""COMPUTED_VALUE"""),4.54)</f>
        <v>4.54</v>
      </c>
      <c r="G829" s="5">
        <f>IFERROR(__xludf.DUMMYFUNCTION("""COMPUTED_VALUE"""),10400.0)</f>
        <v>10400</v>
      </c>
      <c r="H829" s="5">
        <f>IFERROR(__xludf.DUMMYFUNCTION("""COMPUTED_VALUE"""),2291.0)</f>
        <v>2291</v>
      </c>
    </row>
    <row r="830">
      <c r="A830" s="4">
        <f>IFERROR(__xludf.DUMMYFUNCTION("""COMPUTED_VALUE"""),43198.0)</f>
        <v>43198</v>
      </c>
      <c r="B830" s="5">
        <f>IFERROR(__xludf.DUMMYFUNCTION("""COMPUTED_VALUE"""),2291.0)</f>
        <v>2291</v>
      </c>
      <c r="C830" s="6">
        <f>IFERROR(__xludf.DUMMYFUNCTION("""COMPUTED_VALUE"""),0.5133)</f>
        <v>0.5133</v>
      </c>
      <c r="D830" s="2">
        <f>IFERROR(__xludf.DUMMYFUNCTION("""COMPUTED_VALUE"""),0.0011226851851851851)</f>
        <v>0.001122685185</v>
      </c>
      <c r="E830" s="1">
        <f>IFERROR(__xludf.DUMMYFUNCTION("""COMPUTED_VALUE"""),1.13)</f>
        <v>1.13</v>
      </c>
      <c r="F830" s="1">
        <f>IFERROR(__xludf.DUMMYFUNCTION("""COMPUTED_VALUE"""),3.4)</f>
        <v>3.4</v>
      </c>
      <c r="G830" s="5">
        <f>IFERROR(__xludf.DUMMYFUNCTION("""COMPUTED_VALUE"""),8831.0)</f>
        <v>8831</v>
      </c>
      <c r="H830" s="5">
        <f>IFERROR(__xludf.DUMMYFUNCTION("""COMPUTED_VALUE"""),2597.0)</f>
        <v>2597</v>
      </c>
    </row>
    <row r="831">
      <c r="A831" s="4">
        <f>IFERROR(__xludf.DUMMYFUNCTION("""COMPUTED_VALUE"""),43199.0)</f>
        <v>43199</v>
      </c>
      <c r="B831" s="5">
        <f>IFERROR(__xludf.DUMMYFUNCTION("""COMPUTED_VALUE"""),3096.0)</f>
        <v>3096</v>
      </c>
      <c r="C831" s="6">
        <f>IFERROR(__xludf.DUMMYFUNCTION("""COMPUTED_VALUE"""),0.4511)</f>
        <v>0.4511</v>
      </c>
      <c r="D831" s="2">
        <f>IFERROR(__xludf.DUMMYFUNCTION("""COMPUTED_VALUE"""),0.0018981481481481482)</f>
        <v>0.001898148148</v>
      </c>
      <c r="E831" s="1">
        <f>IFERROR(__xludf.DUMMYFUNCTION("""COMPUTED_VALUE"""),1.1)</f>
        <v>1.1</v>
      </c>
      <c r="F831" s="1">
        <f>IFERROR(__xludf.DUMMYFUNCTION("""COMPUTED_VALUE"""),4.37)</f>
        <v>4.37</v>
      </c>
      <c r="G831" s="5">
        <f>IFERROR(__xludf.DUMMYFUNCTION("""COMPUTED_VALUE"""),14913.0)</f>
        <v>14913</v>
      </c>
      <c r="H831" s="5">
        <f>IFERROR(__xludf.DUMMYFUNCTION("""COMPUTED_VALUE"""),3416.0)</f>
        <v>3416</v>
      </c>
    </row>
    <row r="832">
      <c r="A832" s="4">
        <f>IFERROR(__xludf.DUMMYFUNCTION("""COMPUTED_VALUE"""),43200.0)</f>
        <v>43200</v>
      </c>
      <c r="B832" s="5">
        <f>IFERROR(__xludf.DUMMYFUNCTION("""COMPUTED_VALUE"""),3138.0)</f>
        <v>3138</v>
      </c>
      <c r="C832" s="6">
        <f>IFERROR(__xludf.DUMMYFUNCTION("""COMPUTED_VALUE"""),0.38)</f>
        <v>0.38</v>
      </c>
      <c r="D832" s="2">
        <f>IFERROR(__xludf.DUMMYFUNCTION("""COMPUTED_VALUE"""),0.0017939814814814815)</f>
        <v>0.001793981481</v>
      </c>
      <c r="E832" s="1">
        <f>IFERROR(__xludf.DUMMYFUNCTION("""COMPUTED_VALUE"""),1.14)</f>
        <v>1.14</v>
      </c>
      <c r="F832" s="1">
        <f>IFERROR(__xludf.DUMMYFUNCTION("""COMPUTED_VALUE"""),3.96)</f>
        <v>3.96</v>
      </c>
      <c r="G832" s="5">
        <f>IFERROR(__xludf.DUMMYFUNCTION("""COMPUTED_VALUE"""),14191.0)</f>
        <v>14191</v>
      </c>
      <c r="H832" s="5">
        <f>IFERROR(__xludf.DUMMYFUNCTION("""COMPUTED_VALUE"""),3582.0)</f>
        <v>3582</v>
      </c>
    </row>
    <row r="833">
      <c r="A833" s="4">
        <f>IFERROR(__xludf.DUMMYFUNCTION("""COMPUTED_VALUE"""),43201.0)</f>
        <v>43201</v>
      </c>
      <c r="B833" s="5">
        <f>IFERROR(__xludf.DUMMYFUNCTION("""COMPUTED_VALUE"""),3110.0)</f>
        <v>3110</v>
      </c>
      <c r="C833" s="6">
        <f>IFERROR(__xludf.DUMMYFUNCTION("""COMPUTED_VALUE"""),0.4245)</f>
        <v>0.4245</v>
      </c>
      <c r="D833" s="2">
        <f>IFERROR(__xludf.DUMMYFUNCTION("""COMPUTED_VALUE"""),0.001875)</f>
        <v>0.001875</v>
      </c>
      <c r="E833" s="1">
        <f>IFERROR(__xludf.DUMMYFUNCTION("""COMPUTED_VALUE"""),1.09)</f>
        <v>1.09</v>
      </c>
      <c r="F833" s="1">
        <f>IFERROR(__xludf.DUMMYFUNCTION("""COMPUTED_VALUE"""),4.44)</f>
        <v>4.44</v>
      </c>
      <c r="G833" s="5">
        <f>IFERROR(__xludf.DUMMYFUNCTION("""COMPUTED_VALUE"""),15107.0)</f>
        <v>15107</v>
      </c>
      <c r="H833" s="5">
        <f>IFERROR(__xludf.DUMMYFUNCTION("""COMPUTED_VALUE"""),3402.0)</f>
        <v>3402</v>
      </c>
    </row>
    <row r="834">
      <c r="A834" s="4">
        <f>IFERROR(__xludf.DUMMYFUNCTION("""COMPUTED_VALUE"""),43202.0)</f>
        <v>43202</v>
      </c>
      <c r="B834" s="5">
        <f>IFERROR(__xludf.DUMMYFUNCTION("""COMPUTED_VALUE"""),3138.0)</f>
        <v>3138</v>
      </c>
      <c r="C834" s="6">
        <f>IFERROR(__xludf.DUMMYFUNCTION("""COMPUTED_VALUE"""),0.4837)</f>
        <v>0.4837</v>
      </c>
      <c r="D834" s="2">
        <f>IFERROR(__xludf.DUMMYFUNCTION("""COMPUTED_VALUE"""),0.0019212962962962964)</f>
        <v>0.001921296296</v>
      </c>
      <c r="E834" s="1">
        <f>IFERROR(__xludf.DUMMYFUNCTION("""COMPUTED_VALUE"""),1.1)</f>
        <v>1.1</v>
      </c>
      <c r="F834" s="1">
        <f>IFERROR(__xludf.DUMMYFUNCTION("""COMPUTED_VALUE"""),3.76)</f>
        <v>3.76</v>
      </c>
      <c r="G834" s="5">
        <f>IFERROR(__xludf.DUMMYFUNCTION("""COMPUTED_VALUE"""),12941.0)</f>
        <v>12941</v>
      </c>
      <c r="H834" s="5">
        <f>IFERROR(__xludf.DUMMYFUNCTION("""COMPUTED_VALUE"""),3444.0)</f>
        <v>3444</v>
      </c>
    </row>
    <row r="835">
      <c r="A835" s="4">
        <f>IFERROR(__xludf.DUMMYFUNCTION("""COMPUTED_VALUE"""),43203.0)</f>
        <v>43203</v>
      </c>
      <c r="B835" s="5">
        <f>IFERROR(__xludf.DUMMYFUNCTION("""COMPUTED_VALUE"""),2694.0)</f>
        <v>2694</v>
      </c>
      <c r="C835" s="6">
        <f>IFERROR(__xludf.DUMMYFUNCTION("""COMPUTED_VALUE"""),0.4549)</f>
        <v>0.4549</v>
      </c>
      <c r="D835" s="2">
        <f>IFERROR(__xludf.DUMMYFUNCTION("""COMPUTED_VALUE"""),0.001412037037037037)</f>
        <v>0.001412037037</v>
      </c>
      <c r="E835" s="1">
        <f>IFERROR(__xludf.DUMMYFUNCTION("""COMPUTED_VALUE"""),1.09)</f>
        <v>1.09</v>
      </c>
      <c r="F835" s="1">
        <f>IFERROR(__xludf.DUMMYFUNCTION("""COMPUTED_VALUE"""),3.99)</f>
        <v>3.99</v>
      </c>
      <c r="G835" s="5">
        <f>IFERROR(__xludf.DUMMYFUNCTION("""COMPUTED_VALUE"""),11705.0)</f>
        <v>11705</v>
      </c>
      <c r="H835" s="5">
        <f>IFERROR(__xludf.DUMMYFUNCTION("""COMPUTED_VALUE"""),2930.0)</f>
        <v>2930</v>
      </c>
    </row>
    <row r="836">
      <c r="A836" s="4">
        <f>IFERROR(__xludf.DUMMYFUNCTION("""COMPUTED_VALUE"""),43204.0)</f>
        <v>43204</v>
      </c>
      <c r="B836" s="5">
        <f>IFERROR(__xludf.DUMMYFUNCTION("""COMPUTED_VALUE"""),1833.0)</f>
        <v>1833</v>
      </c>
      <c r="C836" s="6">
        <f>IFERROR(__xludf.DUMMYFUNCTION("""COMPUTED_VALUE"""),0.4081)</f>
        <v>0.4081</v>
      </c>
      <c r="D836" s="2">
        <f>IFERROR(__xludf.DUMMYFUNCTION("""COMPUTED_VALUE"""),0.0019444444444444444)</f>
        <v>0.001944444444</v>
      </c>
      <c r="E836" s="1">
        <f>IFERROR(__xludf.DUMMYFUNCTION("""COMPUTED_VALUE"""),1.11)</f>
        <v>1.11</v>
      </c>
      <c r="F836" s="1">
        <f>IFERROR(__xludf.DUMMYFUNCTION("""COMPUTED_VALUE"""),4.16)</f>
        <v>4.16</v>
      </c>
      <c r="G836" s="5">
        <f>IFERROR(__xludf.DUMMYFUNCTION("""COMPUTED_VALUE"""),8484.0)</f>
        <v>8484</v>
      </c>
      <c r="H836" s="5">
        <f>IFERROR(__xludf.DUMMYFUNCTION("""COMPUTED_VALUE"""),2041.0)</f>
        <v>2041</v>
      </c>
    </row>
    <row r="837">
      <c r="A837" s="4">
        <f>IFERROR(__xludf.DUMMYFUNCTION("""COMPUTED_VALUE"""),43205.0)</f>
        <v>43205</v>
      </c>
      <c r="B837" s="5">
        <f>IFERROR(__xludf.DUMMYFUNCTION("""COMPUTED_VALUE"""),2027.0)</f>
        <v>2027</v>
      </c>
      <c r="C837" s="6">
        <f>IFERROR(__xludf.DUMMYFUNCTION("""COMPUTED_VALUE"""),0.4878)</f>
        <v>0.4878</v>
      </c>
      <c r="D837" s="2">
        <f>IFERROR(__xludf.DUMMYFUNCTION("""COMPUTED_VALUE"""),0.0015625)</f>
        <v>0.0015625</v>
      </c>
      <c r="E837" s="1">
        <f>IFERROR(__xludf.DUMMYFUNCTION("""COMPUTED_VALUE"""),1.11)</f>
        <v>1.11</v>
      </c>
      <c r="F837" s="1">
        <f>IFERROR(__xludf.DUMMYFUNCTION("""COMPUTED_VALUE"""),4.26)</f>
        <v>4.26</v>
      </c>
      <c r="G837" s="5">
        <f>IFERROR(__xludf.DUMMYFUNCTION("""COMPUTED_VALUE"""),9581.0)</f>
        <v>9581</v>
      </c>
      <c r="H837" s="5">
        <f>IFERROR(__xludf.DUMMYFUNCTION("""COMPUTED_VALUE"""),2249.0)</f>
        <v>2249</v>
      </c>
    </row>
    <row r="838">
      <c r="A838" s="4">
        <f>IFERROR(__xludf.DUMMYFUNCTION("""COMPUTED_VALUE"""),43206.0)</f>
        <v>43206</v>
      </c>
      <c r="B838" s="5">
        <f>IFERROR(__xludf.DUMMYFUNCTION("""COMPUTED_VALUE"""),2985.0)</f>
        <v>2985</v>
      </c>
      <c r="C838" s="6">
        <f>IFERROR(__xludf.DUMMYFUNCTION("""COMPUTED_VALUE"""),0.4286)</f>
        <v>0.4286</v>
      </c>
      <c r="D838" s="2">
        <f>IFERROR(__xludf.DUMMYFUNCTION("""COMPUTED_VALUE"""),0.0016435185185185185)</f>
        <v>0.001643518519</v>
      </c>
      <c r="E838" s="1">
        <f>IFERROR(__xludf.DUMMYFUNCTION("""COMPUTED_VALUE"""),1.14)</f>
        <v>1.14</v>
      </c>
      <c r="F838" s="1">
        <f>IFERROR(__xludf.DUMMYFUNCTION("""COMPUTED_VALUE"""),4.28)</f>
        <v>4.28</v>
      </c>
      <c r="G838" s="5">
        <f>IFERROR(__xludf.DUMMYFUNCTION("""COMPUTED_VALUE"""),14552.0)</f>
        <v>14552</v>
      </c>
      <c r="H838" s="5">
        <f>IFERROR(__xludf.DUMMYFUNCTION("""COMPUTED_VALUE"""),3402.0)</f>
        <v>3402</v>
      </c>
    </row>
    <row r="839">
      <c r="A839" s="4">
        <f>IFERROR(__xludf.DUMMYFUNCTION("""COMPUTED_VALUE"""),43207.0)</f>
        <v>43207</v>
      </c>
      <c r="B839" s="5">
        <f>IFERROR(__xludf.DUMMYFUNCTION("""COMPUTED_VALUE"""),3194.0)</f>
        <v>3194</v>
      </c>
      <c r="C839" s="6">
        <f>IFERROR(__xludf.DUMMYFUNCTION("""COMPUTED_VALUE"""),0.4843)</f>
        <v>0.4843</v>
      </c>
      <c r="D839" s="2">
        <f>IFERROR(__xludf.DUMMYFUNCTION("""COMPUTED_VALUE"""),0.0016782407407407408)</f>
        <v>0.001678240741</v>
      </c>
      <c r="E839" s="1">
        <f>IFERROR(__xludf.DUMMYFUNCTION("""COMPUTED_VALUE"""),1.1)</f>
        <v>1.1</v>
      </c>
      <c r="F839" s="1">
        <f>IFERROR(__xludf.DUMMYFUNCTION("""COMPUTED_VALUE"""),3.76)</f>
        <v>3.76</v>
      </c>
      <c r="G839" s="5">
        <f>IFERROR(__xludf.DUMMYFUNCTION("""COMPUTED_VALUE"""),13274.0)</f>
        <v>13274</v>
      </c>
      <c r="H839" s="5">
        <f>IFERROR(__xludf.DUMMYFUNCTION("""COMPUTED_VALUE"""),3527.0)</f>
        <v>3527</v>
      </c>
    </row>
    <row r="840">
      <c r="A840" s="4">
        <f>IFERROR(__xludf.DUMMYFUNCTION("""COMPUTED_VALUE"""),43208.0)</f>
        <v>43208</v>
      </c>
      <c r="B840" s="5">
        <f>IFERROR(__xludf.DUMMYFUNCTION("""COMPUTED_VALUE"""),3110.0)</f>
        <v>3110</v>
      </c>
      <c r="C840" s="6">
        <f>IFERROR(__xludf.DUMMYFUNCTION("""COMPUTED_VALUE"""),0.4167)</f>
        <v>0.4167</v>
      </c>
      <c r="D840" s="2">
        <f>IFERROR(__xludf.DUMMYFUNCTION("""COMPUTED_VALUE"""),0.0015393518518518519)</f>
        <v>0.001539351852</v>
      </c>
      <c r="E840" s="1">
        <f>IFERROR(__xludf.DUMMYFUNCTION("""COMPUTED_VALUE"""),1.13)</f>
        <v>1.13</v>
      </c>
      <c r="F840" s="1">
        <f>IFERROR(__xludf.DUMMYFUNCTION("""COMPUTED_VALUE"""),4.3)</f>
        <v>4.3</v>
      </c>
      <c r="G840" s="5">
        <f>IFERROR(__xludf.DUMMYFUNCTION("""COMPUTED_VALUE"""),15038.0)</f>
        <v>15038</v>
      </c>
      <c r="H840" s="5">
        <f>IFERROR(__xludf.DUMMYFUNCTION("""COMPUTED_VALUE"""),3499.0)</f>
        <v>3499</v>
      </c>
    </row>
    <row r="841">
      <c r="A841" s="4">
        <f>IFERROR(__xludf.DUMMYFUNCTION("""COMPUTED_VALUE"""),43209.0)</f>
        <v>43209</v>
      </c>
      <c r="B841" s="5">
        <f>IFERROR(__xludf.DUMMYFUNCTION("""COMPUTED_VALUE"""),2985.0)</f>
        <v>2985</v>
      </c>
      <c r="C841" s="6">
        <f>IFERROR(__xludf.DUMMYFUNCTION("""COMPUTED_VALUE"""),0.4506)</f>
        <v>0.4506</v>
      </c>
      <c r="D841" s="2">
        <f>IFERROR(__xludf.DUMMYFUNCTION("""COMPUTED_VALUE"""),0.0015972222222222223)</f>
        <v>0.001597222222</v>
      </c>
      <c r="E841" s="1">
        <f>IFERROR(__xludf.DUMMYFUNCTION("""COMPUTED_VALUE"""),1.13)</f>
        <v>1.13</v>
      </c>
      <c r="F841" s="1">
        <f>IFERROR(__xludf.DUMMYFUNCTION("""COMPUTED_VALUE"""),4.3)</f>
        <v>4.3</v>
      </c>
      <c r="G841" s="5">
        <f>IFERROR(__xludf.DUMMYFUNCTION("""COMPUTED_VALUE"""),14455.0)</f>
        <v>14455</v>
      </c>
      <c r="H841" s="5">
        <f>IFERROR(__xludf.DUMMYFUNCTION("""COMPUTED_VALUE"""),3360.0)</f>
        <v>3360</v>
      </c>
    </row>
    <row r="842">
      <c r="A842" s="4">
        <f>IFERROR(__xludf.DUMMYFUNCTION("""COMPUTED_VALUE"""),43210.0)</f>
        <v>43210</v>
      </c>
      <c r="B842" s="5">
        <f>IFERROR(__xludf.DUMMYFUNCTION("""COMPUTED_VALUE"""),2569.0)</f>
        <v>2569</v>
      </c>
      <c r="C842" s="6">
        <f>IFERROR(__xludf.DUMMYFUNCTION("""COMPUTED_VALUE"""),0.4506)</f>
        <v>0.4506</v>
      </c>
      <c r="D842" s="2">
        <f>IFERROR(__xludf.DUMMYFUNCTION("""COMPUTED_VALUE"""),0.0014814814814814814)</f>
        <v>0.001481481481</v>
      </c>
      <c r="E842" s="1">
        <f>IFERROR(__xludf.DUMMYFUNCTION("""COMPUTED_VALUE"""),1.09)</f>
        <v>1.09</v>
      </c>
      <c r="F842" s="1">
        <f>IFERROR(__xludf.DUMMYFUNCTION("""COMPUTED_VALUE"""),4.06)</f>
        <v>4.06</v>
      </c>
      <c r="G842" s="5">
        <f>IFERROR(__xludf.DUMMYFUNCTION("""COMPUTED_VALUE"""),11400.0)</f>
        <v>11400</v>
      </c>
      <c r="H842" s="5">
        <f>IFERROR(__xludf.DUMMYFUNCTION("""COMPUTED_VALUE"""),2805.0)</f>
        <v>2805</v>
      </c>
    </row>
    <row r="843">
      <c r="A843" s="4">
        <f>IFERROR(__xludf.DUMMYFUNCTION("""COMPUTED_VALUE"""),43211.0)</f>
        <v>43211</v>
      </c>
      <c r="B843" s="5">
        <f>IFERROR(__xludf.DUMMYFUNCTION("""COMPUTED_VALUE"""),1916.0)</f>
        <v>1916</v>
      </c>
      <c r="C843" s="6">
        <f>IFERROR(__xludf.DUMMYFUNCTION("""COMPUTED_VALUE"""),0.5134)</f>
        <v>0.5134</v>
      </c>
      <c r="D843" s="2">
        <f>IFERROR(__xludf.DUMMYFUNCTION("""COMPUTED_VALUE"""),0.0014236111111111112)</f>
        <v>0.001423611111</v>
      </c>
      <c r="E843" s="1">
        <f>IFERROR(__xludf.DUMMYFUNCTION("""COMPUTED_VALUE"""),1.07)</f>
        <v>1.07</v>
      </c>
      <c r="F843" s="1">
        <f>IFERROR(__xludf.DUMMYFUNCTION("""COMPUTED_VALUE"""),3.95)</f>
        <v>3.95</v>
      </c>
      <c r="G843" s="5">
        <f>IFERROR(__xludf.DUMMYFUNCTION("""COMPUTED_VALUE"""),8109.0)</f>
        <v>8109</v>
      </c>
      <c r="H843" s="5">
        <f>IFERROR(__xludf.DUMMYFUNCTION("""COMPUTED_VALUE"""),2055.0)</f>
        <v>2055</v>
      </c>
    </row>
    <row r="844">
      <c r="A844" s="4">
        <f>IFERROR(__xludf.DUMMYFUNCTION("""COMPUTED_VALUE"""),43212.0)</f>
        <v>43212</v>
      </c>
      <c r="B844" s="5">
        <f>IFERROR(__xludf.DUMMYFUNCTION("""COMPUTED_VALUE"""),1999.0)</f>
        <v>1999</v>
      </c>
      <c r="C844" s="6">
        <f>IFERROR(__xludf.DUMMYFUNCTION("""COMPUTED_VALUE"""),0.4881)</f>
        <v>0.4881</v>
      </c>
      <c r="D844" s="2">
        <f>IFERROR(__xludf.DUMMYFUNCTION("""COMPUTED_VALUE"""),0.0019212962962962964)</f>
        <v>0.001921296296</v>
      </c>
      <c r="E844" s="1">
        <f>IFERROR(__xludf.DUMMYFUNCTION("""COMPUTED_VALUE"""),1.15)</f>
        <v>1.15</v>
      </c>
      <c r="F844" s="1">
        <f>IFERROR(__xludf.DUMMYFUNCTION("""COMPUTED_VALUE"""),4.54)</f>
        <v>4.54</v>
      </c>
      <c r="G844" s="5">
        <f>IFERROR(__xludf.DUMMYFUNCTION("""COMPUTED_VALUE"""),10456.0)</f>
        <v>10456</v>
      </c>
      <c r="H844" s="5">
        <f>IFERROR(__xludf.DUMMYFUNCTION("""COMPUTED_VALUE"""),2305.0)</f>
        <v>2305</v>
      </c>
    </row>
    <row r="845">
      <c r="A845" s="4">
        <f>IFERROR(__xludf.DUMMYFUNCTION("""COMPUTED_VALUE"""),43213.0)</f>
        <v>43213</v>
      </c>
      <c r="B845" s="5">
        <f>IFERROR(__xludf.DUMMYFUNCTION("""COMPUTED_VALUE"""),3041.0)</f>
        <v>3041</v>
      </c>
      <c r="C845" s="6">
        <f>IFERROR(__xludf.DUMMYFUNCTION("""COMPUTED_VALUE"""),0.4241)</f>
        <v>0.4241</v>
      </c>
      <c r="D845" s="2">
        <f>IFERROR(__xludf.DUMMYFUNCTION("""COMPUTED_VALUE"""),0.001875)</f>
        <v>0.001875</v>
      </c>
      <c r="E845" s="1">
        <f>IFERROR(__xludf.DUMMYFUNCTION("""COMPUTED_VALUE"""),1.14)</f>
        <v>1.14</v>
      </c>
      <c r="F845" s="1">
        <f>IFERROR(__xludf.DUMMYFUNCTION("""COMPUTED_VALUE"""),4.92)</f>
        <v>4.92</v>
      </c>
      <c r="G845" s="5">
        <f>IFERROR(__xludf.DUMMYFUNCTION("""COMPUTED_VALUE"""),17079.0)</f>
        <v>17079</v>
      </c>
      <c r="H845" s="5">
        <f>IFERROR(__xludf.DUMMYFUNCTION("""COMPUTED_VALUE"""),3471.0)</f>
        <v>3471</v>
      </c>
    </row>
    <row r="846">
      <c r="A846" s="4">
        <f>IFERROR(__xludf.DUMMYFUNCTION("""COMPUTED_VALUE"""),43214.0)</f>
        <v>43214</v>
      </c>
      <c r="B846" s="5">
        <f>IFERROR(__xludf.DUMMYFUNCTION("""COMPUTED_VALUE"""),2999.0)</f>
        <v>2999</v>
      </c>
      <c r="C846" s="6">
        <f>IFERROR(__xludf.DUMMYFUNCTION("""COMPUTED_VALUE"""),0.4068)</f>
        <v>0.4068</v>
      </c>
      <c r="D846" s="2">
        <f>IFERROR(__xludf.DUMMYFUNCTION("""COMPUTED_VALUE"""),0.0015509259259259259)</f>
        <v>0.001550925926</v>
      </c>
      <c r="E846" s="1">
        <f>IFERROR(__xludf.DUMMYFUNCTION("""COMPUTED_VALUE"""),1.12)</f>
        <v>1.12</v>
      </c>
      <c r="F846" s="1">
        <f>IFERROR(__xludf.DUMMYFUNCTION("""COMPUTED_VALUE"""),4.9)</f>
        <v>4.9</v>
      </c>
      <c r="G846" s="5">
        <f>IFERROR(__xludf.DUMMYFUNCTION("""COMPUTED_VALUE"""),16385.0)</f>
        <v>16385</v>
      </c>
      <c r="H846" s="5">
        <f>IFERROR(__xludf.DUMMYFUNCTION("""COMPUTED_VALUE"""),3346.0)</f>
        <v>3346</v>
      </c>
    </row>
    <row r="847">
      <c r="A847" s="4">
        <f>IFERROR(__xludf.DUMMYFUNCTION("""COMPUTED_VALUE"""),43215.0)</f>
        <v>43215</v>
      </c>
      <c r="B847" s="5">
        <f>IFERROR(__xludf.DUMMYFUNCTION("""COMPUTED_VALUE"""),3027.0)</f>
        <v>3027</v>
      </c>
      <c r="C847" s="6">
        <f>IFERROR(__xludf.DUMMYFUNCTION("""COMPUTED_VALUE"""),0.4875)</f>
        <v>0.4875</v>
      </c>
      <c r="D847" s="2">
        <f>IFERROR(__xludf.DUMMYFUNCTION("""COMPUTED_VALUE"""),0.0016782407407407408)</f>
        <v>0.001678240741</v>
      </c>
      <c r="E847" s="1">
        <f>IFERROR(__xludf.DUMMYFUNCTION("""COMPUTED_VALUE"""),1.11)</f>
        <v>1.11</v>
      </c>
      <c r="F847" s="1">
        <f>IFERROR(__xludf.DUMMYFUNCTION("""COMPUTED_VALUE"""),4.09)</f>
        <v>4.09</v>
      </c>
      <c r="G847" s="5">
        <f>IFERROR(__xludf.DUMMYFUNCTION("""COMPUTED_VALUE"""),13733.0)</f>
        <v>13733</v>
      </c>
      <c r="H847" s="5">
        <f>IFERROR(__xludf.DUMMYFUNCTION("""COMPUTED_VALUE"""),3360.0)</f>
        <v>3360</v>
      </c>
    </row>
    <row r="848">
      <c r="A848" s="4">
        <f>IFERROR(__xludf.DUMMYFUNCTION("""COMPUTED_VALUE"""),43216.0)</f>
        <v>43216</v>
      </c>
      <c r="B848" s="5">
        <f>IFERROR(__xludf.DUMMYFUNCTION("""COMPUTED_VALUE"""),3013.0)</f>
        <v>3013</v>
      </c>
      <c r="C848" s="6">
        <f>IFERROR(__xludf.DUMMYFUNCTION("""COMPUTED_VALUE"""),0.4582)</f>
        <v>0.4582</v>
      </c>
      <c r="D848" s="2">
        <f>IFERROR(__xludf.DUMMYFUNCTION("""COMPUTED_VALUE"""),0.0012731481481481483)</f>
        <v>0.001273148148</v>
      </c>
      <c r="E848" s="1">
        <f>IFERROR(__xludf.DUMMYFUNCTION("""COMPUTED_VALUE"""),1.16)</f>
        <v>1.16</v>
      </c>
      <c r="F848" s="1">
        <f>IFERROR(__xludf.DUMMYFUNCTION("""COMPUTED_VALUE"""),3.75)</f>
        <v>3.75</v>
      </c>
      <c r="G848" s="5">
        <f>IFERROR(__xludf.DUMMYFUNCTION("""COMPUTED_VALUE"""),13080.0)</f>
        <v>13080</v>
      </c>
      <c r="H848" s="5">
        <f>IFERROR(__xludf.DUMMYFUNCTION("""COMPUTED_VALUE"""),3485.0)</f>
        <v>3485</v>
      </c>
    </row>
    <row r="849">
      <c r="A849" s="4">
        <f>IFERROR(__xludf.DUMMYFUNCTION("""COMPUTED_VALUE"""),43217.0)</f>
        <v>43217</v>
      </c>
      <c r="B849" s="5">
        <f>IFERROR(__xludf.DUMMYFUNCTION("""COMPUTED_VALUE"""),2597.0)</f>
        <v>2597</v>
      </c>
      <c r="C849" s="6">
        <f>IFERROR(__xludf.DUMMYFUNCTION("""COMPUTED_VALUE"""),0.4519)</f>
        <v>0.4519</v>
      </c>
      <c r="D849" s="2">
        <f>IFERROR(__xludf.DUMMYFUNCTION("""COMPUTED_VALUE"""),0.0010532407407407407)</f>
        <v>0.001053240741</v>
      </c>
      <c r="E849" s="1">
        <f>IFERROR(__xludf.DUMMYFUNCTION("""COMPUTED_VALUE"""),1.11)</f>
        <v>1.11</v>
      </c>
      <c r="F849" s="1">
        <f>IFERROR(__xludf.DUMMYFUNCTION("""COMPUTED_VALUE"""),3.49)</f>
        <v>3.49</v>
      </c>
      <c r="G849" s="5">
        <f>IFERROR(__xludf.DUMMYFUNCTION("""COMPUTED_VALUE"""),10067.0)</f>
        <v>10067</v>
      </c>
      <c r="H849" s="5">
        <f>IFERROR(__xludf.DUMMYFUNCTION("""COMPUTED_VALUE"""),2888.0)</f>
        <v>2888</v>
      </c>
    </row>
    <row r="850">
      <c r="A850" s="4">
        <f>IFERROR(__xludf.DUMMYFUNCTION("""COMPUTED_VALUE"""),43218.0)</f>
        <v>43218</v>
      </c>
      <c r="B850" s="5">
        <f>IFERROR(__xludf.DUMMYFUNCTION("""COMPUTED_VALUE"""),1958.0)</f>
        <v>1958</v>
      </c>
      <c r="C850" s="6">
        <f>IFERROR(__xludf.DUMMYFUNCTION("""COMPUTED_VALUE"""),0.4666)</f>
        <v>0.4666</v>
      </c>
      <c r="D850" s="2">
        <f>IFERROR(__xludf.DUMMYFUNCTION("""COMPUTED_VALUE"""),0.0020833333333333333)</f>
        <v>0.002083333333</v>
      </c>
      <c r="E850" s="1">
        <f>IFERROR(__xludf.DUMMYFUNCTION("""COMPUTED_VALUE"""),1.06)</f>
        <v>1.06</v>
      </c>
      <c r="F850" s="1">
        <f>IFERROR(__xludf.DUMMYFUNCTION("""COMPUTED_VALUE"""),4.46)</f>
        <v>4.46</v>
      </c>
      <c r="G850" s="5">
        <f>IFERROR(__xludf.DUMMYFUNCTION("""COMPUTED_VALUE"""),9289.0)</f>
        <v>9289</v>
      </c>
      <c r="H850" s="5">
        <f>IFERROR(__xludf.DUMMYFUNCTION("""COMPUTED_VALUE"""),2083.0)</f>
        <v>2083</v>
      </c>
    </row>
    <row r="851">
      <c r="A851" s="4">
        <f>IFERROR(__xludf.DUMMYFUNCTION("""COMPUTED_VALUE"""),43219.0)</f>
        <v>43219</v>
      </c>
      <c r="B851" s="5">
        <f>IFERROR(__xludf.DUMMYFUNCTION("""COMPUTED_VALUE"""),1986.0)</f>
        <v>1986</v>
      </c>
      <c r="C851" s="6">
        <f>IFERROR(__xludf.DUMMYFUNCTION("""COMPUTED_VALUE"""),0.5388)</f>
        <v>0.5388</v>
      </c>
      <c r="D851" s="2">
        <f>IFERROR(__xludf.DUMMYFUNCTION("""COMPUTED_VALUE"""),0.0010763888888888889)</f>
        <v>0.001076388889</v>
      </c>
      <c r="E851" s="1">
        <f>IFERROR(__xludf.DUMMYFUNCTION("""COMPUTED_VALUE"""),1.08)</f>
        <v>1.08</v>
      </c>
      <c r="F851" s="1">
        <f>IFERROR(__xludf.DUMMYFUNCTION("""COMPUTED_VALUE"""),3.33)</f>
        <v>3.33</v>
      </c>
      <c r="G851" s="5">
        <f>IFERROR(__xludf.DUMMYFUNCTION("""COMPUTED_VALUE"""),7123.0)</f>
        <v>7123</v>
      </c>
      <c r="H851" s="5">
        <f>IFERROR(__xludf.DUMMYFUNCTION("""COMPUTED_VALUE"""),2138.0)</f>
        <v>2138</v>
      </c>
    </row>
    <row r="852">
      <c r="A852" s="4">
        <f>IFERROR(__xludf.DUMMYFUNCTION("""COMPUTED_VALUE"""),43220.0)</f>
        <v>43220</v>
      </c>
      <c r="B852" s="5">
        <f>IFERROR(__xludf.DUMMYFUNCTION("""COMPUTED_VALUE"""),2791.0)</f>
        <v>2791</v>
      </c>
      <c r="C852" s="6">
        <f>IFERROR(__xludf.DUMMYFUNCTION("""COMPUTED_VALUE"""),0.3811)</f>
        <v>0.3811</v>
      </c>
      <c r="D852" s="2">
        <f>IFERROR(__xludf.DUMMYFUNCTION("""COMPUTED_VALUE"""),0.0020486111111111113)</f>
        <v>0.002048611111</v>
      </c>
      <c r="E852" s="1">
        <f>IFERROR(__xludf.DUMMYFUNCTION("""COMPUTED_VALUE"""),1.11)</f>
        <v>1.11</v>
      </c>
      <c r="F852" s="1">
        <f>IFERROR(__xludf.DUMMYFUNCTION("""COMPUTED_VALUE"""),4.48)</f>
        <v>4.48</v>
      </c>
      <c r="G852" s="5">
        <f>IFERROR(__xludf.DUMMYFUNCTION("""COMPUTED_VALUE"""),13885.0)</f>
        <v>13885</v>
      </c>
      <c r="H852" s="5">
        <f>IFERROR(__xludf.DUMMYFUNCTION("""COMPUTED_VALUE"""),3096.0)</f>
        <v>3096</v>
      </c>
    </row>
    <row r="853">
      <c r="A853" s="4">
        <f>IFERROR(__xludf.DUMMYFUNCTION("""COMPUTED_VALUE"""),43221.0)</f>
        <v>43221</v>
      </c>
      <c r="B853" s="5">
        <f>IFERROR(__xludf.DUMMYFUNCTION("""COMPUTED_VALUE"""),2874.0)</f>
        <v>2874</v>
      </c>
      <c r="C853" s="6">
        <f>IFERROR(__xludf.DUMMYFUNCTION("""COMPUTED_VALUE"""),0.4229)</f>
        <v>0.4229</v>
      </c>
      <c r="D853" s="2">
        <f>IFERROR(__xludf.DUMMYFUNCTION("""COMPUTED_VALUE"""),0.0010648148148148149)</f>
        <v>0.001064814815</v>
      </c>
      <c r="E853" s="1">
        <f>IFERROR(__xludf.DUMMYFUNCTION("""COMPUTED_VALUE"""),1.1)</f>
        <v>1.1</v>
      </c>
      <c r="F853" s="1">
        <f>IFERROR(__xludf.DUMMYFUNCTION("""COMPUTED_VALUE"""),3.88)</f>
        <v>3.88</v>
      </c>
      <c r="G853" s="5">
        <f>IFERROR(__xludf.DUMMYFUNCTION("""COMPUTED_VALUE"""),12233.0)</f>
        <v>12233</v>
      </c>
      <c r="H853" s="5">
        <f>IFERROR(__xludf.DUMMYFUNCTION("""COMPUTED_VALUE"""),3152.0)</f>
        <v>3152</v>
      </c>
    </row>
    <row r="854">
      <c r="A854" s="4">
        <f>IFERROR(__xludf.DUMMYFUNCTION("""COMPUTED_VALUE"""),43222.0)</f>
        <v>43222</v>
      </c>
      <c r="B854" s="5">
        <f>IFERROR(__xludf.DUMMYFUNCTION("""COMPUTED_VALUE"""),3013.0)</f>
        <v>3013</v>
      </c>
      <c r="C854" s="6">
        <f>IFERROR(__xludf.DUMMYFUNCTION("""COMPUTED_VALUE"""),0.4959)</f>
        <v>0.4959</v>
      </c>
      <c r="D854" s="2">
        <f>IFERROR(__xludf.DUMMYFUNCTION("""COMPUTED_VALUE"""),0.0017476851851851852)</f>
        <v>0.001747685185</v>
      </c>
      <c r="E854" s="1">
        <f>IFERROR(__xludf.DUMMYFUNCTION("""COMPUTED_VALUE"""),1.13)</f>
        <v>1.13</v>
      </c>
      <c r="F854" s="1">
        <f>IFERROR(__xludf.DUMMYFUNCTION("""COMPUTED_VALUE"""),3.82)</f>
        <v>3.82</v>
      </c>
      <c r="G854" s="5">
        <f>IFERROR(__xludf.DUMMYFUNCTION("""COMPUTED_VALUE"""),13066.0)</f>
        <v>13066</v>
      </c>
      <c r="H854" s="5">
        <f>IFERROR(__xludf.DUMMYFUNCTION("""COMPUTED_VALUE"""),3416.0)</f>
        <v>3416</v>
      </c>
    </row>
    <row r="855">
      <c r="A855" s="4">
        <f>IFERROR(__xludf.DUMMYFUNCTION("""COMPUTED_VALUE"""),43223.0)</f>
        <v>43223</v>
      </c>
      <c r="B855" s="5">
        <f>IFERROR(__xludf.DUMMYFUNCTION("""COMPUTED_VALUE"""),3083.0)</f>
        <v>3083</v>
      </c>
      <c r="C855" s="6">
        <f>IFERROR(__xludf.DUMMYFUNCTION("""COMPUTED_VALUE"""),0.4322)</f>
        <v>0.4322</v>
      </c>
      <c r="D855" s="2">
        <f>IFERROR(__xludf.DUMMYFUNCTION("""COMPUTED_VALUE"""),0.0020949074074074073)</f>
        <v>0.002094907407</v>
      </c>
      <c r="E855" s="1">
        <f>IFERROR(__xludf.DUMMYFUNCTION("""COMPUTED_VALUE"""),1.13)</f>
        <v>1.13</v>
      </c>
      <c r="F855" s="1">
        <f>IFERROR(__xludf.DUMMYFUNCTION("""COMPUTED_VALUE"""),4.33)</f>
        <v>4.33</v>
      </c>
      <c r="G855" s="5">
        <f>IFERROR(__xludf.DUMMYFUNCTION("""COMPUTED_VALUE"""),15038.0)</f>
        <v>15038</v>
      </c>
      <c r="H855" s="5">
        <f>IFERROR(__xludf.DUMMYFUNCTION("""COMPUTED_VALUE"""),3471.0)</f>
        <v>3471</v>
      </c>
    </row>
    <row r="856">
      <c r="A856" s="4">
        <f>IFERROR(__xludf.DUMMYFUNCTION("""COMPUTED_VALUE"""),43224.0)</f>
        <v>43224</v>
      </c>
      <c r="B856" s="5">
        <f>IFERROR(__xludf.DUMMYFUNCTION("""COMPUTED_VALUE"""),2708.0)</f>
        <v>2708</v>
      </c>
      <c r="C856" s="6">
        <f>IFERROR(__xludf.DUMMYFUNCTION("""COMPUTED_VALUE"""),0.4757)</f>
        <v>0.4757</v>
      </c>
      <c r="D856" s="2">
        <f>IFERROR(__xludf.DUMMYFUNCTION("""COMPUTED_VALUE"""),0.0017476851851851852)</f>
        <v>0.001747685185</v>
      </c>
      <c r="E856" s="1">
        <f>IFERROR(__xludf.DUMMYFUNCTION("""COMPUTED_VALUE"""),1.15)</f>
        <v>1.15</v>
      </c>
      <c r="F856" s="1">
        <f>IFERROR(__xludf.DUMMYFUNCTION("""COMPUTED_VALUE"""),4.05)</f>
        <v>4.05</v>
      </c>
      <c r="G856" s="5">
        <f>IFERROR(__xludf.DUMMYFUNCTION("""COMPUTED_VALUE"""),12650.0)</f>
        <v>12650</v>
      </c>
      <c r="H856" s="5">
        <f>IFERROR(__xludf.DUMMYFUNCTION("""COMPUTED_VALUE"""),3124.0)</f>
        <v>3124</v>
      </c>
    </row>
    <row r="857">
      <c r="A857" s="4">
        <f>IFERROR(__xludf.DUMMYFUNCTION("""COMPUTED_VALUE"""),43225.0)</f>
        <v>43225</v>
      </c>
      <c r="B857" s="5">
        <f>IFERROR(__xludf.DUMMYFUNCTION("""COMPUTED_VALUE"""),1791.0)</f>
        <v>1791</v>
      </c>
      <c r="C857" s="6">
        <f>IFERROR(__xludf.DUMMYFUNCTION("""COMPUTED_VALUE"""),0.513)</f>
        <v>0.513</v>
      </c>
      <c r="D857" s="2">
        <f>IFERROR(__xludf.DUMMYFUNCTION("""COMPUTED_VALUE"""),0.0021759259259259258)</f>
        <v>0.002175925926</v>
      </c>
      <c r="E857" s="1">
        <f>IFERROR(__xludf.DUMMYFUNCTION("""COMPUTED_VALUE"""),1.18)</f>
        <v>1.18</v>
      </c>
      <c r="F857" s="1">
        <f>IFERROR(__xludf.DUMMYFUNCTION("""COMPUTED_VALUE"""),4.74)</f>
        <v>4.74</v>
      </c>
      <c r="G857" s="5">
        <f>IFERROR(__xludf.DUMMYFUNCTION("""COMPUTED_VALUE"""),9997.0)</f>
        <v>9997</v>
      </c>
      <c r="H857" s="5">
        <f>IFERROR(__xludf.DUMMYFUNCTION("""COMPUTED_VALUE"""),2111.0)</f>
        <v>2111</v>
      </c>
    </row>
    <row r="858">
      <c r="A858" s="4">
        <f>IFERROR(__xludf.DUMMYFUNCTION("""COMPUTED_VALUE"""),43226.0)</f>
        <v>43226</v>
      </c>
      <c r="B858" s="5">
        <f>IFERROR(__xludf.DUMMYFUNCTION("""COMPUTED_VALUE"""),2027.0)</f>
        <v>2027</v>
      </c>
      <c r="C858" s="6">
        <f>IFERROR(__xludf.DUMMYFUNCTION("""COMPUTED_VALUE"""),0.4423)</f>
        <v>0.4423</v>
      </c>
      <c r="D858" s="2">
        <f>IFERROR(__xludf.DUMMYFUNCTION("""COMPUTED_VALUE"""),0.0019212962962962964)</f>
        <v>0.001921296296</v>
      </c>
      <c r="E858" s="1">
        <f>IFERROR(__xludf.DUMMYFUNCTION("""COMPUTED_VALUE"""),1.07)</f>
        <v>1.07</v>
      </c>
      <c r="F858" s="1">
        <f>IFERROR(__xludf.DUMMYFUNCTION("""COMPUTED_VALUE"""),3.63)</f>
        <v>3.63</v>
      </c>
      <c r="G858" s="5">
        <f>IFERROR(__xludf.DUMMYFUNCTION("""COMPUTED_VALUE"""),7873.0)</f>
        <v>7873</v>
      </c>
      <c r="H858" s="5">
        <f>IFERROR(__xludf.DUMMYFUNCTION("""COMPUTED_VALUE"""),2166.0)</f>
        <v>2166</v>
      </c>
    </row>
    <row r="859">
      <c r="A859" s="4">
        <f>IFERROR(__xludf.DUMMYFUNCTION("""COMPUTED_VALUE"""),43227.0)</f>
        <v>43227</v>
      </c>
      <c r="B859" s="5">
        <f>IFERROR(__xludf.DUMMYFUNCTION("""COMPUTED_VALUE"""),2985.0)</f>
        <v>2985</v>
      </c>
      <c r="C859" s="6">
        <f>IFERROR(__xludf.DUMMYFUNCTION("""COMPUTED_VALUE"""),0.446)</f>
        <v>0.446</v>
      </c>
      <c r="D859" s="2">
        <f>IFERROR(__xludf.DUMMYFUNCTION("""COMPUTED_VALUE"""),0.0017592592592592592)</f>
        <v>0.001759259259</v>
      </c>
      <c r="E859" s="1">
        <f>IFERROR(__xludf.DUMMYFUNCTION("""COMPUTED_VALUE"""),1.12)</f>
        <v>1.12</v>
      </c>
      <c r="F859" s="1">
        <f>IFERROR(__xludf.DUMMYFUNCTION("""COMPUTED_VALUE"""),4.31)</f>
        <v>4.31</v>
      </c>
      <c r="G859" s="5">
        <f>IFERROR(__xludf.DUMMYFUNCTION("""COMPUTED_VALUE"""),14371.0)</f>
        <v>14371</v>
      </c>
      <c r="H859" s="5">
        <f>IFERROR(__xludf.DUMMYFUNCTION("""COMPUTED_VALUE"""),3332.0)</f>
        <v>3332</v>
      </c>
    </row>
    <row r="860">
      <c r="A860" s="4">
        <f>IFERROR(__xludf.DUMMYFUNCTION("""COMPUTED_VALUE"""),43228.0)</f>
        <v>43228</v>
      </c>
      <c r="B860" s="5">
        <f>IFERROR(__xludf.DUMMYFUNCTION("""COMPUTED_VALUE"""),3666.0)</f>
        <v>3666</v>
      </c>
      <c r="C860" s="6">
        <f>IFERROR(__xludf.DUMMYFUNCTION("""COMPUTED_VALUE"""),0.4915)</f>
        <v>0.4915</v>
      </c>
      <c r="D860" s="2">
        <f>IFERROR(__xludf.DUMMYFUNCTION("""COMPUTED_VALUE"""),0.0018171296296296297)</f>
        <v>0.00181712963</v>
      </c>
      <c r="E860" s="1">
        <f>IFERROR(__xludf.DUMMYFUNCTION("""COMPUTED_VALUE"""),1.12)</f>
        <v>1.12</v>
      </c>
      <c r="F860" s="1">
        <f>IFERROR(__xludf.DUMMYFUNCTION("""COMPUTED_VALUE"""),4.47)</f>
        <v>4.47</v>
      </c>
      <c r="G860" s="5">
        <f>IFERROR(__xludf.DUMMYFUNCTION("""COMPUTED_VALUE"""),18329.0)</f>
        <v>18329</v>
      </c>
      <c r="H860" s="5">
        <f>IFERROR(__xludf.DUMMYFUNCTION("""COMPUTED_VALUE"""),4096.0)</f>
        <v>4096</v>
      </c>
    </row>
    <row r="861">
      <c r="A861" s="4">
        <f>IFERROR(__xludf.DUMMYFUNCTION("""COMPUTED_VALUE"""),43229.0)</f>
        <v>43229</v>
      </c>
      <c r="B861" s="5">
        <f>IFERROR(__xludf.DUMMYFUNCTION("""COMPUTED_VALUE"""),3457.0)</f>
        <v>3457</v>
      </c>
      <c r="C861" s="6">
        <f>IFERROR(__xludf.DUMMYFUNCTION("""COMPUTED_VALUE"""),0.3878)</f>
        <v>0.3878</v>
      </c>
      <c r="D861" s="2">
        <f>IFERROR(__xludf.DUMMYFUNCTION("""COMPUTED_VALUE"""),0.0019560185185185184)</f>
        <v>0.001956018519</v>
      </c>
      <c r="E861" s="1">
        <f>IFERROR(__xludf.DUMMYFUNCTION("""COMPUTED_VALUE"""),1.11)</f>
        <v>1.11</v>
      </c>
      <c r="F861" s="1">
        <f>IFERROR(__xludf.DUMMYFUNCTION("""COMPUTED_VALUE"""),4.78)</f>
        <v>4.78</v>
      </c>
      <c r="G861" s="5">
        <f>IFERROR(__xludf.DUMMYFUNCTION("""COMPUTED_VALUE"""),18301.0)</f>
        <v>18301</v>
      </c>
      <c r="H861" s="5">
        <f>IFERROR(__xludf.DUMMYFUNCTION("""COMPUTED_VALUE"""),3832.0)</f>
        <v>3832</v>
      </c>
    </row>
    <row r="862">
      <c r="A862" s="4">
        <f>IFERROR(__xludf.DUMMYFUNCTION("""COMPUTED_VALUE"""),43230.0)</f>
        <v>43230</v>
      </c>
      <c r="B862" s="5">
        <f>IFERROR(__xludf.DUMMYFUNCTION("""COMPUTED_VALUE"""),3666.0)</f>
        <v>3666</v>
      </c>
      <c r="C862" s="6">
        <f>IFERROR(__xludf.DUMMYFUNCTION("""COMPUTED_VALUE"""),0.4276)</f>
        <v>0.4276</v>
      </c>
      <c r="D862" s="2">
        <f>IFERROR(__xludf.DUMMYFUNCTION("""COMPUTED_VALUE"""),0.001736111111111111)</f>
        <v>0.001736111111</v>
      </c>
      <c r="E862" s="1">
        <f>IFERROR(__xludf.DUMMYFUNCTION("""COMPUTED_VALUE"""),1.15)</f>
        <v>1.15</v>
      </c>
      <c r="F862" s="1">
        <f>IFERROR(__xludf.DUMMYFUNCTION("""COMPUTED_VALUE"""),4.29)</f>
        <v>4.29</v>
      </c>
      <c r="G862" s="5">
        <f>IFERROR(__xludf.DUMMYFUNCTION("""COMPUTED_VALUE"""),18093.0)</f>
        <v>18093</v>
      </c>
      <c r="H862" s="5">
        <f>IFERROR(__xludf.DUMMYFUNCTION("""COMPUTED_VALUE"""),4221.0)</f>
        <v>4221</v>
      </c>
    </row>
    <row r="863">
      <c r="A863" s="4">
        <f>IFERROR(__xludf.DUMMYFUNCTION("""COMPUTED_VALUE"""),43231.0)</f>
        <v>43231</v>
      </c>
      <c r="B863" s="5">
        <f>IFERROR(__xludf.DUMMYFUNCTION("""COMPUTED_VALUE"""),2888.0)</f>
        <v>2888</v>
      </c>
      <c r="C863" s="6">
        <f>IFERROR(__xludf.DUMMYFUNCTION("""COMPUTED_VALUE"""),0.4382)</f>
        <v>0.4382</v>
      </c>
      <c r="D863" s="2">
        <f>IFERROR(__xludf.DUMMYFUNCTION("""COMPUTED_VALUE"""),0.0013310185185185185)</f>
        <v>0.001331018519</v>
      </c>
      <c r="E863" s="1">
        <f>IFERROR(__xludf.DUMMYFUNCTION("""COMPUTED_VALUE"""),1.09)</f>
        <v>1.09</v>
      </c>
      <c r="F863" s="1">
        <f>IFERROR(__xludf.DUMMYFUNCTION("""COMPUTED_VALUE"""),4.02)</f>
        <v>4.02</v>
      </c>
      <c r="G863" s="5">
        <f>IFERROR(__xludf.DUMMYFUNCTION("""COMPUTED_VALUE"""),12608.0)</f>
        <v>12608</v>
      </c>
      <c r="H863" s="5">
        <f>IFERROR(__xludf.DUMMYFUNCTION("""COMPUTED_VALUE"""),3138.0)</f>
        <v>3138</v>
      </c>
    </row>
    <row r="864">
      <c r="A864" s="4">
        <f>IFERROR(__xludf.DUMMYFUNCTION("""COMPUTED_VALUE"""),43232.0)</f>
        <v>43232</v>
      </c>
      <c r="B864" s="5">
        <f>IFERROR(__xludf.DUMMYFUNCTION("""COMPUTED_VALUE"""),2124.0)</f>
        <v>2124</v>
      </c>
      <c r="C864" s="6">
        <f>IFERROR(__xludf.DUMMYFUNCTION("""COMPUTED_VALUE"""),0.5367)</f>
        <v>0.5367</v>
      </c>
      <c r="D864" s="2">
        <f>IFERROR(__xludf.DUMMYFUNCTION("""COMPUTED_VALUE"""),0.0013425925925925925)</f>
        <v>0.001342592593</v>
      </c>
      <c r="E864" s="1">
        <f>IFERROR(__xludf.DUMMYFUNCTION("""COMPUTED_VALUE"""),1.07)</f>
        <v>1.07</v>
      </c>
      <c r="F864" s="1">
        <f>IFERROR(__xludf.DUMMYFUNCTION("""COMPUTED_VALUE"""),3.56)</f>
        <v>3.56</v>
      </c>
      <c r="G864" s="5">
        <f>IFERROR(__xludf.DUMMYFUNCTION("""COMPUTED_VALUE"""),8109.0)</f>
        <v>8109</v>
      </c>
      <c r="H864" s="5">
        <f>IFERROR(__xludf.DUMMYFUNCTION("""COMPUTED_VALUE"""),2277.0)</f>
        <v>2277</v>
      </c>
    </row>
    <row r="865">
      <c r="A865" s="4">
        <f>IFERROR(__xludf.DUMMYFUNCTION("""COMPUTED_VALUE"""),43233.0)</f>
        <v>43233</v>
      </c>
      <c r="B865" s="5">
        <f>IFERROR(__xludf.DUMMYFUNCTION("""COMPUTED_VALUE"""),2027.0)</f>
        <v>2027</v>
      </c>
      <c r="C865" s="6">
        <f>IFERROR(__xludf.DUMMYFUNCTION("""COMPUTED_VALUE"""),0.4806)</f>
        <v>0.4806</v>
      </c>
      <c r="D865" s="2">
        <f>IFERROR(__xludf.DUMMYFUNCTION("""COMPUTED_VALUE"""),0.001724537037037037)</f>
        <v>0.001724537037</v>
      </c>
      <c r="E865" s="1">
        <f>IFERROR(__xludf.DUMMYFUNCTION("""COMPUTED_VALUE"""),1.07)</f>
        <v>1.07</v>
      </c>
      <c r="F865" s="1">
        <f>IFERROR(__xludf.DUMMYFUNCTION("""COMPUTED_VALUE"""),3.78)</f>
        <v>3.78</v>
      </c>
      <c r="G865" s="5">
        <f>IFERROR(__xludf.DUMMYFUNCTION("""COMPUTED_VALUE"""),8178.0)</f>
        <v>8178</v>
      </c>
      <c r="H865" s="5">
        <f>IFERROR(__xludf.DUMMYFUNCTION("""COMPUTED_VALUE"""),2166.0)</f>
        <v>2166</v>
      </c>
    </row>
    <row r="866">
      <c r="A866" s="4">
        <f>IFERROR(__xludf.DUMMYFUNCTION("""COMPUTED_VALUE"""),43234.0)</f>
        <v>43234</v>
      </c>
      <c r="B866" s="5">
        <f>IFERROR(__xludf.DUMMYFUNCTION("""COMPUTED_VALUE"""),2985.0)</f>
        <v>2985</v>
      </c>
      <c r="C866" s="6">
        <f>IFERROR(__xludf.DUMMYFUNCTION("""COMPUTED_VALUE"""),0.4083)</f>
        <v>0.4083</v>
      </c>
      <c r="D866" s="2">
        <f>IFERROR(__xludf.DUMMYFUNCTION("""COMPUTED_VALUE"""),0.0016435185185185185)</f>
        <v>0.001643518519</v>
      </c>
      <c r="E866" s="1">
        <f>IFERROR(__xludf.DUMMYFUNCTION("""COMPUTED_VALUE"""),1.14)</f>
        <v>1.14</v>
      </c>
      <c r="F866" s="1">
        <f>IFERROR(__xludf.DUMMYFUNCTION("""COMPUTED_VALUE"""),4.13)</f>
        <v>4.13</v>
      </c>
      <c r="G866" s="5">
        <f>IFERROR(__xludf.DUMMYFUNCTION("""COMPUTED_VALUE"""),14038.0)</f>
        <v>14038</v>
      </c>
      <c r="H866" s="5">
        <f>IFERROR(__xludf.DUMMYFUNCTION("""COMPUTED_VALUE"""),3402.0)</f>
        <v>3402</v>
      </c>
    </row>
    <row r="867">
      <c r="A867" s="4">
        <f>IFERROR(__xludf.DUMMYFUNCTION("""COMPUTED_VALUE"""),43235.0)</f>
        <v>43235</v>
      </c>
      <c r="B867" s="5">
        <f>IFERROR(__xludf.DUMMYFUNCTION("""COMPUTED_VALUE"""),2971.0)</f>
        <v>2971</v>
      </c>
      <c r="C867" s="6">
        <f>IFERROR(__xludf.DUMMYFUNCTION("""COMPUTED_VALUE"""),0.3736)</f>
        <v>0.3736</v>
      </c>
      <c r="D867" s="2">
        <f>IFERROR(__xludf.DUMMYFUNCTION("""COMPUTED_VALUE"""),0.0016087962962962963)</f>
        <v>0.001608796296</v>
      </c>
      <c r="E867" s="1">
        <f>IFERROR(__xludf.DUMMYFUNCTION("""COMPUTED_VALUE"""),1.13)</f>
        <v>1.13</v>
      </c>
      <c r="F867" s="1">
        <f>IFERROR(__xludf.DUMMYFUNCTION("""COMPUTED_VALUE"""),4.41)</f>
        <v>4.41</v>
      </c>
      <c r="G867" s="5">
        <f>IFERROR(__xludf.DUMMYFUNCTION("""COMPUTED_VALUE"""),14760.0)</f>
        <v>14760</v>
      </c>
      <c r="H867" s="5">
        <f>IFERROR(__xludf.DUMMYFUNCTION("""COMPUTED_VALUE"""),3346.0)</f>
        <v>3346</v>
      </c>
    </row>
    <row r="868">
      <c r="A868" s="4">
        <f>IFERROR(__xludf.DUMMYFUNCTION("""COMPUTED_VALUE"""),43236.0)</f>
        <v>43236</v>
      </c>
      <c r="B868" s="5">
        <f>IFERROR(__xludf.DUMMYFUNCTION("""COMPUTED_VALUE"""),2958.0)</f>
        <v>2958</v>
      </c>
      <c r="C868" s="6">
        <f>IFERROR(__xludf.DUMMYFUNCTION("""COMPUTED_VALUE"""),0.481)</f>
        <v>0.481</v>
      </c>
      <c r="D868" s="2">
        <f>IFERROR(__xludf.DUMMYFUNCTION("""COMPUTED_VALUE"""),0.0014814814814814814)</f>
        <v>0.001481481481</v>
      </c>
      <c r="E868" s="1">
        <f>IFERROR(__xludf.DUMMYFUNCTION("""COMPUTED_VALUE"""),1.11)</f>
        <v>1.11</v>
      </c>
      <c r="F868" s="1">
        <f>IFERROR(__xludf.DUMMYFUNCTION("""COMPUTED_VALUE"""),3.85)</f>
        <v>3.85</v>
      </c>
      <c r="G868" s="5">
        <f>IFERROR(__xludf.DUMMYFUNCTION("""COMPUTED_VALUE"""),12663.0)</f>
        <v>12663</v>
      </c>
      <c r="H868" s="5">
        <f>IFERROR(__xludf.DUMMYFUNCTION("""COMPUTED_VALUE"""),3291.0)</f>
        <v>3291</v>
      </c>
    </row>
    <row r="869">
      <c r="A869" s="4">
        <f>IFERROR(__xludf.DUMMYFUNCTION("""COMPUTED_VALUE"""),43237.0)</f>
        <v>43237</v>
      </c>
      <c r="B869" s="5">
        <f>IFERROR(__xludf.DUMMYFUNCTION("""COMPUTED_VALUE"""),3110.0)</f>
        <v>3110</v>
      </c>
      <c r="C869" s="6">
        <f>IFERROR(__xludf.DUMMYFUNCTION("""COMPUTED_VALUE"""),0.4484)</f>
        <v>0.4484</v>
      </c>
      <c r="D869" s="2">
        <f>IFERROR(__xludf.DUMMYFUNCTION("""COMPUTED_VALUE"""),0.0015162037037037036)</f>
        <v>0.001516203704</v>
      </c>
      <c r="E869" s="1">
        <f>IFERROR(__xludf.DUMMYFUNCTION("""COMPUTED_VALUE"""),1.17)</f>
        <v>1.17</v>
      </c>
      <c r="F869" s="1">
        <f>IFERROR(__xludf.DUMMYFUNCTION("""COMPUTED_VALUE"""),4.03)</f>
        <v>4.03</v>
      </c>
      <c r="G869" s="5">
        <f>IFERROR(__xludf.DUMMYFUNCTION("""COMPUTED_VALUE"""),14594.0)</f>
        <v>14594</v>
      </c>
      <c r="H869" s="5">
        <f>IFERROR(__xludf.DUMMYFUNCTION("""COMPUTED_VALUE"""),3624.0)</f>
        <v>3624</v>
      </c>
    </row>
    <row r="870">
      <c r="A870" s="4">
        <f>IFERROR(__xludf.DUMMYFUNCTION("""COMPUTED_VALUE"""),43238.0)</f>
        <v>43238</v>
      </c>
      <c r="B870" s="5">
        <f>IFERROR(__xludf.DUMMYFUNCTION("""COMPUTED_VALUE"""),2860.0)</f>
        <v>2860</v>
      </c>
      <c r="C870" s="6">
        <f>IFERROR(__xludf.DUMMYFUNCTION("""COMPUTED_VALUE"""),0.3998)</f>
        <v>0.3998</v>
      </c>
      <c r="D870" s="2">
        <f>IFERROR(__xludf.DUMMYFUNCTION("""COMPUTED_VALUE"""),0.0019212962962962964)</f>
        <v>0.001921296296</v>
      </c>
      <c r="E870" s="1">
        <f>IFERROR(__xludf.DUMMYFUNCTION("""COMPUTED_VALUE"""),1.12)</f>
        <v>1.12</v>
      </c>
      <c r="F870" s="1">
        <f>IFERROR(__xludf.DUMMYFUNCTION("""COMPUTED_VALUE"""),5.27)</f>
        <v>5.27</v>
      </c>
      <c r="G870" s="5">
        <f>IFERROR(__xludf.DUMMYFUNCTION("""COMPUTED_VALUE"""),16829.0)</f>
        <v>16829</v>
      </c>
      <c r="H870" s="5">
        <f>IFERROR(__xludf.DUMMYFUNCTION("""COMPUTED_VALUE"""),3194.0)</f>
        <v>3194</v>
      </c>
    </row>
    <row r="871">
      <c r="A871" s="4">
        <f>IFERROR(__xludf.DUMMYFUNCTION("""COMPUTED_VALUE"""),43239.0)</f>
        <v>43239</v>
      </c>
      <c r="B871" s="5">
        <f>IFERROR(__xludf.DUMMYFUNCTION("""COMPUTED_VALUE"""),1763.0)</f>
        <v>1763</v>
      </c>
      <c r="C871" s="6">
        <f>IFERROR(__xludf.DUMMYFUNCTION("""COMPUTED_VALUE"""),0.5143)</f>
        <v>0.5143</v>
      </c>
      <c r="D871" s="2">
        <f>IFERROR(__xludf.DUMMYFUNCTION("""COMPUTED_VALUE"""),0.001238425925925926)</f>
        <v>0.001238425926</v>
      </c>
      <c r="E871" s="1">
        <f>IFERROR(__xludf.DUMMYFUNCTION("""COMPUTED_VALUE"""),1.13)</f>
        <v>1.13</v>
      </c>
      <c r="F871" s="1">
        <f>IFERROR(__xludf.DUMMYFUNCTION("""COMPUTED_VALUE"""),4.41)</f>
        <v>4.41</v>
      </c>
      <c r="G871" s="5">
        <f>IFERROR(__xludf.DUMMYFUNCTION("""COMPUTED_VALUE"""),8817.0)</f>
        <v>8817</v>
      </c>
      <c r="H871" s="5">
        <f>IFERROR(__xludf.DUMMYFUNCTION("""COMPUTED_VALUE"""),1999.0)</f>
        <v>1999</v>
      </c>
    </row>
    <row r="872">
      <c r="A872" s="4">
        <f>IFERROR(__xludf.DUMMYFUNCTION("""COMPUTED_VALUE"""),43240.0)</f>
        <v>43240</v>
      </c>
      <c r="B872" s="5">
        <f>IFERROR(__xludf.DUMMYFUNCTION("""COMPUTED_VALUE"""),1944.0)</f>
        <v>1944</v>
      </c>
      <c r="C872" s="6">
        <f>IFERROR(__xludf.DUMMYFUNCTION("""COMPUTED_VALUE"""),0.4801)</f>
        <v>0.4801</v>
      </c>
      <c r="D872" s="2">
        <f>IFERROR(__xludf.DUMMYFUNCTION("""COMPUTED_VALUE"""),0.0014467592592592592)</f>
        <v>0.001446759259</v>
      </c>
      <c r="E872" s="1">
        <f>IFERROR(__xludf.DUMMYFUNCTION("""COMPUTED_VALUE"""),1.07)</f>
        <v>1.07</v>
      </c>
      <c r="F872" s="1">
        <f>IFERROR(__xludf.DUMMYFUNCTION("""COMPUTED_VALUE"""),4.61)</f>
        <v>4.61</v>
      </c>
      <c r="G872" s="5">
        <f>IFERROR(__xludf.DUMMYFUNCTION("""COMPUTED_VALUE"""),9609.0)</f>
        <v>9609</v>
      </c>
      <c r="H872" s="5">
        <f>IFERROR(__xludf.DUMMYFUNCTION("""COMPUTED_VALUE"""),2083.0)</f>
        <v>2083</v>
      </c>
    </row>
    <row r="873">
      <c r="A873" s="4">
        <f>IFERROR(__xludf.DUMMYFUNCTION("""COMPUTED_VALUE"""),43241.0)</f>
        <v>43241</v>
      </c>
      <c r="B873" s="5">
        <f>IFERROR(__xludf.DUMMYFUNCTION("""COMPUTED_VALUE"""),2819.0)</f>
        <v>2819</v>
      </c>
      <c r="C873" s="6">
        <f>IFERROR(__xludf.DUMMYFUNCTION("""COMPUTED_VALUE"""),0.4208)</f>
        <v>0.4208</v>
      </c>
      <c r="D873" s="2">
        <f>IFERROR(__xludf.DUMMYFUNCTION("""COMPUTED_VALUE"""),0.002002314814814815)</f>
        <v>0.002002314815</v>
      </c>
      <c r="E873" s="1">
        <f>IFERROR(__xludf.DUMMYFUNCTION("""COMPUTED_VALUE"""),1.18)</f>
        <v>1.18</v>
      </c>
      <c r="F873" s="1">
        <f>IFERROR(__xludf.DUMMYFUNCTION("""COMPUTED_VALUE"""),4.53)</f>
        <v>4.53</v>
      </c>
      <c r="G873" s="5">
        <f>IFERROR(__xludf.DUMMYFUNCTION("""COMPUTED_VALUE"""),15080.0)</f>
        <v>15080</v>
      </c>
      <c r="H873" s="5">
        <f>IFERROR(__xludf.DUMMYFUNCTION("""COMPUTED_VALUE"""),3332.0)</f>
        <v>3332</v>
      </c>
    </row>
    <row r="874">
      <c r="A874" s="4">
        <f>IFERROR(__xludf.DUMMYFUNCTION("""COMPUTED_VALUE"""),43242.0)</f>
        <v>43242</v>
      </c>
      <c r="B874" s="5">
        <f>IFERROR(__xludf.DUMMYFUNCTION("""COMPUTED_VALUE"""),3332.0)</f>
        <v>3332</v>
      </c>
      <c r="C874" s="6">
        <f>IFERROR(__xludf.DUMMYFUNCTION("""COMPUTED_VALUE"""),0.3772)</f>
        <v>0.3772</v>
      </c>
      <c r="D874" s="2">
        <f>IFERROR(__xludf.DUMMYFUNCTION("""COMPUTED_VALUE"""),0.0021064814814814813)</f>
        <v>0.002106481481</v>
      </c>
      <c r="E874" s="1">
        <f>IFERROR(__xludf.DUMMYFUNCTION("""COMPUTED_VALUE"""),1.14)</f>
        <v>1.14</v>
      </c>
      <c r="F874" s="1">
        <f>IFERROR(__xludf.DUMMYFUNCTION("""COMPUTED_VALUE"""),5.5)</f>
        <v>5.5</v>
      </c>
      <c r="G874" s="5">
        <f>IFERROR(__xludf.DUMMYFUNCTION("""COMPUTED_VALUE"""),20842.0)</f>
        <v>20842</v>
      </c>
      <c r="H874" s="5">
        <f>IFERROR(__xludf.DUMMYFUNCTION("""COMPUTED_VALUE"""),3791.0)</f>
        <v>3791</v>
      </c>
    </row>
    <row r="875">
      <c r="A875" s="4">
        <f>IFERROR(__xludf.DUMMYFUNCTION("""COMPUTED_VALUE"""),43243.0)</f>
        <v>43243</v>
      </c>
      <c r="B875" s="5">
        <f>IFERROR(__xludf.DUMMYFUNCTION("""COMPUTED_VALUE"""),3013.0)</f>
        <v>3013</v>
      </c>
      <c r="C875" s="6">
        <f>IFERROR(__xludf.DUMMYFUNCTION("""COMPUTED_VALUE"""),0.3333)</f>
        <v>0.3333</v>
      </c>
      <c r="D875" s="2">
        <f>IFERROR(__xludf.DUMMYFUNCTION("""COMPUTED_VALUE"""),0.0021412037037037038)</f>
        <v>0.002141203704</v>
      </c>
      <c r="E875" s="1">
        <f>IFERROR(__xludf.DUMMYFUNCTION("""COMPUTED_VALUE"""),1.2)</f>
        <v>1.2</v>
      </c>
      <c r="F875" s="1">
        <f>IFERROR(__xludf.DUMMYFUNCTION("""COMPUTED_VALUE"""),5.57)</f>
        <v>5.57</v>
      </c>
      <c r="G875" s="5">
        <f>IFERROR(__xludf.DUMMYFUNCTION("""COMPUTED_VALUE"""),20203.0)</f>
        <v>20203</v>
      </c>
      <c r="H875" s="5">
        <f>IFERROR(__xludf.DUMMYFUNCTION("""COMPUTED_VALUE"""),3624.0)</f>
        <v>3624</v>
      </c>
    </row>
    <row r="876">
      <c r="A876" s="4">
        <f>IFERROR(__xludf.DUMMYFUNCTION("""COMPUTED_VALUE"""),43244.0)</f>
        <v>43244</v>
      </c>
      <c r="B876" s="5">
        <f>IFERROR(__xludf.DUMMYFUNCTION("""COMPUTED_VALUE"""),2999.0)</f>
        <v>2999</v>
      </c>
      <c r="C876" s="6">
        <f>IFERROR(__xludf.DUMMYFUNCTION("""COMPUTED_VALUE"""),0.4266)</f>
        <v>0.4266</v>
      </c>
      <c r="D876" s="2">
        <f>IFERROR(__xludf.DUMMYFUNCTION("""COMPUTED_VALUE"""),0.0021180555555555558)</f>
        <v>0.002118055556</v>
      </c>
      <c r="E876" s="1">
        <f>IFERROR(__xludf.DUMMYFUNCTION("""COMPUTED_VALUE"""),1.11)</f>
        <v>1.11</v>
      </c>
      <c r="F876" s="1">
        <f>IFERROR(__xludf.DUMMYFUNCTION("""COMPUTED_VALUE"""),5.12)</f>
        <v>5.12</v>
      </c>
      <c r="G876" s="5">
        <f>IFERROR(__xludf.DUMMYFUNCTION("""COMPUTED_VALUE"""),16996.0)</f>
        <v>16996</v>
      </c>
      <c r="H876" s="5">
        <f>IFERROR(__xludf.DUMMYFUNCTION("""COMPUTED_VALUE"""),3319.0)</f>
        <v>3319</v>
      </c>
    </row>
    <row r="877">
      <c r="A877" s="4">
        <f>IFERROR(__xludf.DUMMYFUNCTION("""COMPUTED_VALUE"""),43245.0)</f>
        <v>43245</v>
      </c>
      <c r="B877" s="5">
        <f>IFERROR(__xludf.DUMMYFUNCTION("""COMPUTED_VALUE"""),2472.0)</f>
        <v>2472</v>
      </c>
      <c r="C877" s="6">
        <f>IFERROR(__xludf.DUMMYFUNCTION("""COMPUTED_VALUE"""),0.4271)</f>
        <v>0.4271</v>
      </c>
      <c r="D877" s="2">
        <f>IFERROR(__xludf.DUMMYFUNCTION("""COMPUTED_VALUE"""),0.0016898148148148148)</f>
        <v>0.001689814815</v>
      </c>
      <c r="E877" s="1">
        <f>IFERROR(__xludf.DUMMYFUNCTION("""COMPUTED_VALUE"""),1.12)</f>
        <v>1.12</v>
      </c>
      <c r="F877" s="1">
        <f>IFERROR(__xludf.DUMMYFUNCTION("""COMPUTED_VALUE"""),4.75)</f>
        <v>4.75</v>
      </c>
      <c r="G877" s="5">
        <f>IFERROR(__xludf.DUMMYFUNCTION("""COMPUTED_VALUE"""),13136.0)</f>
        <v>13136</v>
      </c>
      <c r="H877" s="5">
        <f>IFERROR(__xludf.DUMMYFUNCTION("""COMPUTED_VALUE"""),2763.0)</f>
        <v>2763</v>
      </c>
    </row>
    <row r="878">
      <c r="A878" s="4">
        <f>IFERROR(__xludf.DUMMYFUNCTION("""COMPUTED_VALUE"""),43246.0)</f>
        <v>43246</v>
      </c>
      <c r="B878" s="5">
        <f>IFERROR(__xludf.DUMMYFUNCTION("""COMPUTED_VALUE"""),1847.0)</f>
        <v>1847</v>
      </c>
      <c r="C878" s="6">
        <f>IFERROR(__xludf.DUMMYFUNCTION("""COMPUTED_VALUE"""),0.5292)</f>
        <v>0.5292</v>
      </c>
      <c r="D878" s="2">
        <f>IFERROR(__xludf.DUMMYFUNCTION("""COMPUTED_VALUE"""),0.0014814814814814814)</f>
        <v>0.001481481481</v>
      </c>
      <c r="E878" s="1">
        <f>IFERROR(__xludf.DUMMYFUNCTION("""COMPUTED_VALUE"""),1.04)</f>
        <v>1.04</v>
      </c>
      <c r="F878" s="1">
        <f>IFERROR(__xludf.DUMMYFUNCTION("""COMPUTED_VALUE"""),4.13)</f>
        <v>4.13</v>
      </c>
      <c r="G878" s="5">
        <f>IFERROR(__xludf.DUMMYFUNCTION("""COMPUTED_VALUE"""),7915.0)</f>
        <v>7915</v>
      </c>
      <c r="H878" s="5">
        <f>IFERROR(__xludf.DUMMYFUNCTION("""COMPUTED_VALUE"""),1916.0)</f>
        <v>1916</v>
      </c>
    </row>
    <row r="879">
      <c r="A879" s="4">
        <f>IFERROR(__xludf.DUMMYFUNCTION("""COMPUTED_VALUE"""),43247.0)</f>
        <v>43247</v>
      </c>
      <c r="B879" s="5">
        <f>IFERROR(__xludf.DUMMYFUNCTION("""COMPUTED_VALUE"""),1916.0)</f>
        <v>1916</v>
      </c>
      <c r="C879" s="6">
        <f>IFERROR(__xludf.DUMMYFUNCTION("""COMPUTED_VALUE"""),0.4472)</f>
        <v>0.4472</v>
      </c>
      <c r="D879" s="2">
        <f>IFERROR(__xludf.DUMMYFUNCTION("""COMPUTED_VALUE"""),0.0016898148148148148)</f>
        <v>0.001689814815</v>
      </c>
      <c r="E879" s="1">
        <f>IFERROR(__xludf.DUMMYFUNCTION("""COMPUTED_VALUE"""),1.1)</f>
        <v>1.1</v>
      </c>
      <c r="F879" s="1">
        <f>IFERROR(__xludf.DUMMYFUNCTION("""COMPUTED_VALUE"""),4.28)</f>
        <v>4.28</v>
      </c>
      <c r="G879" s="5">
        <f>IFERROR(__xludf.DUMMYFUNCTION("""COMPUTED_VALUE"""),9025.0)</f>
        <v>9025</v>
      </c>
      <c r="H879" s="5">
        <f>IFERROR(__xludf.DUMMYFUNCTION("""COMPUTED_VALUE"""),2111.0)</f>
        <v>2111</v>
      </c>
    </row>
    <row r="880">
      <c r="A880" s="4">
        <f>IFERROR(__xludf.DUMMYFUNCTION("""COMPUTED_VALUE"""),43248.0)</f>
        <v>43248</v>
      </c>
      <c r="B880" s="5">
        <f>IFERROR(__xludf.DUMMYFUNCTION("""COMPUTED_VALUE"""),2249.0)</f>
        <v>2249</v>
      </c>
      <c r="C880" s="6">
        <f>IFERROR(__xludf.DUMMYFUNCTION("""COMPUTED_VALUE"""),0.5594)</f>
        <v>0.5594</v>
      </c>
      <c r="D880" s="2">
        <f>IFERROR(__xludf.DUMMYFUNCTION("""COMPUTED_VALUE"""),0.001400462962962963)</f>
        <v>0.001400462963</v>
      </c>
      <c r="E880" s="1">
        <f>IFERROR(__xludf.DUMMYFUNCTION("""COMPUTED_VALUE"""),1.09)</f>
        <v>1.09</v>
      </c>
      <c r="F880" s="1">
        <f>IFERROR(__xludf.DUMMYFUNCTION("""COMPUTED_VALUE"""),3.41)</f>
        <v>3.41</v>
      </c>
      <c r="G880" s="5">
        <f>IFERROR(__xludf.DUMMYFUNCTION("""COMPUTED_VALUE"""),8387.0)</f>
        <v>8387</v>
      </c>
      <c r="H880" s="5">
        <f>IFERROR(__xludf.DUMMYFUNCTION("""COMPUTED_VALUE"""),2458.0)</f>
        <v>2458</v>
      </c>
    </row>
    <row r="881">
      <c r="A881" s="4">
        <f>IFERROR(__xludf.DUMMYFUNCTION("""COMPUTED_VALUE"""),43249.0)</f>
        <v>43249</v>
      </c>
      <c r="B881" s="5">
        <f>IFERROR(__xludf.DUMMYFUNCTION("""COMPUTED_VALUE"""),2958.0)</f>
        <v>2958</v>
      </c>
      <c r="C881" s="6">
        <f>IFERROR(__xludf.DUMMYFUNCTION("""COMPUTED_VALUE"""),0.4026)</f>
        <v>0.4026</v>
      </c>
      <c r="D881" s="2">
        <f>IFERROR(__xludf.DUMMYFUNCTION("""COMPUTED_VALUE"""),0.0022453703703703702)</f>
        <v>0.00224537037</v>
      </c>
      <c r="E881" s="1">
        <f>IFERROR(__xludf.DUMMYFUNCTION("""COMPUTED_VALUE"""),1.13)</f>
        <v>1.13</v>
      </c>
      <c r="F881" s="1">
        <f>IFERROR(__xludf.DUMMYFUNCTION("""COMPUTED_VALUE"""),4.83)</f>
        <v>4.83</v>
      </c>
      <c r="G881" s="5">
        <f>IFERROR(__xludf.DUMMYFUNCTION("""COMPUTED_VALUE"""),16163.0)</f>
        <v>16163</v>
      </c>
      <c r="H881" s="5">
        <f>IFERROR(__xludf.DUMMYFUNCTION("""COMPUTED_VALUE"""),3346.0)</f>
        <v>3346</v>
      </c>
    </row>
    <row r="882">
      <c r="A882" s="4">
        <f>IFERROR(__xludf.DUMMYFUNCTION("""COMPUTED_VALUE"""),43250.0)</f>
        <v>43250</v>
      </c>
      <c r="B882" s="5">
        <f>IFERROR(__xludf.DUMMYFUNCTION("""COMPUTED_VALUE"""),2833.0)</f>
        <v>2833</v>
      </c>
      <c r="C882" s="6">
        <f>IFERROR(__xludf.DUMMYFUNCTION("""COMPUTED_VALUE"""),0.4092)</f>
        <v>0.4092</v>
      </c>
      <c r="D882" s="2">
        <f>IFERROR(__xludf.DUMMYFUNCTION("""COMPUTED_VALUE"""),0.0021875)</f>
        <v>0.0021875</v>
      </c>
      <c r="E882" s="1">
        <f>IFERROR(__xludf.DUMMYFUNCTION("""COMPUTED_VALUE"""),1.08)</f>
        <v>1.08</v>
      </c>
      <c r="F882" s="1">
        <f>IFERROR(__xludf.DUMMYFUNCTION("""COMPUTED_VALUE"""),4.16)</f>
        <v>4.16</v>
      </c>
      <c r="G882" s="5">
        <f>IFERROR(__xludf.DUMMYFUNCTION("""COMPUTED_VALUE"""),12705.0)</f>
        <v>12705</v>
      </c>
      <c r="H882" s="5">
        <f>IFERROR(__xludf.DUMMYFUNCTION("""COMPUTED_VALUE"""),3055.0)</f>
        <v>3055</v>
      </c>
    </row>
    <row r="883">
      <c r="A883" s="4">
        <f>IFERROR(__xludf.DUMMYFUNCTION("""COMPUTED_VALUE"""),43251.0)</f>
        <v>43251</v>
      </c>
      <c r="B883" s="5">
        <f>IFERROR(__xludf.DUMMYFUNCTION("""COMPUTED_VALUE"""),2763.0)</f>
        <v>2763</v>
      </c>
      <c r="C883" s="6">
        <f>IFERROR(__xludf.DUMMYFUNCTION("""COMPUTED_VALUE"""),0.4505)</f>
        <v>0.4505</v>
      </c>
      <c r="D883" s="2">
        <f>IFERROR(__xludf.DUMMYFUNCTION("""COMPUTED_VALUE"""),0.001990740740740741)</f>
        <v>0.001990740741</v>
      </c>
      <c r="E883" s="1">
        <f>IFERROR(__xludf.DUMMYFUNCTION("""COMPUTED_VALUE"""),1.12)</f>
        <v>1.12</v>
      </c>
      <c r="F883" s="1">
        <f>IFERROR(__xludf.DUMMYFUNCTION("""COMPUTED_VALUE"""),4.87)</f>
        <v>4.87</v>
      </c>
      <c r="G883" s="5">
        <f>IFERROR(__xludf.DUMMYFUNCTION("""COMPUTED_VALUE"""),15024.0)</f>
        <v>15024</v>
      </c>
      <c r="H883" s="5">
        <f>IFERROR(__xludf.DUMMYFUNCTION("""COMPUTED_VALUE"""),3083.0)</f>
        <v>3083</v>
      </c>
    </row>
    <row r="884">
      <c r="A884" s="4">
        <f>IFERROR(__xludf.DUMMYFUNCTION("""COMPUTED_VALUE"""),43252.0)</f>
        <v>43252</v>
      </c>
      <c r="B884" s="5">
        <f>IFERROR(__xludf.DUMMYFUNCTION("""COMPUTED_VALUE"""),2999.0)</f>
        <v>2999</v>
      </c>
      <c r="C884" s="6">
        <f>IFERROR(__xludf.DUMMYFUNCTION("""COMPUTED_VALUE"""),0.3495)</f>
        <v>0.3495</v>
      </c>
      <c r="D884" s="2">
        <f>IFERROR(__xludf.DUMMYFUNCTION("""COMPUTED_VALUE"""),0.0018287037037037037)</f>
        <v>0.001828703704</v>
      </c>
      <c r="E884" s="1">
        <f>IFERROR(__xludf.DUMMYFUNCTION("""COMPUTED_VALUE"""),1.14)</f>
        <v>1.14</v>
      </c>
      <c r="F884" s="1">
        <f>IFERROR(__xludf.DUMMYFUNCTION("""COMPUTED_VALUE"""),5.56)</f>
        <v>5.56</v>
      </c>
      <c r="G884" s="5">
        <f>IFERROR(__xludf.DUMMYFUNCTION("""COMPUTED_VALUE"""),18995.0)</f>
        <v>18995</v>
      </c>
      <c r="H884" s="5">
        <f>IFERROR(__xludf.DUMMYFUNCTION("""COMPUTED_VALUE"""),3416.0)</f>
        <v>3416</v>
      </c>
    </row>
    <row r="885">
      <c r="A885" s="4">
        <f>IFERROR(__xludf.DUMMYFUNCTION("""COMPUTED_VALUE"""),43253.0)</f>
        <v>43253</v>
      </c>
      <c r="B885" s="5">
        <f>IFERROR(__xludf.DUMMYFUNCTION("""COMPUTED_VALUE"""),1944.0)</f>
        <v>1944</v>
      </c>
      <c r="C885" s="6">
        <f>IFERROR(__xludf.DUMMYFUNCTION("""COMPUTED_VALUE"""),0.4681)</f>
        <v>0.4681</v>
      </c>
      <c r="D885" s="2">
        <f>IFERROR(__xludf.DUMMYFUNCTION("""COMPUTED_VALUE"""),0.0016087962962962963)</f>
        <v>0.001608796296</v>
      </c>
      <c r="E885" s="1">
        <f>IFERROR(__xludf.DUMMYFUNCTION("""COMPUTED_VALUE"""),1.11)</f>
        <v>1.11</v>
      </c>
      <c r="F885" s="1">
        <f>IFERROR(__xludf.DUMMYFUNCTION("""COMPUTED_VALUE"""),4.33)</f>
        <v>4.33</v>
      </c>
      <c r="G885" s="5">
        <f>IFERROR(__xludf.DUMMYFUNCTION("""COMPUTED_VALUE"""),9387.0)</f>
        <v>9387</v>
      </c>
      <c r="H885" s="5">
        <f>IFERROR(__xludf.DUMMYFUNCTION("""COMPUTED_VALUE"""),2166.0)</f>
        <v>2166</v>
      </c>
    </row>
    <row r="886">
      <c r="A886" s="4">
        <f>IFERROR(__xludf.DUMMYFUNCTION("""COMPUTED_VALUE"""),43254.0)</f>
        <v>43254</v>
      </c>
      <c r="B886" s="5">
        <f>IFERROR(__xludf.DUMMYFUNCTION("""COMPUTED_VALUE"""),2069.0)</f>
        <v>2069</v>
      </c>
      <c r="C886" s="6">
        <f>IFERROR(__xludf.DUMMYFUNCTION("""COMPUTED_VALUE"""),0.4662)</f>
        <v>0.4662</v>
      </c>
      <c r="D886" s="2">
        <f>IFERROR(__xludf.DUMMYFUNCTION("""COMPUTED_VALUE"""),0.0021759259259259258)</f>
        <v>0.002175925926</v>
      </c>
      <c r="E886" s="1">
        <f>IFERROR(__xludf.DUMMYFUNCTION("""COMPUTED_VALUE"""),1.09)</f>
        <v>1.09</v>
      </c>
      <c r="F886" s="1">
        <f>IFERROR(__xludf.DUMMYFUNCTION("""COMPUTED_VALUE"""),4.86)</f>
        <v>4.86</v>
      </c>
      <c r="G886" s="5">
        <f>IFERROR(__xludf.DUMMYFUNCTION("""COMPUTED_VALUE"""),10997.0)</f>
        <v>10997</v>
      </c>
      <c r="H886" s="5">
        <f>IFERROR(__xludf.DUMMYFUNCTION("""COMPUTED_VALUE"""),2263.0)</f>
        <v>2263</v>
      </c>
    </row>
    <row r="887">
      <c r="A887" s="4">
        <f>IFERROR(__xludf.DUMMYFUNCTION("""COMPUTED_VALUE"""),43255.0)</f>
        <v>43255</v>
      </c>
      <c r="B887" s="5">
        <f>IFERROR(__xludf.DUMMYFUNCTION("""COMPUTED_VALUE"""),3360.0)</f>
        <v>3360</v>
      </c>
      <c r="C887" s="6">
        <f>IFERROR(__xludf.DUMMYFUNCTION("""COMPUTED_VALUE"""),0.4361)</f>
        <v>0.4361</v>
      </c>
      <c r="D887" s="2">
        <f>IFERROR(__xludf.DUMMYFUNCTION("""COMPUTED_VALUE"""),0.002384259259259259)</f>
        <v>0.002384259259</v>
      </c>
      <c r="E887" s="1">
        <f>IFERROR(__xludf.DUMMYFUNCTION("""COMPUTED_VALUE"""),1.1)</f>
        <v>1.1</v>
      </c>
      <c r="F887" s="1">
        <f>IFERROR(__xludf.DUMMYFUNCTION("""COMPUTED_VALUE"""),4.49)</f>
        <v>4.49</v>
      </c>
      <c r="G887" s="5">
        <f>IFERROR(__xludf.DUMMYFUNCTION("""COMPUTED_VALUE"""),16593.0)</f>
        <v>16593</v>
      </c>
      <c r="H887" s="5">
        <f>IFERROR(__xludf.DUMMYFUNCTION("""COMPUTED_VALUE"""),3694.0)</f>
        <v>3694</v>
      </c>
    </row>
    <row r="888">
      <c r="A888" s="4">
        <f>IFERROR(__xludf.DUMMYFUNCTION("""COMPUTED_VALUE"""),43256.0)</f>
        <v>43256</v>
      </c>
      <c r="B888" s="5">
        <f>IFERROR(__xludf.DUMMYFUNCTION("""COMPUTED_VALUE"""),3110.0)</f>
        <v>3110</v>
      </c>
      <c r="C888" s="6">
        <f>IFERROR(__xludf.DUMMYFUNCTION("""COMPUTED_VALUE"""),0.4143)</f>
        <v>0.4143</v>
      </c>
      <c r="D888" s="2">
        <f>IFERROR(__xludf.DUMMYFUNCTION("""COMPUTED_VALUE"""),0.0018865740740740742)</f>
        <v>0.001886574074</v>
      </c>
      <c r="E888" s="1">
        <f>IFERROR(__xludf.DUMMYFUNCTION("""COMPUTED_VALUE"""),1.12)</f>
        <v>1.12</v>
      </c>
      <c r="F888" s="1">
        <f>IFERROR(__xludf.DUMMYFUNCTION("""COMPUTED_VALUE"""),4.4)</f>
        <v>4.4</v>
      </c>
      <c r="G888" s="5">
        <f>IFERROR(__xludf.DUMMYFUNCTION("""COMPUTED_VALUE"""),15343.0)</f>
        <v>15343</v>
      </c>
      <c r="H888" s="5">
        <f>IFERROR(__xludf.DUMMYFUNCTION("""COMPUTED_VALUE"""),3485.0)</f>
        <v>3485</v>
      </c>
    </row>
    <row r="889">
      <c r="A889" s="4">
        <f>IFERROR(__xludf.DUMMYFUNCTION("""COMPUTED_VALUE"""),43257.0)</f>
        <v>43257</v>
      </c>
      <c r="B889" s="5">
        <f>IFERROR(__xludf.DUMMYFUNCTION("""COMPUTED_VALUE"""),3249.0)</f>
        <v>3249</v>
      </c>
      <c r="C889" s="6">
        <f>IFERROR(__xludf.DUMMYFUNCTION("""COMPUTED_VALUE"""),0.502)</f>
        <v>0.502</v>
      </c>
      <c r="D889" s="2">
        <f>IFERROR(__xludf.DUMMYFUNCTION("""COMPUTED_VALUE"""),0.001574074074074074)</f>
        <v>0.001574074074</v>
      </c>
      <c r="E889" s="1">
        <f>IFERROR(__xludf.DUMMYFUNCTION("""COMPUTED_VALUE"""),1.15)</f>
        <v>1.15</v>
      </c>
      <c r="F889" s="1">
        <f>IFERROR(__xludf.DUMMYFUNCTION("""COMPUTED_VALUE"""),4.02)</f>
        <v>4.02</v>
      </c>
      <c r="G889" s="5">
        <f>IFERROR(__xludf.DUMMYFUNCTION("""COMPUTED_VALUE"""),15010.0)</f>
        <v>15010</v>
      </c>
      <c r="H889" s="5">
        <f>IFERROR(__xludf.DUMMYFUNCTION("""COMPUTED_VALUE"""),3735.0)</f>
        <v>3735</v>
      </c>
    </row>
    <row r="890">
      <c r="A890" s="4">
        <f>IFERROR(__xludf.DUMMYFUNCTION("""COMPUTED_VALUE"""),43258.0)</f>
        <v>43258</v>
      </c>
      <c r="B890" s="5">
        <f>IFERROR(__xludf.DUMMYFUNCTION("""COMPUTED_VALUE"""),3041.0)</f>
        <v>3041</v>
      </c>
      <c r="C890" s="6">
        <f>IFERROR(__xludf.DUMMYFUNCTION("""COMPUTED_VALUE"""),0.4999)</f>
        <v>0.4999</v>
      </c>
      <c r="D890" s="2">
        <f>IFERROR(__xludf.DUMMYFUNCTION("""COMPUTED_VALUE"""),0.001736111111111111)</f>
        <v>0.001736111111</v>
      </c>
      <c r="E890" s="1">
        <f>IFERROR(__xludf.DUMMYFUNCTION("""COMPUTED_VALUE"""),1.17)</f>
        <v>1.17</v>
      </c>
      <c r="F890" s="1">
        <f>IFERROR(__xludf.DUMMYFUNCTION("""COMPUTED_VALUE"""),4.09)</f>
        <v>4.09</v>
      </c>
      <c r="G890" s="5">
        <f>IFERROR(__xludf.DUMMYFUNCTION("""COMPUTED_VALUE"""),14524.0)</f>
        <v>14524</v>
      </c>
      <c r="H890" s="5">
        <f>IFERROR(__xludf.DUMMYFUNCTION("""COMPUTED_VALUE"""),3555.0)</f>
        <v>3555</v>
      </c>
    </row>
    <row r="891">
      <c r="A891" s="4">
        <f>IFERROR(__xludf.DUMMYFUNCTION("""COMPUTED_VALUE"""),43259.0)</f>
        <v>43259</v>
      </c>
      <c r="B891" s="5">
        <f>IFERROR(__xludf.DUMMYFUNCTION("""COMPUTED_VALUE"""),2583.0)</f>
        <v>2583</v>
      </c>
      <c r="C891" s="6">
        <f>IFERROR(__xludf.DUMMYFUNCTION("""COMPUTED_VALUE"""),0.4653)</f>
        <v>0.4653</v>
      </c>
      <c r="D891" s="2">
        <f>IFERROR(__xludf.DUMMYFUNCTION("""COMPUTED_VALUE"""),0.0024652777777777776)</f>
        <v>0.002465277778</v>
      </c>
      <c r="E891" s="1">
        <f>IFERROR(__xludf.DUMMYFUNCTION("""COMPUTED_VALUE"""),1.16)</f>
        <v>1.16</v>
      </c>
      <c r="F891" s="1">
        <f>IFERROR(__xludf.DUMMYFUNCTION("""COMPUTED_VALUE"""),4.94)</f>
        <v>4.94</v>
      </c>
      <c r="G891" s="5">
        <f>IFERROR(__xludf.DUMMYFUNCTION("""COMPUTED_VALUE"""),14760.0)</f>
        <v>14760</v>
      </c>
      <c r="H891" s="5">
        <f>IFERROR(__xludf.DUMMYFUNCTION("""COMPUTED_VALUE"""),2985.0)</f>
        <v>2985</v>
      </c>
    </row>
    <row r="892">
      <c r="A892" s="4">
        <f>IFERROR(__xludf.DUMMYFUNCTION("""COMPUTED_VALUE"""),43260.0)</f>
        <v>43260</v>
      </c>
      <c r="B892" s="5">
        <f>IFERROR(__xludf.DUMMYFUNCTION("""COMPUTED_VALUE"""),1916.0)</f>
        <v>1916</v>
      </c>
      <c r="C892" s="6">
        <f>IFERROR(__xludf.DUMMYFUNCTION("""COMPUTED_VALUE"""),0.4998)</f>
        <v>0.4998</v>
      </c>
      <c r="D892" s="2">
        <f>IFERROR(__xludf.DUMMYFUNCTION("""COMPUTED_VALUE"""),0.0016666666666666668)</f>
        <v>0.001666666667</v>
      </c>
      <c r="E892" s="1">
        <f>IFERROR(__xludf.DUMMYFUNCTION("""COMPUTED_VALUE"""),1.09)</f>
        <v>1.09</v>
      </c>
      <c r="F892" s="1">
        <f>IFERROR(__xludf.DUMMYFUNCTION("""COMPUTED_VALUE"""),4.07)</f>
        <v>4.07</v>
      </c>
      <c r="G892" s="5">
        <f>IFERROR(__xludf.DUMMYFUNCTION("""COMPUTED_VALUE"""),8470.0)</f>
        <v>8470</v>
      </c>
      <c r="H892" s="5">
        <f>IFERROR(__xludf.DUMMYFUNCTION("""COMPUTED_VALUE"""),2083.0)</f>
        <v>2083</v>
      </c>
    </row>
    <row r="893">
      <c r="A893" s="4">
        <f>IFERROR(__xludf.DUMMYFUNCTION("""COMPUTED_VALUE"""),43261.0)</f>
        <v>43261</v>
      </c>
      <c r="B893" s="5">
        <f>IFERROR(__xludf.DUMMYFUNCTION("""COMPUTED_VALUE"""),1930.0)</f>
        <v>1930</v>
      </c>
      <c r="C893" s="6">
        <f>IFERROR(__xludf.DUMMYFUNCTION("""COMPUTED_VALUE"""),0.4405)</f>
        <v>0.4405</v>
      </c>
      <c r="D893" s="2">
        <f>IFERROR(__xludf.DUMMYFUNCTION("""COMPUTED_VALUE"""),0.0020486111111111113)</f>
        <v>0.002048611111</v>
      </c>
      <c r="E893" s="1">
        <f>IFERROR(__xludf.DUMMYFUNCTION("""COMPUTED_VALUE"""),1.09)</f>
        <v>1.09</v>
      </c>
      <c r="F893" s="1">
        <f>IFERROR(__xludf.DUMMYFUNCTION("""COMPUTED_VALUE"""),5.12)</f>
        <v>5.12</v>
      </c>
      <c r="G893" s="5">
        <f>IFERROR(__xludf.DUMMYFUNCTION("""COMPUTED_VALUE"""),10803.0)</f>
        <v>10803</v>
      </c>
      <c r="H893" s="5">
        <f>IFERROR(__xludf.DUMMYFUNCTION("""COMPUTED_VALUE"""),2111.0)</f>
        <v>2111</v>
      </c>
    </row>
    <row r="894">
      <c r="A894" s="4">
        <f>IFERROR(__xludf.DUMMYFUNCTION("""COMPUTED_VALUE"""),43262.0)</f>
        <v>43262</v>
      </c>
      <c r="B894" s="5">
        <f>IFERROR(__xludf.DUMMYFUNCTION("""COMPUTED_VALUE"""),2860.0)</f>
        <v>2860</v>
      </c>
      <c r="C894" s="6">
        <f>IFERROR(__xludf.DUMMYFUNCTION("""COMPUTED_VALUE"""),0.4303)</f>
        <v>0.4303</v>
      </c>
      <c r="D894" s="2">
        <f>IFERROR(__xludf.DUMMYFUNCTION("""COMPUTED_VALUE"""),0.002025462962962963)</f>
        <v>0.002025462963</v>
      </c>
      <c r="E894" s="1">
        <f>IFERROR(__xludf.DUMMYFUNCTION("""COMPUTED_VALUE"""),1.15)</f>
        <v>1.15</v>
      </c>
      <c r="F894" s="1">
        <f>IFERROR(__xludf.DUMMYFUNCTION("""COMPUTED_VALUE"""),5.19)</f>
        <v>5.19</v>
      </c>
      <c r="G894" s="5">
        <f>IFERROR(__xludf.DUMMYFUNCTION("""COMPUTED_VALUE"""),17079.0)</f>
        <v>17079</v>
      </c>
      <c r="H894" s="5">
        <f>IFERROR(__xludf.DUMMYFUNCTION("""COMPUTED_VALUE"""),3291.0)</f>
        <v>3291</v>
      </c>
    </row>
    <row r="895">
      <c r="A895" s="4">
        <f>IFERROR(__xludf.DUMMYFUNCTION("""COMPUTED_VALUE"""),43263.0)</f>
        <v>43263</v>
      </c>
      <c r="B895" s="5">
        <f>IFERROR(__xludf.DUMMYFUNCTION("""COMPUTED_VALUE"""),2902.0)</f>
        <v>2902</v>
      </c>
      <c r="C895" s="6">
        <f>IFERROR(__xludf.DUMMYFUNCTION("""COMPUTED_VALUE"""),0.3713)</f>
        <v>0.3713</v>
      </c>
      <c r="D895" s="2">
        <f>IFERROR(__xludf.DUMMYFUNCTION("""COMPUTED_VALUE"""),0.001863425925925926)</f>
        <v>0.001863425926</v>
      </c>
      <c r="E895" s="1">
        <f>IFERROR(__xludf.DUMMYFUNCTION("""COMPUTED_VALUE"""),1.13)</f>
        <v>1.13</v>
      </c>
      <c r="F895" s="1">
        <f>IFERROR(__xludf.DUMMYFUNCTION("""COMPUTED_VALUE"""),4.65)</f>
        <v>4.65</v>
      </c>
      <c r="G895" s="5">
        <f>IFERROR(__xludf.DUMMYFUNCTION("""COMPUTED_VALUE"""),15302.0)</f>
        <v>15302</v>
      </c>
      <c r="H895" s="5">
        <f>IFERROR(__xludf.DUMMYFUNCTION("""COMPUTED_VALUE"""),3291.0)</f>
        <v>3291</v>
      </c>
    </row>
    <row r="896">
      <c r="A896" s="4">
        <f>IFERROR(__xludf.DUMMYFUNCTION("""COMPUTED_VALUE"""),43264.0)</f>
        <v>43264</v>
      </c>
      <c r="B896" s="5">
        <f>IFERROR(__xludf.DUMMYFUNCTION("""COMPUTED_VALUE"""),2666.0)</f>
        <v>2666</v>
      </c>
      <c r="C896" s="6">
        <f>IFERROR(__xludf.DUMMYFUNCTION("""COMPUTED_VALUE"""),0.416)</f>
        <v>0.416</v>
      </c>
      <c r="D896" s="2">
        <f>IFERROR(__xludf.DUMMYFUNCTION("""COMPUTED_VALUE"""),0.0016666666666666668)</f>
        <v>0.001666666667</v>
      </c>
      <c r="E896" s="1">
        <f>IFERROR(__xludf.DUMMYFUNCTION("""COMPUTED_VALUE"""),1.11)</f>
        <v>1.11</v>
      </c>
      <c r="F896" s="1">
        <f>IFERROR(__xludf.DUMMYFUNCTION("""COMPUTED_VALUE"""),3.58)</f>
        <v>3.58</v>
      </c>
      <c r="G896" s="5">
        <f>IFERROR(__xludf.DUMMYFUNCTION("""COMPUTED_VALUE"""),10636.0)</f>
        <v>10636</v>
      </c>
      <c r="H896" s="5">
        <f>IFERROR(__xludf.DUMMYFUNCTION("""COMPUTED_VALUE"""),2971.0)</f>
        <v>2971</v>
      </c>
    </row>
    <row r="897">
      <c r="A897" s="4">
        <f>IFERROR(__xludf.DUMMYFUNCTION("""COMPUTED_VALUE"""),43265.0)</f>
        <v>43265</v>
      </c>
      <c r="B897" s="5">
        <f>IFERROR(__xludf.DUMMYFUNCTION("""COMPUTED_VALUE"""),2194.0)</f>
        <v>2194</v>
      </c>
      <c r="C897" s="6">
        <f>IFERROR(__xludf.DUMMYFUNCTION("""COMPUTED_VALUE"""),0.4137)</f>
        <v>0.4137</v>
      </c>
      <c r="D897" s="2">
        <f>IFERROR(__xludf.DUMMYFUNCTION("""COMPUTED_VALUE"""),0.0014467592592592592)</f>
        <v>0.001446759259</v>
      </c>
      <c r="E897" s="1">
        <f>IFERROR(__xludf.DUMMYFUNCTION("""COMPUTED_VALUE"""),1.21)</f>
        <v>1.21</v>
      </c>
      <c r="F897" s="1">
        <f>IFERROR(__xludf.DUMMYFUNCTION("""COMPUTED_VALUE"""),3.95)</f>
        <v>3.95</v>
      </c>
      <c r="G897" s="5">
        <f>IFERROR(__xludf.DUMMYFUNCTION("""COMPUTED_VALUE"""),10470.0)</f>
        <v>10470</v>
      </c>
      <c r="H897" s="5">
        <f>IFERROR(__xludf.DUMMYFUNCTION("""COMPUTED_VALUE"""),2652.0)</f>
        <v>2652</v>
      </c>
    </row>
    <row r="898">
      <c r="A898" s="4">
        <f>IFERROR(__xludf.DUMMYFUNCTION("""COMPUTED_VALUE"""),43266.0)</f>
        <v>43266</v>
      </c>
      <c r="B898" s="5">
        <f>IFERROR(__xludf.DUMMYFUNCTION("""COMPUTED_VALUE"""),1930.0)</f>
        <v>1930</v>
      </c>
      <c r="C898" s="6">
        <f>IFERROR(__xludf.DUMMYFUNCTION("""COMPUTED_VALUE"""),0.426)</f>
        <v>0.426</v>
      </c>
      <c r="D898" s="2">
        <f>IFERROR(__xludf.DUMMYFUNCTION("""COMPUTED_VALUE"""),0.0015625)</f>
        <v>0.0015625</v>
      </c>
      <c r="E898" s="1">
        <f>IFERROR(__xludf.DUMMYFUNCTION("""COMPUTED_VALUE"""),1.17)</f>
        <v>1.17</v>
      </c>
      <c r="F898" s="1">
        <f>IFERROR(__xludf.DUMMYFUNCTION("""COMPUTED_VALUE"""),4.42)</f>
        <v>4.42</v>
      </c>
      <c r="G898" s="5">
        <f>IFERROR(__xludf.DUMMYFUNCTION("""COMPUTED_VALUE"""),9942.0)</f>
        <v>9942</v>
      </c>
      <c r="H898" s="5">
        <f>IFERROR(__xludf.DUMMYFUNCTION("""COMPUTED_VALUE"""),2249.0)</f>
        <v>2249</v>
      </c>
    </row>
    <row r="899">
      <c r="A899" s="4">
        <f>IFERROR(__xludf.DUMMYFUNCTION("""COMPUTED_VALUE"""),43267.0)</f>
        <v>43267</v>
      </c>
      <c r="B899" s="5">
        <f>IFERROR(__xludf.DUMMYFUNCTION("""COMPUTED_VALUE"""),1389.0)</f>
        <v>1389</v>
      </c>
      <c r="C899" s="6">
        <f>IFERROR(__xludf.DUMMYFUNCTION("""COMPUTED_VALUE"""),0.4602)</f>
        <v>0.4602</v>
      </c>
      <c r="D899" s="2">
        <f>IFERROR(__xludf.DUMMYFUNCTION("""COMPUTED_VALUE"""),0.0017013888888888888)</f>
        <v>0.001701388889</v>
      </c>
      <c r="E899" s="1">
        <f>IFERROR(__xludf.DUMMYFUNCTION("""COMPUTED_VALUE"""),1.13)</f>
        <v>1.13</v>
      </c>
      <c r="F899" s="1">
        <f>IFERROR(__xludf.DUMMYFUNCTION("""COMPUTED_VALUE"""),4.98)</f>
        <v>4.98</v>
      </c>
      <c r="G899" s="5">
        <f>IFERROR(__xludf.DUMMYFUNCTION("""COMPUTED_VALUE"""),7817.0)</f>
        <v>7817</v>
      </c>
      <c r="H899" s="5">
        <f>IFERROR(__xludf.DUMMYFUNCTION("""COMPUTED_VALUE"""),1569.0)</f>
        <v>1569</v>
      </c>
    </row>
    <row r="900">
      <c r="A900" s="4">
        <f>IFERROR(__xludf.DUMMYFUNCTION("""COMPUTED_VALUE"""),43268.0)</f>
        <v>43268</v>
      </c>
      <c r="B900" s="5">
        <f>IFERROR(__xludf.DUMMYFUNCTION("""COMPUTED_VALUE"""),1541.0)</f>
        <v>1541</v>
      </c>
      <c r="C900" s="6">
        <f>IFERROR(__xludf.DUMMYFUNCTION("""COMPUTED_VALUE"""),0.4131)</f>
        <v>0.4131</v>
      </c>
      <c r="D900" s="2">
        <f>IFERROR(__xludf.DUMMYFUNCTION("""COMPUTED_VALUE"""),0.0015393518518518519)</f>
        <v>0.001539351852</v>
      </c>
      <c r="E900" s="1">
        <f>IFERROR(__xludf.DUMMYFUNCTION("""COMPUTED_VALUE"""),1.09)</f>
        <v>1.09</v>
      </c>
      <c r="F900" s="1">
        <f>IFERROR(__xludf.DUMMYFUNCTION("""COMPUTED_VALUE"""),3.85)</f>
        <v>3.85</v>
      </c>
      <c r="G900" s="5">
        <f>IFERROR(__xludf.DUMMYFUNCTION("""COMPUTED_VALUE"""),6471.0)</f>
        <v>6471</v>
      </c>
      <c r="H900" s="5">
        <f>IFERROR(__xludf.DUMMYFUNCTION("""COMPUTED_VALUE"""),1680.0)</f>
        <v>1680</v>
      </c>
    </row>
    <row r="901">
      <c r="A901" s="4">
        <f>IFERROR(__xludf.DUMMYFUNCTION("""COMPUTED_VALUE"""),43269.0)</f>
        <v>43269</v>
      </c>
      <c r="B901" s="5">
        <f>IFERROR(__xludf.DUMMYFUNCTION("""COMPUTED_VALUE"""),2708.0)</f>
        <v>2708</v>
      </c>
      <c r="C901" s="6">
        <f>IFERROR(__xludf.DUMMYFUNCTION("""COMPUTED_VALUE"""),0.4027)</f>
        <v>0.4027</v>
      </c>
      <c r="D901" s="2">
        <f>IFERROR(__xludf.DUMMYFUNCTION("""COMPUTED_VALUE"""),0.0024652777777777776)</f>
        <v>0.002465277778</v>
      </c>
      <c r="E901" s="1">
        <f>IFERROR(__xludf.DUMMYFUNCTION("""COMPUTED_VALUE"""),1.13)</f>
        <v>1.13</v>
      </c>
      <c r="F901" s="1">
        <f>IFERROR(__xludf.DUMMYFUNCTION("""COMPUTED_VALUE"""),4.91)</f>
        <v>4.91</v>
      </c>
      <c r="G901" s="5">
        <f>IFERROR(__xludf.DUMMYFUNCTION("""COMPUTED_VALUE"""),15066.0)</f>
        <v>15066</v>
      </c>
      <c r="H901" s="5">
        <f>IFERROR(__xludf.DUMMYFUNCTION("""COMPUTED_VALUE"""),3069.0)</f>
        <v>3069</v>
      </c>
    </row>
    <row r="902">
      <c r="A902" s="4">
        <f>IFERROR(__xludf.DUMMYFUNCTION("""COMPUTED_VALUE"""),43270.0)</f>
        <v>43270</v>
      </c>
      <c r="B902" s="5">
        <f>IFERROR(__xludf.DUMMYFUNCTION("""COMPUTED_VALUE"""),2763.0)</f>
        <v>2763</v>
      </c>
      <c r="C902" s="6">
        <f>IFERROR(__xludf.DUMMYFUNCTION("""COMPUTED_VALUE"""),0.4751)</f>
        <v>0.4751</v>
      </c>
      <c r="D902" s="2">
        <f>IFERROR(__xludf.DUMMYFUNCTION("""COMPUTED_VALUE"""),0.0019212962962962964)</f>
        <v>0.001921296296</v>
      </c>
      <c r="E902" s="1">
        <f>IFERROR(__xludf.DUMMYFUNCTION("""COMPUTED_VALUE"""),1.11)</f>
        <v>1.11</v>
      </c>
      <c r="F902" s="1">
        <f>IFERROR(__xludf.DUMMYFUNCTION("""COMPUTED_VALUE"""),4.23)</f>
        <v>4.23</v>
      </c>
      <c r="G902" s="5">
        <f>IFERROR(__xludf.DUMMYFUNCTION("""COMPUTED_VALUE"""),12969.0)</f>
        <v>12969</v>
      </c>
      <c r="H902" s="5">
        <f>IFERROR(__xludf.DUMMYFUNCTION("""COMPUTED_VALUE"""),3069.0)</f>
        <v>3069</v>
      </c>
    </row>
    <row r="903">
      <c r="A903" s="4">
        <f>IFERROR(__xludf.DUMMYFUNCTION("""COMPUTED_VALUE"""),43271.0)</f>
        <v>43271</v>
      </c>
      <c r="B903" s="5">
        <f>IFERROR(__xludf.DUMMYFUNCTION("""COMPUTED_VALUE"""),2444.0)</f>
        <v>2444</v>
      </c>
      <c r="C903" s="6">
        <f>IFERROR(__xludf.DUMMYFUNCTION("""COMPUTED_VALUE"""),0.5079)</f>
        <v>0.5079</v>
      </c>
      <c r="D903" s="2">
        <f>IFERROR(__xludf.DUMMYFUNCTION("""COMPUTED_VALUE"""),0.0018171296296296297)</f>
        <v>0.00181712963</v>
      </c>
      <c r="E903" s="1">
        <f>IFERROR(__xludf.DUMMYFUNCTION("""COMPUTED_VALUE"""),1.09)</f>
        <v>1.09</v>
      </c>
      <c r="F903" s="1">
        <f>IFERROR(__xludf.DUMMYFUNCTION("""COMPUTED_VALUE"""),4.58)</f>
        <v>4.58</v>
      </c>
      <c r="G903" s="5">
        <f>IFERROR(__xludf.DUMMYFUNCTION("""COMPUTED_VALUE"""),12136.0)</f>
        <v>12136</v>
      </c>
      <c r="H903" s="5">
        <f>IFERROR(__xludf.DUMMYFUNCTION("""COMPUTED_VALUE"""),2652.0)</f>
        <v>2652</v>
      </c>
    </row>
    <row r="904">
      <c r="A904" s="4">
        <f>IFERROR(__xludf.DUMMYFUNCTION("""COMPUTED_VALUE"""),43272.0)</f>
        <v>43272</v>
      </c>
      <c r="B904" s="5">
        <f>IFERROR(__xludf.DUMMYFUNCTION("""COMPUTED_VALUE"""),2485.0)</f>
        <v>2485</v>
      </c>
      <c r="C904" s="6">
        <f>IFERROR(__xludf.DUMMYFUNCTION("""COMPUTED_VALUE"""),0.43)</f>
        <v>0.43</v>
      </c>
      <c r="D904" s="2">
        <f>IFERROR(__xludf.DUMMYFUNCTION("""COMPUTED_VALUE"""),0.0016435185185185185)</f>
        <v>0.001643518519</v>
      </c>
      <c r="E904" s="1">
        <f>IFERROR(__xludf.DUMMYFUNCTION("""COMPUTED_VALUE"""),1.12)</f>
        <v>1.12</v>
      </c>
      <c r="F904" s="1">
        <f>IFERROR(__xludf.DUMMYFUNCTION("""COMPUTED_VALUE"""),3.86)</f>
        <v>3.86</v>
      </c>
      <c r="G904" s="5">
        <f>IFERROR(__xludf.DUMMYFUNCTION("""COMPUTED_VALUE"""),10720.0)</f>
        <v>10720</v>
      </c>
      <c r="H904" s="5">
        <f>IFERROR(__xludf.DUMMYFUNCTION("""COMPUTED_VALUE"""),2777.0)</f>
        <v>2777</v>
      </c>
    </row>
    <row r="905">
      <c r="A905" s="4">
        <f>IFERROR(__xludf.DUMMYFUNCTION("""COMPUTED_VALUE"""),43273.0)</f>
        <v>43273</v>
      </c>
      <c r="B905" s="5">
        <f>IFERROR(__xludf.DUMMYFUNCTION("""COMPUTED_VALUE"""),2166.0)</f>
        <v>2166</v>
      </c>
      <c r="C905" s="6">
        <f>IFERROR(__xludf.DUMMYFUNCTION("""COMPUTED_VALUE"""),0.4354)</f>
        <v>0.4354</v>
      </c>
      <c r="D905" s="2">
        <f>IFERROR(__xludf.DUMMYFUNCTION("""COMPUTED_VALUE"""),0.0019097222222222222)</f>
        <v>0.001909722222</v>
      </c>
      <c r="E905" s="1">
        <f>IFERROR(__xludf.DUMMYFUNCTION("""COMPUTED_VALUE"""),1.09)</f>
        <v>1.09</v>
      </c>
      <c r="F905" s="1">
        <f>IFERROR(__xludf.DUMMYFUNCTION("""COMPUTED_VALUE"""),4.26)</f>
        <v>4.26</v>
      </c>
      <c r="G905" s="5">
        <f>IFERROR(__xludf.DUMMYFUNCTION("""COMPUTED_VALUE"""),10067.0)</f>
        <v>10067</v>
      </c>
      <c r="H905" s="5">
        <f>IFERROR(__xludf.DUMMYFUNCTION("""COMPUTED_VALUE"""),2361.0)</f>
        <v>2361</v>
      </c>
    </row>
    <row r="906">
      <c r="A906" s="4">
        <f>IFERROR(__xludf.DUMMYFUNCTION("""COMPUTED_VALUE"""),43274.0)</f>
        <v>43274</v>
      </c>
      <c r="B906" s="5">
        <f>IFERROR(__xludf.DUMMYFUNCTION("""COMPUTED_VALUE"""),1652.0)</f>
        <v>1652</v>
      </c>
      <c r="C906" s="6">
        <f>IFERROR(__xludf.DUMMYFUNCTION("""COMPUTED_VALUE"""),0.4016)</f>
        <v>0.4016</v>
      </c>
      <c r="D906" s="2">
        <f>IFERROR(__xludf.DUMMYFUNCTION("""COMPUTED_VALUE"""),0.0019675925925925924)</f>
        <v>0.001967592593</v>
      </c>
      <c r="E906" s="1">
        <f>IFERROR(__xludf.DUMMYFUNCTION("""COMPUTED_VALUE"""),1.07)</f>
        <v>1.07</v>
      </c>
      <c r="F906" s="1">
        <f>IFERROR(__xludf.DUMMYFUNCTION("""COMPUTED_VALUE"""),5.04)</f>
        <v>5.04</v>
      </c>
      <c r="G906" s="5">
        <f>IFERROR(__xludf.DUMMYFUNCTION("""COMPUTED_VALUE"""),8887.0)</f>
        <v>8887</v>
      </c>
      <c r="H906" s="5">
        <f>IFERROR(__xludf.DUMMYFUNCTION("""COMPUTED_VALUE"""),1763.0)</f>
        <v>1763</v>
      </c>
    </row>
    <row r="907">
      <c r="A907" s="4">
        <f>IFERROR(__xludf.DUMMYFUNCTION("""COMPUTED_VALUE"""),43275.0)</f>
        <v>43275</v>
      </c>
      <c r="B907" s="5">
        <f>IFERROR(__xludf.DUMMYFUNCTION("""COMPUTED_VALUE"""),1611.0)</f>
        <v>1611</v>
      </c>
      <c r="C907" s="6">
        <f>IFERROR(__xludf.DUMMYFUNCTION("""COMPUTED_VALUE"""),0.4729)</f>
        <v>0.4729</v>
      </c>
      <c r="D907" s="2">
        <f>IFERROR(__xludf.DUMMYFUNCTION("""COMPUTED_VALUE"""),0.0014467592592592592)</f>
        <v>0.001446759259</v>
      </c>
      <c r="E907" s="1">
        <f>IFERROR(__xludf.DUMMYFUNCTION("""COMPUTED_VALUE"""),1.11)</f>
        <v>1.11</v>
      </c>
      <c r="F907" s="1">
        <f>IFERROR(__xludf.DUMMYFUNCTION("""COMPUTED_VALUE"""),3.81)</f>
        <v>3.81</v>
      </c>
      <c r="G907" s="5">
        <f>IFERROR(__xludf.DUMMYFUNCTION("""COMPUTED_VALUE"""),6832.0)</f>
        <v>6832</v>
      </c>
      <c r="H907" s="5">
        <f>IFERROR(__xludf.DUMMYFUNCTION("""COMPUTED_VALUE"""),1791.0)</f>
        <v>1791</v>
      </c>
    </row>
    <row r="908">
      <c r="A908" s="4">
        <f>IFERROR(__xludf.DUMMYFUNCTION("""COMPUTED_VALUE"""),43276.0)</f>
        <v>43276</v>
      </c>
      <c r="B908" s="5">
        <f>IFERROR(__xludf.DUMMYFUNCTION("""COMPUTED_VALUE"""),2944.0)</f>
        <v>2944</v>
      </c>
      <c r="C908" s="6">
        <f>IFERROR(__xludf.DUMMYFUNCTION("""COMPUTED_VALUE"""),0.4225)</f>
        <v>0.4225</v>
      </c>
      <c r="D908" s="2">
        <f>IFERROR(__xludf.DUMMYFUNCTION("""COMPUTED_VALUE"""),0.0018865740740740742)</f>
        <v>0.001886574074</v>
      </c>
      <c r="E908" s="1">
        <f>IFERROR(__xludf.DUMMYFUNCTION("""COMPUTED_VALUE"""),1.09)</f>
        <v>1.09</v>
      </c>
      <c r="F908" s="1">
        <f>IFERROR(__xludf.DUMMYFUNCTION("""COMPUTED_VALUE"""),4.09)</f>
        <v>4.09</v>
      </c>
      <c r="G908" s="5">
        <f>IFERROR(__xludf.DUMMYFUNCTION("""COMPUTED_VALUE"""),13177.0)</f>
        <v>13177</v>
      </c>
      <c r="H908" s="5">
        <f>IFERROR(__xludf.DUMMYFUNCTION("""COMPUTED_VALUE"""),3221.0)</f>
        <v>3221</v>
      </c>
    </row>
    <row r="909">
      <c r="A909" s="4">
        <f>IFERROR(__xludf.DUMMYFUNCTION("""COMPUTED_VALUE"""),43277.0)</f>
        <v>43277</v>
      </c>
      <c r="B909" s="5">
        <f>IFERROR(__xludf.DUMMYFUNCTION("""COMPUTED_VALUE"""),2374.0)</f>
        <v>2374</v>
      </c>
      <c r="C909" s="6">
        <f>IFERROR(__xludf.DUMMYFUNCTION("""COMPUTED_VALUE"""),0.4432)</f>
        <v>0.4432</v>
      </c>
      <c r="D909" s="2">
        <f>IFERROR(__xludf.DUMMYFUNCTION("""COMPUTED_VALUE"""),0.0015046296296296296)</f>
        <v>0.00150462963</v>
      </c>
      <c r="E909" s="1">
        <f>IFERROR(__xludf.DUMMYFUNCTION("""COMPUTED_VALUE"""),1.13)</f>
        <v>1.13</v>
      </c>
      <c r="F909" s="1">
        <f>IFERROR(__xludf.DUMMYFUNCTION("""COMPUTED_VALUE"""),3.89)</f>
        <v>3.89</v>
      </c>
      <c r="G909" s="5">
        <f>IFERROR(__xludf.DUMMYFUNCTION("""COMPUTED_VALUE"""),10483.0)</f>
        <v>10483</v>
      </c>
      <c r="H909" s="5">
        <f>IFERROR(__xludf.DUMMYFUNCTION("""COMPUTED_VALUE"""),2694.0)</f>
        <v>2694</v>
      </c>
    </row>
    <row r="910">
      <c r="A910" s="4">
        <f>IFERROR(__xludf.DUMMYFUNCTION("""COMPUTED_VALUE"""),43278.0)</f>
        <v>43278</v>
      </c>
      <c r="B910" s="5">
        <f>IFERROR(__xludf.DUMMYFUNCTION("""COMPUTED_VALUE"""),2541.0)</f>
        <v>2541</v>
      </c>
      <c r="C910" s="6">
        <f>IFERROR(__xludf.DUMMYFUNCTION("""COMPUTED_VALUE"""),0.4046)</f>
        <v>0.4046</v>
      </c>
      <c r="D910" s="2">
        <f>IFERROR(__xludf.DUMMYFUNCTION("""COMPUTED_VALUE"""),0.0016203703703703703)</f>
        <v>0.00162037037</v>
      </c>
      <c r="E910" s="1">
        <f>IFERROR(__xludf.DUMMYFUNCTION("""COMPUTED_VALUE"""),1.12)</f>
        <v>1.12</v>
      </c>
      <c r="F910" s="1">
        <f>IFERROR(__xludf.DUMMYFUNCTION("""COMPUTED_VALUE"""),4.34)</f>
        <v>4.34</v>
      </c>
      <c r="G910" s="5">
        <f>IFERROR(__xludf.DUMMYFUNCTION("""COMPUTED_VALUE"""),12344.0)</f>
        <v>12344</v>
      </c>
      <c r="H910" s="5">
        <f>IFERROR(__xludf.DUMMYFUNCTION("""COMPUTED_VALUE"""),2847.0)</f>
        <v>2847</v>
      </c>
    </row>
    <row r="911">
      <c r="A911" s="4">
        <f>IFERROR(__xludf.DUMMYFUNCTION("""COMPUTED_VALUE"""),43279.0)</f>
        <v>43279</v>
      </c>
      <c r="B911" s="5">
        <f>IFERROR(__xludf.DUMMYFUNCTION("""COMPUTED_VALUE"""),2236.0)</f>
        <v>2236</v>
      </c>
      <c r="C911" s="6">
        <f>IFERROR(__xludf.DUMMYFUNCTION("""COMPUTED_VALUE"""),0.4161)</f>
        <v>0.4161</v>
      </c>
      <c r="D911" s="2">
        <f>IFERROR(__xludf.DUMMYFUNCTION("""COMPUTED_VALUE"""),0.002025462962962963)</f>
        <v>0.002025462963</v>
      </c>
      <c r="E911" s="1">
        <f>IFERROR(__xludf.DUMMYFUNCTION("""COMPUTED_VALUE"""),1.15)</f>
        <v>1.15</v>
      </c>
      <c r="F911" s="1">
        <f>IFERROR(__xludf.DUMMYFUNCTION("""COMPUTED_VALUE"""),5.98)</f>
        <v>5.98</v>
      </c>
      <c r="G911" s="5">
        <f>IFERROR(__xludf.DUMMYFUNCTION("""COMPUTED_VALUE"""),15357.0)</f>
        <v>15357</v>
      </c>
      <c r="H911" s="5">
        <f>IFERROR(__xludf.DUMMYFUNCTION("""COMPUTED_VALUE"""),2569.0)</f>
        <v>2569</v>
      </c>
    </row>
    <row r="912">
      <c r="A912" s="4">
        <f>IFERROR(__xludf.DUMMYFUNCTION("""COMPUTED_VALUE"""),43280.0)</f>
        <v>43280</v>
      </c>
      <c r="B912" s="5">
        <f>IFERROR(__xludf.DUMMYFUNCTION("""COMPUTED_VALUE"""),2055.0)</f>
        <v>2055</v>
      </c>
      <c r="C912" s="6">
        <f>IFERROR(__xludf.DUMMYFUNCTION("""COMPUTED_VALUE"""),0.3758)</f>
        <v>0.3758</v>
      </c>
      <c r="D912" s="2">
        <f>IFERROR(__xludf.DUMMYFUNCTION("""COMPUTED_VALUE"""),0.002962962962962963)</f>
        <v>0.002962962963</v>
      </c>
      <c r="E912" s="1">
        <f>IFERROR(__xludf.DUMMYFUNCTION("""COMPUTED_VALUE"""),1.11)</f>
        <v>1.11</v>
      </c>
      <c r="F912" s="1">
        <f>IFERROR(__xludf.DUMMYFUNCTION("""COMPUTED_VALUE"""),5.53)</f>
        <v>5.53</v>
      </c>
      <c r="G912" s="5">
        <f>IFERROR(__xludf.DUMMYFUNCTION("""COMPUTED_VALUE"""),12677.0)</f>
        <v>12677</v>
      </c>
      <c r="H912" s="5">
        <f>IFERROR(__xludf.DUMMYFUNCTION("""COMPUTED_VALUE"""),2291.0)</f>
        <v>2291</v>
      </c>
    </row>
    <row r="913">
      <c r="A913" s="4">
        <f>IFERROR(__xludf.DUMMYFUNCTION("""COMPUTED_VALUE"""),43281.0)</f>
        <v>43281</v>
      </c>
      <c r="B913" s="5">
        <f>IFERROR(__xludf.DUMMYFUNCTION("""COMPUTED_VALUE"""),1444.0)</f>
        <v>1444</v>
      </c>
      <c r="C913" s="6">
        <f>IFERROR(__xludf.DUMMYFUNCTION("""COMPUTED_VALUE"""),0.4602)</f>
        <v>0.4602</v>
      </c>
      <c r="D913" s="2">
        <f>IFERROR(__xludf.DUMMYFUNCTION("""COMPUTED_VALUE"""),0.001412037037037037)</f>
        <v>0.001412037037</v>
      </c>
      <c r="E913" s="1">
        <f>IFERROR(__xludf.DUMMYFUNCTION("""COMPUTED_VALUE"""),1.09)</f>
        <v>1.09</v>
      </c>
      <c r="F913" s="1">
        <f>IFERROR(__xludf.DUMMYFUNCTION("""COMPUTED_VALUE"""),3.48)</f>
        <v>3.48</v>
      </c>
      <c r="G913" s="5">
        <f>IFERROR(__xludf.DUMMYFUNCTION("""COMPUTED_VALUE"""),5457.0)</f>
        <v>5457</v>
      </c>
      <c r="H913" s="5">
        <f>IFERROR(__xludf.DUMMYFUNCTION("""COMPUTED_VALUE"""),1569.0)</f>
        <v>1569</v>
      </c>
    </row>
    <row r="914">
      <c r="A914" s="4">
        <f>IFERROR(__xludf.DUMMYFUNCTION("""COMPUTED_VALUE"""),43282.0)</f>
        <v>43282</v>
      </c>
      <c r="B914" s="5">
        <f>IFERROR(__xludf.DUMMYFUNCTION("""COMPUTED_VALUE"""),1555.0)</f>
        <v>1555</v>
      </c>
      <c r="C914" s="6">
        <f>IFERROR(__xludf.DUMMYFUNCTION("""COMPUTED_VALUE"""),0.4835)</f>
        <v>0.4835</v>
      </c>
      <c r="D914" s="2">
        <f>IFERROR(__xludf.DUMMYFUNCTION("""COMPUTED_VALUE"""),0.0020486111111111113)</f>
        <v>0.002048611111</v>
      </c>
      <c r="E914" s="1">
        <f>IFERROR(__xludf.DUMMYFUNCTION("""COMPUTED_VALUE"""),1.09)</f>
        <v>1.09</v>
      </c>
      <c r="F914" s="1">
        <f>IFERROR(__xludf.DUMMYFUNCTION("""COMPUTED_VALUE"""),3.52)</f>
        <v>3.52</v>
      </c>
      <c r="G914" s="5">
        <f>IFERROR(__xludf.DUMMYFUNCTION("""COMPUTED_VALUE"""),5957.0)</f>
        <v>5957</v>
      </c>
      <c r="H914" s="5">
        <f>IFERROR(__xludf.DUMMYFUNCTION("""COMPUTED_VALUE"""),1694.0)</f>
        <v>1694</v>
      </c>
    </row>
    <row r="915">
      <c r="A915" s="4">
        <f>IFERROR(__xludf.DUMMYFUNCTION("""COMPUTED_VALUE"""),43283.0)</f>
        <v>43283</v>
      </c>
      <c r="B915" s="5">
        <f>IFERROR(__xludf.DUMMYFUNCTION("""COMPUTED_VALUE"""),2541.0)</f>
        <v>2541</v>
      </c>
      <c r="C915" s="6">
        <f>IFERROR(__xludf.DUMMYFUNCTION("""COMPUTED_VALUE"""),0.4198)</f>
        <v>0.4198</v>
      </c>
      <c r="D915" s="2">
        <f>IFERROR(__xludf.DUMMYFUNCTION("""COMPUTED_VALUE"""),0.0023263888888888887)</f>
        <v>0.002326388889</v>
      </c>
      <c r="E915" s="1">
        <f>IFERROR(__xludf.DUMMYFUNCTION("""COMPUTED_VALUE"""),1.16)</f>
        <v>1.16</v>
      </c>
      <c r="F915" s="1">
        <f>IFERROR(__xludf.DUMMYFUNCTION("""COMPUTED_VALUE"""),4.35)</f>
        <v>4.35</v>
      </c>
      <c r="G915" s="5">
        <f>IFERROR(__xludf.DUMMYFUNCTION("""COMPUTED_VALUE"""),12816.0)</f>
        <v>12816</v>
      </c>
      <c r="H915" s="5">
        <f>IFERROR(__xludf.DUMMYFUNCTION("""COMPUTED_VALUE"""),2944.0)</f>
        <v>2944</v>
      </c>
    </row>
    <row r="916">
      <c r="A916" s="4">
        <f>IFERROR(__xludf.DUMMYFUNCTION("""COMPUTED_VALUE"""),43284.0)</f>
        <v>43284</v>
      </c>
      <c r="B916" s="5">
        <f>IFERROR(__xludf.DUMMYFUNCTION("""COMPUTED_VALUE"""),2388.0)</f>
        <v>2388</v>
      </c>
      <c r="C916" s="6">
        <f>IFERROR(__xludf.DUMMYFUNCTION("""COMPUTED_VALUE"""),0.5105)</f>
        <v>0.5105</v>
      </c>
      <c r="D916" s="2">
        <f>IFERROR(__xludf.DUMMYFUNCTION("""COMPUTED_VALUE"""),0.0020949074074074073)</f>
        <v>0.002094907407</v>
      </c>
      <c r="E916" s="1">
        <f>IFERROR(__xludf.DUMMYFUNCTION("""COMPUTED_VALUE"""),1.12)</f>
        <v>1.12</v>
      </c>
      <c r="F916" s="1">
        <f>IFERROR(__xludf.DUMMYFUNCTION("""COMPUTED_VALUE"""),4.09)</f>
        <v>4.09</v>
      </c>
      <c r="G916" s="5">
        <f>IFERROR(__xludf.DUMMYFUNCTION("""COMPUTED_VALUE"""),10900.0)</f>
        <v>10900</v>
      </c>
      <c r="H916" s="5">
        <f>IFERROR(__xludf.DUMMYFUNCTION("""COMPUTED_VALUE"""),2666.0)</f>
        <v>2666</v>
      </c>
    </row>
    <row r="917">
      <c r="A917" s="4">
        <f>IFERROR(__xludf.DUMMYFUNCTION("""COMPUTED_VALUE"""),43285.0)</f>
        <v>43285</v>
      </c>
      <c r="B917" s="5">
        <f>IFERROR(__xludf.DUMMYFUNCTION("""COMPUTED_VALUE"""),1944.0)</f>
        <v>1944</v>
      </c>
      <c r="C917" s="6">
        <f>IFERROR(__xludf.DUMMYFUNCTION("""COMPUTED_VALUE"""),0.5306)</f>
        <v>0.5306</v>
      </c>
      <c r="D917" s="2">
        <f>IFERROR(__xludf.DUMMYFUNCTION("""COMPUTED_VALUE"""),0.0012037037037037038)</f>
        <v>0.001203703704</v>
      </c>
      <c r="E917" s="1">
        <f>IFERROR(__xludf.DUMMYFUNCTION("""COMPUTED_VALUE"""),1.05)</f>
        <v>1.05</v>
      </c>
      <c r="F917" s="1">
        <f>IFERROR(__xludf.DUMMYFUNCTION("""COMPUTED_VALUE"""),3.34)</f>
        <v>3.34</v>
      </c>
      <c r="G917" s="5">
        <f>IFERROR(__xludf.DUMMYFUNCTION("""COMPUTED_VALUE"""),6818.0)</f>
        <v>6818</v>
      </c>
      <c r="H917" s="5">
        <f>IFERROR(__xludf.DUMMYFUNCTION("""COMPUTED_VALUE"""),2041.0)</f>
        <v>2041</v>
      </c>
    </row>
    <row r="918">
      <c r="A918" s="4">
        <f>IFERROR(__xludf.DUMMYFUNCTION("""COMPUTED_VALUE"""),43286.0)</f>
        <v>43286</v>
      </c>
      <c r="B918" s="5">
        <f>IFERROR(__xludf.DUMMYFUNCTION("""COMPUTED_VALUE"""),2124.0)</f>
        <v>2124</v>
      </c>
      <c r="C918" s="6">
        <f>IFERROR(__xludf.DUMMYFUNCTION("""COMPUTED_VALUE"""),0.4269)</f>
        <v>0.4269</v>
      </c>
      <c r="D918" s="2">
        <f>IFERROR(__xludf.DUMMYFUNCTION("""COMPUTED_VALUE"""),0.0013773148148148147)</f>
        <v>0.001377314815</v>
      </c>
      <c r="E918" s="1">
        <f>IFERROR(__xludf.DUMMYFUNCTION("""COMPUTED_VALUE"""),1.07)</f>
        <v>1.07</v>
      </c>
      <c r="F918" s="1">
        <f>IFERROR(__xludf.DUMMYFUNCTION("""COMPUTED_VALUE"""),4.16)</f>
        <v>4.16</v>
      </c>
      <c r="G918" s="5">
        <f>IFERROR(__xludf.DUMMYFUNCTION("""COMPUTED_VALUE"""),9470.0)</f>
        <v>9470</v>
      </c>
      <c r="H918" s="5">
        <f>IFERROR(__xludf.DUMMYFUNCTION("""COMPUTED_VALUE"""),2277.0)</f>
        <v>2277</v>
      </c>
    </row>
    <row r="919">
      <c r="A919" s="4">
        <f>IFERROR(__xludf.DUMMYFUNCTION("""COMPUTED_VALUE"""),43287.0)</f>
        <v>43287</v>
      </c>
      <c r="B919" s="5">
        <f>IFERROR(__xludf.DUMMYFUNCTION("""COMPUTED_VALUE"""),1916.0)</f>
        <v>1916</v>
      </c>
      <c r="C919" s="6">
        <f>IFERROR(__xludf.DUMMYFUNCTION("""COMPUTED_VALUE"""),0.3851)</f>
        <v>0.3851</v>
      </c>
      <c r="D919" s="2">
        <f>IFERROR(__xludf.DUMMYFUNCTION("""COMPUTED_VALUE"""),0.002534722222222222)</f>
        <v>0.002534722222</v>
      </c>
      <c r="E919" s="1">
        <f>IFERROR(__xludf.DUMMYFUNCTION("""COMPUTED_VALUE"""),1.17)</f>
        <v>1.17</v>
      </c>
      <c r="F919" s="1">
        <f>IFERROR(__xludf.DUMMYFUNCTION("""COMPUTED_VALUE"""),5.24)</f>
        <v>5.24</v>
      </c>
      <c r="G919" s="5">
        <f>IFERROR(__xludf.DUMMYFUNCTION("""COMPUTED_VALUE"""),11719.0)</f>
        <v>11719</v>
      </c>
      <c r="H919" s="5">
        <f>IFERROR(__xludf.DUMMYFUNCTION("""COMPUTED_VALUE"""),2236.0)</f>
        <v>2236</v>
      </c>
    </row>
    <row r="920">
      <c r="A920" s="4">
        <f>IFERROR(__xludf.DUMMYFUNCTION("""COMPUTED_VALUE"""),43288.0)</f>
        <v>43288</v>
      </c>
      <c r="B920" s="5">
        <f>IFERROR(__xludf.DUMMYFUNCTION("""COMPUTED_VALUE"""),1347.0)</f>
        <v>1347</v>
      </c>
      <c r="C920" s="6">
        <f>IFERROR(__xludf.DUMMYFUNCTION("""COMPUTED_VALUE"""),0.4685)</f>
        <v>0.4685</v>
      </c>
      <c r="D920" s="2">
        <f>IFERROR(__xludf.DUMMYFUNCTION("""COMPUTED_VALUE"""),0.0011342592592592593)</f>
        <v>0.001134259259</v>
      </c>
      <c r="E920" s="1">
        <f>IFERROR(__xludf.DUMMYFUNCTION("""COMPUTED_VALUE"""),1.14)</f>
        <v>1.14</v>
      </c>
      <c r="F920" s="1">
        <f>IFERROR(__xludf.DUMMYFUNCTION("""COMPUTED_VALUE"""),3.87)</f>
        <v>3.87</v>
      </c>
      <c r="G920" s="5">
        <f>IFERROR(__xludf.DUMMYFUNCTION("""COMPUTED_VALUE"""),5957.0)</f>
        <v>5957</v>
      </c>
      <c r="H920" s="5">
        <f>IFERROR(__xludf.DUMMYFUNCTION("""COMPUTED_VALUE"""),1541.0)</f>
        <v>1541</v>
      </c>
    </row>
    <row r="921">
      <c r="A921" s="4">
        <f>IFERROR(__xludf.DUMMYFUNCTION("""COMPUTED_VALUE"""),43289.0)</f>
        <v>43289</v>
      </c>
      <c r="B921" s="5">
        <f>IFERROR(__xludf.DUMMYFUNCTION("""COMPUTED_VALUE"""),1583.0)</f>
        <v>1583</v>
      </c>
      <c r="C921" s="6">
        <f>IFERROR(__xludf.DUMMYFUNCTION("""COMPUTED_VALUE"""),0.5244)</f>
        <v>0.5244</v>
      </c>
      <c r="D921" s="2">
        <f>IFERROR(__xludf.DUMMYFUNCTION("""COMPUTED_VALUE"""),0.0017476851851851852)</f>
        <v>0.001747685185</v>
      </c>
      <c r="E921" s="1">
        <f>IFERROR(__xludf.DUMMYFUNCTION("""COMPUTED_VALUE"""),1.09)</f>
        <v>1.09</v>
      </c>
      <c r="F921" s="1">
        <f>IFERROR(__xludf.DUMMYFUNCTION("""COMPUTED_VALUE"""),3.12)</f>
        <v>3.12</v>
      </c>
      <c r="G921" s="5">
        <f>IFERROR(__xludf.DUMMYFUNCTION("""COMPUTED_VALUE"""),5374.0)</f>
        <v>5374</v>
      </c>
      <c r="H921" s="5">
        <f>IFERROR(__xludf.DUMMYFUNCTION("""COMPUTED_VALUE"""),1722.0)</f>
        <v>1722</v>
      </c>
    </row>
    <row r="922">
      <c r="A922" s="4">
        <f>IFERROR(__xludf.DUMMYFUNCTION("""COMPUTED_VALUE"""),43290.0)</f>
        <v>43290</v>
      </c>
      <c r="B922" s="5">
        <f>IFERROR(__xludf.DUMMYFUNCTION("""COMPUTED_VALUE"""),2638.0)</f>
        <v>2638</v>
      </c>
      <c r="C922" s="6">
        <f>IFERROR(__xludf.DUMMYFUNCTION("""COMPUTED_VALUE"""),0.4019)</f>
        <v>0.4019</v>
      </c>
      <c r="D922" s="2">
        <f>IFERROR(__xludf.DUMMYFUNCTION("""COMPUTED_VALUE"""),0.0021296296296296298)</f>
        <v>0.00212962963</v>
      </c>
      <c r="E922" s="1">
        <f>IFERROR(__xludf.DUMMYFUNCTION("""COMPUTED_VALUE"""),1.13)</f>
        <v>1.13</v>
      </c>
      <c r="F922" s="1">
        <f>IFERROR(__xludf.DUMMYFUNCTION("""COMPUTED_VALUE"""),4.86)</f>
        <v>4.86</v>
      </c>
      <c r="G922" s="5">
        <f>IFERROR(__xludf.DUMMYFUNCTION("""COMPUTED_VALUE"""),14441.0)</f>
        <v>14441</v>
      </c>
      <c r="H922" s="5">
        <f>IFERROR(__xludf.DUMMYFUNCTION("""COMPUTED_VALUE"""),2971.0)</f>
        <v>2971</v>
      </c>
    </row>
    <row r="923">
      <c r="A923" s="4">
        <f>IFERROR(__xludf.DUMMYFUNCTION("""COMPUTED_VALUE"""),43291.0)</f>
        <v>43291</v>
      </c>
      <c r="B923" s="5">
        <f>IFERROR(__xludf.DUMMYFUNCTION("""COMPUTED_VALUE"""),2416.0)</f>
        <v>2416</v>
      </c>
      <c r="C923" s="6">
        <f>IFERROR(__xludf.DUMMYFUNCTION("""COMPUTED_VALUE"""),0.3853)</f>
        <v>0.3853</v>
      </c>
      <c r="D923" s="2">
        <f>IFERROR(__xludf.DUMMYFUNCTION("""COMPUTED_VALUE"""),0.0025578703703703705)</f>
        <v>0.00255787037</v>
      </c>
      <c r="E923" s="1">
        <f>IFERROR(__xludf.DUMMYFUNCTION("""COMPUTED_VALUE"""),1.18)</f>
        <v>1.18</v>
      </c>
      <c r="F923" s="1">
        <f>IFERROR(__xludf.DUMMYFUNCTION("""COMPUTED_VALUE"""),5.79)</f>
        <v>5.79</v>
      </c>
      <c r="G923" s="5">
        <f>IFERROR(__xludf.DUMMYFUNCTION("""COMPUTED_VALUE"""),16482.0)</f>
        <v>16482</v>
      </c>
      <c r="H923" s="5">
        <f>IFERROR(__xludf.DUMMYFUNCTION("""COMPUTED_VALUE"""),2847.0)</f>
        <v>2847</v>
      </c>
    </row>
    <row r="924">
      <c r="A924" s="4">
        <f>IFERROR(__xludf.DUMMYFUNCTION("""COMPUTED_VALUE"""),43292.0)</f>
        <v>43292</v>
      </c>
      <c r="B924" s="5">
        <f>IFERROR(__xludf.DUMMYFUNCTION("""COMPUTED_VALUE"""),2388.0)</f>
        <v>2388</v>
      </c>
      <c r="C924" s="6">
        <f>IFERROR(__xludf.DUMMYFUNCTION("""COMPUTED_VALUE"""),0.3799)</f>
        <v>0.3799</v>
      </c>
      <c r="D924" s="2">
        <f>IFERROR(__xludf.DUMMYFUNCTION("""COMPUTED_VALUE"""),0.001979166666666667)</f>
        <v>0.001979166667</v>
      </c>
      <c r="E924" s="1">
        <f>IFERROR(__xludf.DUMMYFUNCTION("""COMPUTED_VALUE"""),1.16)</f>
        <v>1.16</v>
      </c>
      <c r="F924" s="1">
        <f>IFERROR(__xludf.DUMMYFUNCTION("""COMPUTED_VALUE"""),4.31)</f>
        <v>4.31</v>
      </c>
      <c r="G924" s="5">
        <f>IFERROR(__xludf.DUMMYFUNCTION("""COMPUTED_VALUE"""),11955.0)</f>
        <v>11955</v>
      </c>
      <c r="H924" s="5">
        <f>IFERROR(__xludf.DUMMYFUNCTION("""COMPUTED_VALUE"""),2777.0)</f>
        <v>2777</v>
      </c>
    </row>
    <row r="925">
      <c r="A925" s="4">
        <f>IFERROR(__xludf.DUMMYFUNCTION("""COMPUTED_VALUE"""),43293.0)</f>
        <v>43293</v>
      </c>
      <c r="B925" s="5">
        <f>IFERROR(__xludf.DUMMYFUNCTION("""COMPUTED_VALUE"""),2388.0)</f>
        <v>2388</v>
      </c>
      <c r="C925" s="6">
        <f>IFERROR(__xludf.DUMMYFUNCTION("""COMPUTED_VALUE"""),0.4386)</f>
        <v>0.4386</v>
      </c>
      <c r="D925" s="2">
        <f>IFERROR(__xludf.DUMMYFUNCTION("""COMPUTED_VALUE"""),0.0019328703703703704)</f>
        <v>0.00193287037</v>
      </c>
      <c r="E925" s="1">
        <f>IFERROR(__xludf.DUMMYFUNCTION("""COMPUTED_VALUE"""),1.14)</f>
        <v>1.14</v>
      </c>
      <c r="F925" s="1">
        <f>IFERROR(__xludf.DUMMYFUNCTION("""COMPUTED_VALUE"""),4.51)</f>
        <v>4.51</v>
      </c>
      <c r="G925" s="5">
        <f>IFERROR(__xludf.DUMMYFUNCTION("""COMPUTED_VALUE"""),12275.0)</f>
        <v>12275</v>
      </c>
      <c r="H925" s="5">
        <f>IFERROR(__xludf.DUMMYFUNCTION("""COMPUTED_VALUE"""),2722.0)</f>
        <v>2722</v>
      </c>
    </row>
    <row r="926">
      <c r="A926" s="4">
        <f>IFERROR(__xludf.DUMMYFUNCTION("""COMPUTED_VALUE"""),43294.0)</f>
        <v>43294</v>
      </c>
      <c r="B926" s="5">
        <f>IFERROR(__xludf.DUMMYFUNCTION("""COMPUTED_VALUE"""),2222.0)</f>
        <v>2222</v>
      </c>
      <c r="C926" s="6">
        <f>IFERROR(__xludf.DUMMYFUNCTION("""COMPUTED_VALUE"""),0.3695)</f>
        <v>0.3695</v>
      </c>
      <c r="D926" s="2">
        <f>IFERROR(__xludf.DUMMYFUNCTION("""COMPUTED_VALUE"""),0.0019444444444444444)</f>
        <v>0.001944444444</v>
      </c>
      <c r="E926" s="1">
        <f>IFERROR(__xludf.DUMMYFUNCTION("""COMPUTED_VALUE"""),1.1)</f>
        <v>1.1</v>
      </c>
      <c r="F926" s="1">
        <f>IFERROR(__xludf.DUMMYFUNCTION("""COMPUTED_VALUE"""),4.69)</f>
        <v>4.69</v>
      </c>
      <c r="G926" s="5">
        <f>IFERROR(__xludf.DUMMYFUNCTION("""COMPUTED_VALUE"""),11455.0)</f>
        <v>11455</v>
      </c>
      <c r="H926" s="5">
        <f>IFERROR(__xludf.DUMMYFUNCTION("""COMPUTED_VALUE"""),2444.0)</f>
        <v>2444</v>
      </c>
    </row>
    <row r="927">
      <c r="A927" s="4">
        <f>IFERROR(__xludf.DUMMYFUNCTION("""COMPUTED_VALUE"""),43295.0)</f>
        <v>43295</v>
      </c>
      <c r="B927" s="5">
        <f>IFERROR(__xludf.DUMMYFUNCTION("""COMPUTED_VALUE"""),1444.0)</f>
        <v>1444</v>
      </c>
      <c r="C927" s="6">
        <f>IFERROR(__xludf.DUMMYFUNCTION("""COMPUTED_VALUE"""),0.4493)</f>
        <v>0.4493</v>
      </c>
      <c r="D927" s="2">
        <f>IFERROR(__xludf.DUMMYFUNCTION("""COMPUTED_VALUE"""),0.0015393518518518519)</f>
        <v>0.001539351852</v>
      </c>
      <c r="E927" s="1">
        <f>IFERROR(__xludf.DUMMYFUNCTION("""COMPUTED_VALUE"""),1.13)</f>
        <v>1.13</v>
      </c>
      <c r="F927" s="1">
        <f>IFERROR(__xludf.DUMMYFUNCTION("""COMPUTED_VALUE"""),3.81)</f>
        <v>3.81</v>
      </c>
      <c r="G927" s="5">
        <f>IFERROR(__xludf.DUMMYFUNCTION("""COMPUTED_VALUE"""),6235.0)</f>
        <v>6235</v>
      </c>
      <c r="H927" s="5">
        <f>IFERROR(__xludf.DUMMYFUNCTION("""COMPUTED_VALUE"""),1638.0)</f>
        <v>1638</v>
      </c>
    </row>
    <row r="928">
      <c r="A928" s="4">
        <f>IFERROR(__xludf.DUMMYFUNCTION("""COMPUTED_VALUE"""),43296.0)</f>
        <v>43296</v>
      </c>
      <c r="B928" s="5">
        <f>IFERROR(__xludf.DUMMYFUNCTION("""COMPUTED_VALUE"""),1666.0)</f>
        <v>1666</v>
      </c>
      <c r="C928" s="6">
        <f>IFERROR(__xludf.DUMMYFUNCTION("""COMPUTED_VALUE"""),0.4149)</f>
        <v>0.4149</v>
      </c>
      <c r="D928" s="2">
        <f>IFERROR(__xludf.DUMMYFUNCTION("""COMPUTED_VALUE"""),0.0020486111111111113)</f>
        <v>0.002048611111</v>
      </c>
      <c r="E928" s="1">
        <f>IFERROR(__xludf.DUMMYFUNCTION("""COMPUTED_VALUE"""),1.13)</f>
        <v>1.13</v>
      </c>
      <c r="F928" s="1">
        <f>IFERROR(__xludf.DUMMYFUNCTION("""COMPUTED_VALUE"""),4.84)</f>
        <v>4.84</v>
      </c>
      <c r="G928" s="5">
        <f>IFERROR(__xludf.DUMMYFUNCTION("""COMPUTED_VALUE"""),9081.0)</f>
        <v>9081</v>
      </c>
      <c r="H928" s="5">
        <f>IFERROR(__xludf.DUMMYFUNCTION("""COMPUTED_VALUE"""),1875.0)</f>
        <v>1875</v>
      </c>
    </row>
    <row r="929">
      <c r="A929" s="4">
        <f>IFERROR(__xludf.DUMMYFUNCTION("""COMPUTED_VALUE"""),43297.0)</f>
        <v>43297</v>
      </c>
      <c r="B929" s="5">
        <f>IFERROR(__xludf.DUMMYFUNCTION("""COMPUTED_VALUE"""),2888.0)</f>
        <v>2888</v>
      </c>
      <c r="C929" s="6">
        <f>IFERROR(__xludf.DUMMYFUNCTION("""COMPUTED_VALUE"""),0.414)</f>
        <v>0.414</v>
      </c>
      <c r="D929" s="2">
        <f>IFERROR(__xludf.DUMMYFUNCTION("""COMPUTED_VALUE"""),0.0015625)</f>
        <v>0.0015625</v>
      </c>
      <c r="E929" s="1">
        <f>IFERROR(__xludf.DUMMYFUNCTION("""COMPUTED_VALUE"""),1.09)</f>
        <v>1.09</v>
      </c>
      <c r="F929" s="1">
        <f>IFERROR(__xludf.DUMMYFUNCTION("""COMPUTED_VALUE"""),3.96)</f>
        <v>3.96</v>
      </c>
      <c r="G929" s="5">
        <f>IFERROR(__xludf.DUMMYFUNCTION("""COMPUTED_VALUE"""),12497.0)</f>
        <v>12497</v>
      </c>
      <c r="H929" s="5">
        <f>IFERROR(__xludf.DUMMYFUNCTION("""COMPUTED_VALUE"""),3152.0)</f>
        <v>3152</v>
      </c>
    </row>
    <row r="930">
      <c r="A930" s="4">
        <f>IFERROR(__xludf.DUMMYFUNCTION("""COMPUTED_VALUE"""),43298.0)</f>
        <v>43298</v>
      </c>
      <c r="B930" s="5">
        <f>IFERROR(__xludf.DUMMYFUNCTION("""COMPUTED_VALUE"""),2680.0)</f>
        <v>2680</v>
      </c>
      <c r="C930" s="6">
        <f>IFERROR(__xludf.DUMMYFUNCTION("""COMPUTED_VALUE"""),0.4075)</f>
        <v>0.4075</v>
      </c>
      <c r="D930" s="2">
        <f>IFERROR(__xludf.DUMMYFUNCTION("""COMPUTED_VALUE"""),0.0016203703703703703)</f>
        <v>0.00162037037</v>
      </c>
      <c r="E930" s="1">
        <f>IFERROR(__xludf.DUMMYFUNCTION("""COMPUTED_VALUE"""),1.12)</f>
        <v>1.12</v>
      </c>
      <c r="F930" s="1">
        <f>IFERROR(__xludf.DUMMYFUNCTION("""COMPUTED_VALUE"""),4.56)</f>
        <v>4.56</v>
      </c>
      <c r="G930" s="5">
        <f>IFERROR(__xludf.DUMMYFUNCTION("""COMPUTED_VALUE"""),13677.0)</f>
        <v>13677</v>
      </c>
      <c r="H930" s="5">
        <f>IFERROR(__xludf.DUMMYFUNCTION("""COMPUTED_VALUE"""),2999.0)</f>
        <v>2999</v>
      </c>
    </row>
    <row r="931">
      <c r="A931" s="4">
        <f>IFERROR(__xludf.DUMMYFUNCTION("""COMPUTED_VALUE"""),43299.0)</f>
        <v>43299</v>
      </c>
      <c r="B931" s="5">
        <f>IFERROR(__xludf.DUMMYFUNCTION("""COMPUTED_VALUE"""),2624.0)</f>
        <v>2624</v>
      </c>
      <c r="C931" s="6">
        <f>IFERROR(__xludf.DUMMYFUNCTION("""COMPUTED_VALUE"""),0.4037)</f>
        <v>0.4037</v>
      </c>
      <c r="D931" s="2">
        <f>IFERROR(__xludf.DUMMYFUNCTION("""COMPUTED_VALUE"""),0.002384259259259259)</f>
        <v>0.002384259259</v>
      </c>
      <c r="E931" s="1">
        <f>IFERROR(__xludf.DUMMYFUNCTION("""COMPUTED_VALUE"""),1.1)</f>
        <v>1.1</v>
      </c>
      <c r="F931" s="1">
        <f>IFERROR(__xludf.DUMMYFUNCTION("""COMPUTED_VALUE"""),4.71)</f>
        <v>4.71</v>
      </c>
      <c r="G931" s="5">
        <f>IFERROR(__xludf.DUMMYFUNCTION("""COMPUTED_VALUE"""),13608.0)</f>
        <v>13608</v>
      </c>
      <c r="H931" s="5">
        <f>IFERROR(__xludf.DUMMYFUNCTION("""COMPUTED_VALUE"""),2888.0)</f>
        <v>2888</v>
      </c>
    </row>
    <row r="932">
      <c r="A932" s="4">
        <f>IFERROR(__xludf.DUMMYFUNCTION("""COMPUTED_VALUE"""),43300.0)</f>
        <v>43300</v>
      </c>
      <c r="B932" s="5">
        <f>IFERROR(__xludf.DUMMYFUNCTION("""COMPUTED_VALUE"""),2347.0)</f>
        <v>2347</v>
      </c>
      <c r="C932" s="6">
        <f>IFERROR(__xludf.DUMMYFUNCTION("""COMPUTED_VALUE"""),0.4124)</f>
        <v>0.4124</v>
      </c>
      <c r="D932" s="2">
        <f>IFERROR(__xludf.DUMMYFUNCTION("""COMPUTED_VALUE"""),0.0016782407407407408)</f>
        <v>0.001678240741</v>
      </c>
      <c r="E932" s="1">
        <f>IFERROR(__xludf.DUMMYFUNCTION("""COMPUTED_VALUE"""),1.15)</f>
        <v>1.15</v>
      </c>
      <c r="F932" s="1">
        <f>IFERROR(__xludf.DUMMYFUNCTION("""COMPUTED_VALUE"""),4.43)</f>
        <v>4.43</v>
      </c>
      <c r="G932" s="5">
        <f>IFERROR(__xludf.DUMMYFUNCTION("""COMPUTED_VALUE"""),11941.0)</f>
        <v>11941</v>
      </c>
      <c r="H932" s="5">
        <f>IFERROR(__xludf.DUMMYFUNCTION("""COMPUTED_VALUE"""),2694.0)</f>
        <v>2694</v>
      </c>
    </row>
    <row r="933">
      <c r="A933" s="4">
        <f>IFERROR(__xludf.DUMMYFUNCTION("""COMPUTED_VALUE"""),43301.0)</f>
        <v>43301</v>
      </c>
      <c r="B933" s="5">
        <f>IFERROR(__xludf.DUMMYFUNCTION("""COMPUTED_VALUE"""),1999.0)</f>
        <v>1999</v>
      </c>
      <c r="C933" s="6">
        <f>IFERROR(__xludf.DUMMYFUNCTION("""COMPUTED_VALUE"""),0.3532)</f>
        <v>0.3532</v>
      </c>
      <c r="D933" s="2">
        <f>IFERROR(__xludf.DUMMYFUNCTION("""COMPUTED_VALUE"""),0.0019328703703703704)</f>
        <v>0.00193287037</v>
      </c>
      <c r="E933" s="1">
        <f>IFERROR(__xludf.DUMMYFUNCTION("""COMPUTED_VALUE"""),1.16)</f>
        <v>1.16</v>
      </c>
      <c r="F933" s="1">
        <f>IFERROR(__xludf.DUMMYFUNCTION("""COMPUTED_VALUE"""),4.64)</f>
        <v>4.64</v>
      </c>
      <c r="G933" s="5">
        <f>IFERROR(__xludf.DUMMYFUNCTION("""COMPUTED_VALUE"""),10761.0)</f>
        <v>10761</v>
      </c>
      <c r="H933" s="5">
        <f>IFERROR(__xludf.DUMMYFUNCTION("""COMPUTED_VALUE"""),2319.0)</f>
        <v>2319</v>
      </c>
    </row>
    <row r="934">
      <c r="A934" s="4">
        <f>IFERROR(__xludf.DUMMYFUNCTION("""COMPUTED_VALUE"""),43302.0)</f>
        <v>43302</v>
      </c>
      <c r="B934" s="5">
        <f>IFERROR(__xludf.DUMMYFUNCTION("""COMPUTED_VALUE"""),1402.0)</f>
        <v>1402</v>
      </c>
      <c r="C934" s="6">
        <f>IFERROR(__xludf.DUMMYFUNCTION("""COMPUTED_VALUE"""),0.4997)</f>
        <v>0.4997</v>
      </c>
      <c r="D934" s="2">
        <f>IFERROR(__xludf.DUMMYFUNCTION("""COMPUTED_VALUE"""),0.0014814814814814814)</f>
        <v>0.001481481481</v>
      </c>
      <c r="E934" s="1">
        <f>IFERROR(__xludf.DUMMYFUNCTION("""COMPUTED_VALUE"""),1.13)</f>
        <v>1.13</v>
      </c>
      <c r="F934" s="1">
        <f>IFERROR(__xludf.DUMMYFUNCTION("""COMPUTED_VALUE"""),3.23)</f>
        <v>3.23</v>
      </c>
      <c r="G934" s="5">
        <f>IFERROR(__xludf.DUMMYFUNCTION("""COMPUTED_VALUE"""),5110.0)</f>
        <v>5110</v>
      </c>
      <c r="H934" s="5">
        <f>IFERROR(__xludf.DUMMYFUNCTION("""COMPUTED_VALUE"""),1583.0)</f>
        <v>1583</v>
      </c>
    </row>
    <row r="935">
      <c r="A935" s="4">
        <f>IFERROR(__xludf.DUMMYFUNCTION("""COMPUTED_VALUE"""),43303.0)</f>
        <v>43303</v>
      </c>
      <c r="B935" s="5">
        <f>IFERROR(__xludf.DUMMYFUNCTION("""COMPUTED_VALUE"""),1597.0)</f>
        <v>1597</v>
      </c>
      <c r="C935" s="6">
        <f>IFERROR(__xludf.DUMMYFUNCTION("""COMPUTED_VALUE"""),0.5234)</f>
        <v>0.5234</v>
      </c>
      <c r="D935" s="2">
        <f>IFERROR(__xludf.DUMMYFUNCTION("""COMPUTED_VALUE"""),0.0014236111111111112)</f>
        <v>0.001423611111</v>
      </c>
      <c r="E935" s="1">
        <f>IFERROR(__xludf.DUMMYFUNCTION("""COMPUTED_VALUE"""),1.1)</f>
        <v>1.1</v>
      </c>
      <c r="F935" s="1">
        <f>IFERROR(__xludf.DUMMYFUNCTION("""COMPUTED_VALUE"""),3.59)</f>
        <v>3.59</v>
      </c>
      <c r="G935" s="5">
        <f>IFERROR(__xludf.DUMMYFUNCTION("""COMPUTED_VALUE"""),6276.0)</f>
        <v>6276</v>
      </c>
      <c r="H935" s="5">
        <f>IFERROR(__xludf.DUMMYFUNCTION("""COMPUTED_VALUE"""),1750.0)</f>
        <v>1750</v>
      </c>
    </row>
    <row r="936">
      <c r="A936" s="4">
        <f>IFERROR(__xludf.DUMMYFUNCTION("""COMPUTED_VALUE"""),43304.0)</f>
        <v>43304</v>
      </c>
      <c r="B936" s="5">
        <f>IFERROR(__xludf.DUMMYFUNCTION("""COMPUTED_VALUE"""),2583.0)</f>
        <v>2583</v>
      </c>
      <c r="C936" s="6">
        <f>IFERROR(__xludf.DUMMYFUNCTION("""COMPUTED_VALUE"""),0.3895)</f>
        <v>0.3895</v>
      </c>
      <c r="D936" s="2">
        <f>IFERROR(__xludf.DUMMYFUNCTION("""COMPUTED_VALUE"""),0.0021759259259259258)</f>
        <v>0.002175925926</v>
      </c>
      <c r="E936" s="1">
        <f>IFERROR(__xludf.DUMMYFUNCTION("""COMPUTED_VALUE"""),1.12)</f>
        <v>1.12</v>
      </c>
      <c r="F936" s="1">
        <f>IFERROR(__xludf.DUMMYFUNCTION("""COMPUTED_VALUE"""),4.49)</f>
        <v>4.49</v>
      </c>
      <c r="G936" s="5">
        <f>IFERROR(__xludf.DUMMYFUNCTION("""COMPUTED_VALUE"""),12969.0)</f>
        <v>12969</v>
      </c>
      <c r="H936" s="5">
        <f>IFERROR(__xludf.DUMMYFUNCTION("""COMPUTED_VALUE"""),2888.0)</f>
        <v>2888</v>
      </c>
    </row>
    <row r="937">
      <c r="A937" s="4">
        <f>IFERROR(__xludf.DUMMYFUNCTION("""COMPUTED_VALUE"""),43305.0)</f>
        <v>43305</v>
      </c>
      <c r="B937" s="5">
        <f>IFERROR(__xludf.DUMMYFUNCTION("""COMPUTED_VALUE"""),2472.0)</f>
        <v>2472</v>
      </c>
      <c r="C937" s="6">
        <f>IFERROR(__xludf.DUMMYFUNCTION("""COMPUTED_VALUE"""),0.3551)</f>
        <v>0.3551</v>
      </c>
      <c r="D937" s="2">
        <f>IFERROR(__xludf.DUMMYFUNCTION("""COMPUTED_VALUE"""),0.0020601851851851853)</f>
        <v>0.002060185185</v>
      </c>
      <c r="E937" s="1">
        <f>IFERROR(__xludf.DUMMYFUNCTION("""COMPUTED_VALUE"""),1.12)</f>
        <v>1.12</v>
      </c>
      <c r="F937" s="1">
        <f>IFERROR(__xludf.DUMMYFUNCTION("""COMPUTED_VALUE"""),5.82)</f>
        <v>5.82</v>
      </c>
      <c r="G937" s="5">
        <f>IFERROR(__xludf.DUMMYFUNCTION("""COMPUTED_VALUE"""),16163.0)</f>
        <v>16163</v>
      </c>
      <c r="H937" s="5">
        <f>IFERROR(__xludf.DUMMYFUNCTION("""COMPUTED_VALUE"""),2777.0)</f>
        <v>2777</v>
      </c>
    </row>
    <row r="938">
      <c r="A938" s="4">
        <f>IFERROR(__xludf.DUMMYFUNCTION("""COMPUTED_VALUE"""),43306.0)</f>
        <v>43306</v>
      </c>
      <c r="B938" s="5">
        <f>IFERROR(__xludf.DUMMYFUNCTION("""COMPUTED_VALUE"""),2305.0)</f>
        <v>2305</v>
      </c>
      <c r="C938" s="6">
        <f>IFERROR(__xludf.DUMMYFUNCTION("""COMPUTED_VALUE"""),0.3761)</f>
        <v>0.3761</v>
      </c>
      <c r="D938" s="2">
        <f>IFERROR(__xludf.DUMMYFUNCTION("""COMPUTED_VALUE"""),0.0017708333333333332)</f>
        <v>0.001770833333</v>
      </c>
      <c r="E938" s="1">
        <f>IFERROR(__xludf.DUMMYFUNCTION("""COMPUTED_VALUE"""),1.22)</f>
        <v>1.22</v>
      </c>
      <c r="F938" s="1">
        <f>IFERROR(__xludf.DUMMYFUNCTION("""COMPUTED_VALUE"""),4.51)</f>
        <v>4.51</v>
      </c>
      <c r="G938" s="5">
        <f>IFERROR(__xludf.DUMMYFUNCTION("""COMPUTED_VALUE"""),12663.0)</f>
        <v>12663</v>
      </c>
      <c r="H938" s="5">
        <f>IFERROR(__xludf.DUMMYFUNCTION("""COMPUTED_VALUE"""),2805.0)</f>
        <v>2805</v>
      </c>
    </row>
    <row r="939">
      <c r="A939" s="4">
        <f>IFERROR(__xludf.DUMMYFUNCTION("""COMPUTED_VALUE"""),43307.0)</f>
        <v>43307</v>
      </c>
      <c r="B939" s="5">
        <f>IFERROR(__xludf.DUMMYFUNCTION("""COMPUTED_VALUE"""),2652.0)</f>
        <v>2652</v>
      </c>
      <c r="C939" s="6">
        <f>IFERROR(__xludf.DUMMYFUNCTION("""COMPUTED_VALUE"""),0.3972)</f>
        <v>0.3972</v>
      </c>
      <c r="D939" s="2">
        <f>IFERROR(__xludf.DUMMYFUNCTION("""COMPUTED_VALUE"""),0.0021064814814814813)</f>
        <v>0.002106481481</v>
      </c>
      <c r="E939" s="1">
        <f>IFERROR(__xludf.DUMMYFUNCTION("""COMPUTED_VALUE"""),1.12)</f>
        <v>1.12</v>
      </c>
      <c r="F939" s="1">
        <f>IFERROR(__xludf.DUMMYFUNCTION("""COMPUTED_VALUE"""),4.7)</f>
        <v>4.7</v>
      </c>
      <c r="G939" s="5">
        <f>IFERROR(__xludf.DUMMYFUNCTION("""COMPUTED_VALUE"""),13955.0)</f>
        <v>13955</v>
      </c>
      <c r="H939" s="5">
        <f>IFERROR(__xludf.DUMMYFUNCTION("""COMPUTED_VALUE"""),2971.0)</f>
        <v>2971</v>
      </c>
    </row>
    <row r="940">
      <c r="A940" s="4">
        <f>IFERROR(__xludf.DUMMYFUNCTION("""COMPUTED_VALUE"""),43308.0)</f>
        <v>43308</v>
      </c>
      <c r="B940" s="5">
        <f>IFERROR(__xludf.DUMMYFUNCTION("""COMPUTED_VALUE"""),2263.0)</f>
        <v>2263</v>
      </c>
      <c r="C940" s="6">
        <f>IFERROR(__xludf.DUMMYFUNCTION("""COMPUTED_VALUE"""),0.3729)</f>
        <v>0.3729</v>
      </c>
      <c r="D940" s="2">
        <f>IFERROR(__xludf.DUMMYFUNCTION("""COMPUTED_VALUE"""),0.0022337962962962962)</f>
        <v>0.002233796296</v>
      </c>
      <c r="E940" s="1">
        <f>IFERROR(__xludf.DUMMYFUNCTION("""COMPUTED_VALUE"""),1.14)</f>
        <v>1.14</v>
      </c>
      <c r="F940" s="1">
        <f>IFERROR(__xludf.DUMMYFUNCTION("""COMPUTED_VALUE"""),4.83)</f>
        <v>4.83</v>
      </c>
      <c r="G940" s="5">
        <f>IFERROR(__xludf.DUMMYFUNCTION("""COMPUTED_VALUE"""),12414.0)</f>
        <v>12414</v>
      </c>
      <c r="H940" s="5">
        <f>IFERROR(__xludf.DUMMYFUNCTION("""COMPUTED_VALUE"""),2569.0)</f>
        <v>2569</v>
      </c>
    </row>
    <row r="941">
      <c r="A941" s="4">
        <f>IFERROR(__xludf.DUMMYFUNCTION("""COMPUTED_VALUE"""),43309.0)</f>
        <v>43309</v>
      </c>
      <c r="B941" s="5">
        <f>IFERROR(__xludf.DUMMYFUNCTION("""COMPUTED_VALUE"""),1375.0)</f>
        <v>1375</v>
      </c>
      <c r="C941" s="6">
        <f>IFERROR(__xludf.DUMMYFUNCTION("""COMPUTED_VALUE"""),0.4491)</f>
        <v>0.4491</v>
      </c>
      <c r="D941" s="2">
        <f>IFERROR(__xludf.DUMMYFUNCTION("""COMPUTED_VALUE"""),0.001875)</f>
        <v>0.001875</v>
      </c>
      <c r="E941" s="1">
        <f>IFERROR(__xludf.DUMMYFUNCTION("""COMPUTED_VALUE"""),1.1)</f>
        <v>1.1</v>
      </c>
      <c r="F941" s="1">
        <f>IFERROR(__xludf.DUMMYFUNCTION("""COMPUTED_VALUE"""),4.13)</f>
        <v>4.13</v>
      </c>
      <c r="G941" s="5">
        <f>IFERROR(__xludf.DUMMYFUNCTION("""COMPUTED_VALUE"""),6248.0)</f>
        <v>6248</v>
      </c>
      <c r="H941" s="5">
        <f>IFERROR(__xludf.DUMMYFUNCTION("""COMPUTED_VALUE"""),1514.0)</f>
        <v>1514</v>
      </c>
    </row>
    <row r="942">
      <c r="A942" s="4">
        <f>IFERROR(__xludf.DUMMYFUNCTION("""COMPUTED_VALUE"""),43310.0)</f>
        <v>43310</v>
      </c>
      <c r="B942" s="5">
        <f>IFERROR(__xludf.DUMMYFUNCTION("""COMPUTED_VALUE"""),1638.0)</f>
        <v>1638</v>
      </c>
      <c r="C942" s="6">
        <f>IFERROR(__xludf.DUMMYFUNCTION("""COMPUTED_VALUE"""),0.4126)</f>
        <v>0.4126</v>
      </c>
      <c r="D942" s="2">
        <f>IFERROR(__xludf.DUMMYFUNCTION("""COMPUTED_VALUE"""),0.001875)</f>
        <v>0.001875</v>
      </c>
      <c r="E942" s="1">
        <f>IFERROR(__xludf.DUMMYFUNCTION("""COMPUTED_VALUE"""),1.07)</f>
        <v>1.07</v>
      </c>
      <c r="F942" s="1">
        <f>IFERROR(__xludf.DUMMYFUNCTION("""COMPUTED_VALUE"""),4.43)</f>
        <v>4.43</v>
      </c>
      <c r="G942" s="5">
        <f>IFERROR(__xludf.DUMMYFUNCTION("""COMPUTED_VALUE"""),7748.0)</f>
        <v>7748</v>
      </c>
      <c r="H942" s="5">
        <f>IFERROR(__xludf.DUMMYFUNCTION("""COMPUTED_VALUE"""),1750.0)</f>
        <v>1750</v>
      </c>
    </row>
    <row r="943">
      <c r="A943" s="4">
        <f>IFERROR(__xludf.DUMMYFUNCTION("""COMPUTED_VALUE"""),43311.0)</f>
        <v>43311</v>
      </c>
      <c r="B943" s="5">
        <f>IFERROR(__xludf.DUMMYFUNCTION("""COMPUTED_VALUE"""),2583.0)</f>
        <v>2583</v>
      </c>
      <c r="C943" s="6">
        <f>IFERROR(__xludf.DUMMYFUNCTION("""COMPUTED_VALUE"""),0.3877)</f>
        <v>0.3877</v>
      </c>
      <c r="D943" s="2">
        <f>IFERROR(__xludf.DUMMYFUNCTION("""COMPUTED_VALUE"""),0.0024074074074074076)</f>
        <v>0.002407407407</v>
      </c>
      <c r="E943" s="1">
        <f>IFERROR(__xludf.DUMMYFUNCTION("""COMPUTED_VALUE"""),1.15)</f>
        <v>1.15</v>
      </c>
      <c r="F943" s="1">
        <f>IFERROR(__xludf.DUMMYFUNCTION("""COMPUTED_VALUE"""),5.13)</f>
        <v>5.13</v>
      </c>
      <c r="G943" s="5">
        <f>IFERROR(__xludf.DUMMYFUNCTION("""COMPUTED_VALUE"""),15232.0)</f>
        <v>15232</v>
      </c>
      <c r="H943" s="5">
        <f>IFERROR(__xludf.DUMMYFUNCTION("""COMPUTED_VALUE"""),2971.0)</f>
        <v>2971</v>
      </c>
    </row>
    <row r="944">
      <c r="A944" s="4">
        <f>IFERROR(__xludf.DUMMYFUNCTION("""COMPUTED_VALUE"""),43312.0)</f>
        <v>43312</v>
      </c>
      <c r="B944" s="5">
        <f>IFERROR(__xludf.DUMMYFUNCTION("""COMPUTED_VALUE"""),2513.0)</f>
        <v>2513</v>
      </c>
      <c r="C944" s="6">
        <f>IFERROR(__xludf.DUMMYFUNCTION("""COMPUTED_VALUE"""),0.4678)</f>
        <v>0.4678</v>
      </c>
      <c r="D944" s="2">
        <f>IFERROR(__xludf.DUMMYFUNCTION("""COMPUTED_VALUE"""),0.0017013888888888888)</f>
        <v>0.001701388889</v>
      </c>
      <c r="E944" s="1">
        <f>IFERROR(__xludf.DUMMYFUNCTION("""COMPUTED_VALUE"""),1.2)</f>
        <v>1.2</v>
      </c>
      <c r="F944" s="1">
        <f>IFERROR(__xludf.DUMMYFUNCTION("""COMPUTED_VALUE"""),4.48)</f>
        <v>4.48</v>
      </c>
      <c r="G944" s="5">
        <f>IFERROR(__xludf.DUMMYFUNCTION("""COMPUTED_VALUE"""),13566.0)</f>
        <v>13566</v>
      </c>
      <c r="H944" s="5">
        <f>IFERROR(__xludf.DUMMYFUNCTION("""COMPUTED_VALUE"""),3027.0)</f>
        <v>3027</v>
      </c>
    </row>
    <row r="945">
      <c r="A945" s="4">
        <f>IFERROR(__xludf.DUMMYFUNCTION("""COMPUTED_VALUE"""),43313.0)</f>
        <v>43313</v>
      </c>
      <c r="B945" s="5">
        <f>IFERROR(__xludf.DUMMYFUNCTION("""COMPUTED_VALUE"""),2291.0)</f>
        <v>2291</v>
      </c>
      <c r="C945" s="6">
        <f>IFERROR(__xludf.DUMMYFUNCTION("""COMPUTED_VALUE"""),0.3979)</f>
        <v>0.3979</v>
      </c>
      <c r="D945" s="2">
        <f>IFERROR(__xludf.DUMMYFUNCTION("""COMPUTED_VALUE"""),0.0030324074074074073)</f>
        <v>0.003032407407</v>
      </c>
      <c r="E945" s="1">
        <f>IFERROR(__xludf.DUMMYFUNCTION("""COMPUTED_VALUE"""),1.19)</f>
        <v>1.19</v>
      </c>
      <c r="F945" s="1">
        <f>IFERROR(__xludf.DUMMYFUNCTION("""COMPUTED_VALUE"""),5.68)</f>
        <v>5.68</v>
      </c>
      <c r="G945" s="5">
        <f>IFERROR(__xludf.DUMMYFUNCTION("""COMPUTED_VALUE"""),15468.0)</f>
        <v>15468</v>
      </c>
      <c r="H945" s="5">
        <f>IFERROR(__xludf.DUMMYFUNCTION("""COMPUTED_VALUE"""),2722.0)</f>
        <v>2722</v>
      </c>
    </row>
    <row r="946">
      <c r="A946" s="4">
        <f>IFERROR(__xludf.DUMMYFUNCTION("""COMPUTED_VALUE"""),43314.0)</f>
        <v>43314</v>
      </c>
      <c r="B946" s="5">
        <f>IFERROR(__xludf.DUMMYFUNCTION("""COMPUTED_VALUE"""),2541.0)</f>
        <v>2541</v>
      </c>
      <c r="C946" s="6">
        <f>IFERROR(__xludf.DUMMYFUNCTION("""COMPUTED_VALUE"""),0.4854)</f>
        <v>0.4854</v>
      </c>
      <c r="D946" s="2">
        <f>IFERROR(__xludf.DUMMYFUNCTION("""COMPUTED_VALUE"""),0.0012962962962962963)</f>
        <v>0.001296296296</v>
      </c>
      <c r="E946" s="1">
        <f>IFERROR(__xludf.DUMMYFUNCTION("""COMPUTED_VALUE"""),1.11)</f>
        <v>1.11</v>
      </c>
      <c r="F946" s="1">
        <f>IFERROR(__xludf.DUMMYFUNCTION("""COMPUTED_VALUE"""),3.9)</f>
        <v>3.9</v>
      </c>
      <c r="G946" s="5">
        <f>IFERROR(__xludf.DUMMYFUNCTION("""COMPUTED_VALUE"""),11053.0)</f>
        <v>11053</v>
      </c>
      <c r="H946" s="5">
        <f>IFERROR(__xludf.DUMMYFUNCTION("""COMPUTED_VALUE"""),2833.0)</f>
        <v>2833</v>
      </c>
    </row>
    <row r="947">
      <c r="A947" s="4">
        <f>IFERROR(__xludf.DUMMYFUNCTION("""COMPUTED_VALUE"""),43315.0)</f>
        <v>43315</v>
      </c>
      <c r="B947" s="5">
        <f>IFERROR(__xludf.DUMMYFUNCTION("""COMPUTED_VALUE"""),2527.0)</f>
        <v>2527</v>
      </c>
      <c r="C947" s="6">
        <f>IFERROR(__xludf.DUMMYFUNCTION("""COMPUTED_VALUE"""),0.4922)</f>
        <v>0.4922</v>
      </c>
      <c r="D947" s="2">
        <f>IFERROR(__xludf.DUMMYFUNCTION("""COMPUTED_VALUE"""),0.0017476851851851852)</f>
        <v>0.001747685185</v>
      </c>
      <c r="E947" s="1">
        <f>IFERROR(__xludf.DUMMYFUNCTION("""COMPUTED_VALUE"""),1.06)</f>
        <v>1.06</v>
      </c>
      <c r="F947" s="1">
        <f>IFERROR(__xludf.DUMMYFUNCTION("""COMPUTED_VALUE"""),3.98)</f>
        <v>3.98</v>
      </c>
      <c r="G947" s="5">
        <f>IFERROR(__xludf.DUMMYFUNCTION("""COMPUTED_VALUE"""),10664.0)</f>
        <v>10664</v>
      </c>
      <c r="H947" s="5">
        <f>IFERROR(__xludf.DUMMYFUNCTION("""COMPUTED_VALUE"""),2680.0)</f>
        <v>2680</v>
      </c>
    </row>
    <row r="948">
      <c r="A948" s="4">
        <f>IFERROR(__xludf.DUMMYFUNCTION("""COMPUTED_VALUE"""),43316.0)</f>
        <v>43316</v>
      </c>
      <c r="B948" s="5">
        <f>IFERROR(__xludf.DUMMYFUNCTION("""COMPUTED_VALUE"""),1500.0)</f>
        <v>1500</v>
      </c>
      <c r="C948" s="6">
        <f>IFERROR(__xludf.DUMMYFUNCTION("""COMPUTED_VALUE"""),0.4493)</f>
        <v>0.4493</v>
      </c>
      <c r="D948" s="2">
        <f>IFERROR(__xludf.DUMMYFUNCTION("""COMPUTED_VALUE"""),0.0015046296296296296)</f>
        <v>0.00150462963</v>
      </c>
      <c r="E948" s="1">
        <f>IFERROR(__xludf.DUMMYFUNCTION("""COMPUTED_VALUE"""),1.09)</f>
        <v>1.09</v>
      </c>
      <c r="F948" s="1">
        <f>IFERROR(__xludf.DUMMYFUNCTION("""COMPUTED_VALUE"""),4.39)</f>
        <v>4.39</v>
      </c>
      <c r="G948" s="5">
        <f>IFERROR(__xludf.DUMMYFUNCTION("""COMPUTED_VALUE"""),7193.0)</f>
        <v>7193</v>
      </c>
      <c r="H948" s="5">
        <f>IFERROR(__xludf.DUMMYFUNCTION("""COMPUTED_VALUE"""),1638.0)</f>
        <v>1638</v>
      </c>
    </row>
    <row r="949">
      <c r="A949" s="4">
        <f>IFERROR(__xludf.DUMMYFUNCTION("""COMPUTED_VALUE"""),43317.0)</f>
        <v>43317</v>
      </c>
      <c r="B949" s="5">
        <f>IFERROR(__xludf.DUMMYFUNCTION("""COMPUTED_VALUE"""),1527.0)</f>
        <v>1527</v>
      </c>
      <c r="C949" s="6">
        <f>IFERROR(__xludf.DUMMYFUNCTION("""COMPUTED_VALUE"""),0.4046)</f>
        <v>0.4046</v>
      </c>
      <c r="D949" s="2">
        <f>IFERROR(__xludf.DUMMYFUNCTION("""COMPUTED_VALUE"""),0.0017592592592592592)</f>
        <v>0.001759259259</v>
      </c>
      <c r="E949" s="1">
        <f>IFERROR(__xludf.DUMMYFUNCTION("""COMPUTED_VALUE"""),1.15)</f>
        <v>1.15</v>
      </c>
      <c r="F949" s="1">
        <f>IFERROR(__xludf.DUMMYFUNCTION("""COMPUTED_VALUE"""),4.56)</f>
        <v>4.56</v>
      </c>
      <c r="G949" s="5">
        <f>IFERROR(__xludf.DUMMYFUNCTION("""COMPUTED_VALUE"""),7984.0)</f>
        <v>7984</v>
      </c>
      <c r="H949" s="5">
        <f>IFERROR(__xludf.DUMMYFUNCTION("""COMPUTED_VALUE"""),1750.0)</f>
        <v>1750</v>
      </c>
    </row>
    <row r="950">
      <c r="A950" s="4">
        <f>IFERROR(__xludf.DUMMYFUNCTION("""COMPUTED_VALUE"""),43318.0)</f>
        <v>43318</v>
      </c>
      <c r="B950" s="5">
        <f>IFERROR(__xludf.DUMMYFUNCTION("""COMPUTED_VALUE"""),2638.0)</f>
        <v>2638</v>
      </c>
      <c r="C950" s="6">
        <f>IFERROR(__xludf.DUMMYFUNCTION("""COMPUTED_VALUE"""),0.3428)</f>
        <v>0.3428</v>
      </c>
      <c r="D950" s="2">
        <f>IFERROR(__xludf.DUMMYFUNCTION("""COMPUTED_VALUE"""),0.0018865740740740742)</f>
        <v>0.001886574074</v>
      </c>
      <c r="E950" s="1">
        <f>IFERROR(__xludf.DUMMYFUNCTION("""COMPUTED_VALUE"""),1.12)</f>
        <v>1.12</v>
      </c>
      <c r="F950" s="1">
        <f>IFERROR(__xludf.DUMMYFUNCTION("""COMPUTED_VALUE"""),4.89)</f>
        <v>4.89</v>
      </c>
      <c r="G950" s="5">
        <f>IFERROR(__xludf.DUMMYFUNCTION("""COMPUTED_VALUE"""),14455.0)</f>
        <v>14455</v>
      </c>
      <c r="H950" s="5">
        <f>IFERROR(__xludf.DUMMYFUNCTION("""COMPUTED_VALUE"""),2958.0)</f>
        <v>2958</v>
      </c>
    </row>
    <row r="951">
      <c r="A951" s="4">
        <f>IFERROR(__xludf.DUMMYFUNCTION("""COMPUTED_VALUE"""),43319.0)</f>
        <v>43319</v>
      </c>
      <c r="B951" s="5">
        <f>IFERROR(__xludf.DUMMYFUNCTION("""COMPUTED_VALUE"""),2555.0)</f>
        <v>2555</v>
      </c>
      <c r="C951" s="6">
        <f>IFERROR(__xludf.DUMMYFUNCTION("""COMPUTED_VALUE"""),0.4273)</f>
        <v>0.4273</v>
      </c>
      <c r="D951" s="2">
        <f>IFERROR(__xludf.DUMMYFUNCTION("""COMPUTED_VALUE"""),0.0016898148148148148)</f>
        <v>0.001689814815</v>
      </c>
      <c r="E951" s="1">
        <f>IFERROR(__xludf.DUMMYFUNCTION("""COMPUTED_VALUE"""),1.12)</f>
        <v>1.12</v>
      </c>
      <c r="F951" s="1">
        <f>IFERROR(__xludf.DUMMYFUNCTION("""COMPUTED_VALUE"""),4.23)</f>
        <v>4.23</v>
      </c>
      <c r="G951" s="5">
        <f>IFERROR(__xludf.DUMMYFUNCTION("""COMPUTED_VALUE"""),12108.0)</f>
        <v>12108</v>
      </c>
      <c r="H951" s="5">
        <f>IFERROR(__xludf.DUMMYFUNCTION("""COMPUTED_VALUE"""),2860.0)</f>
        <v>2860</v>
      </c>
    </row>
    <row r="952">
      <c r="A952" s="4">
        <f>IFERROR(__xludf.DUMMYFUNCTION("""COMPUTED_VALUE"""),43320.0)</f>
        <v>43320</v>
      </c>
      <c r="B952" s="5">
        <f>IFERROR(__xludf.DUMMYFUNCTION("""COMPUTED_VALUE"""),2597.0)</f>
        <v>2597</v>
      </c>
      <c r="C952" s="6">
        <f>IFERROR(__xludf.DUMMYFUNCTION("""COMPUTED_VALUE"""),0.458)</f>
        <v>0.458</v>
      </c>
      <c r="D952" s="2">
        <f>IFERROR(__xludf.DUMMYFUNCTION("""COMPUTED_VALUE"""),0.001400462962962963)</f>
        <v>0.001400462963</v>
      </c>
      <c r="E952" s="1">
        <f>IFERROR(__xludf.DUMMYFUNCTION("""COMPUTED_VALUE"""),1.09)</f>
        <v>1.09</v>
      </c>
      <c r="F952" s="1">
        <f>IFERROR(__xludf.DUMMYFUNCTION("""COMPUTED_VALUE"""),3.96)</f>
        <v>3.96</v>
      </c>
      <c r="G952" s="5">
        <f>IFERROR(__xludf.DUMMYFUNCTION("""COMPUTED_VALUE"""),11150.0)</f>
        <v>11150</v>
      </c>
      <c r="H952" s="5">
        <f>IFERROR(__xludf.DUMMYFUNCTION("""COMPUTED_VALUE"""),2819.0)</f>
        <v>2819</v>
      </c>
    </row>
    <row r="953">
      <c r="A953" s="4">
        <f>IFERROR(__xludf.DUMMYFUNCTION("""COMPUTED_VALUE"""),43321.0)</f>
        <v>43321</v>
      </c>
      <c r="B953" s="5">
        <f>IFERROR(__xludf.DUMMYFUNCTION("""COMPUTED_VALUE"""),2527.0)</f>
        <v>2527</v>
      </c>
      <c r="C953" s="6">
        <f>IFERROR(__xludf.DUMMYFUNCTION("""COMPUTED_VALUE"""),0.378)</f>
        <v>0.378</v>
      </c>
      <c r="D953" s="2">
        <f>IFERROR(__xludf.DUMMYFUNCTION("""COMPUTED_VALUE"""),0.0019328703703703704)</f>
        <v>0.00193287037</v>
      </c>
      <c r="E953" s="1">
        <f>IFERROR(__xludf.DUMMYFUNCTION("""COMPUTED_VALUE"""),1.1)</f>
        <v>1.1</v>
      </c>
      <c r="F953" s="1">
        <f>IFERROR(__xludf.DUMMYFUNCTION("""COMPUTED_VALUE"""),4.94)</f>
        <v>4.94</v>
      </c>
      <c r="G953" s="5">
        <f>IFERROR(__xludf.DUMMYFUNCTION("""COMPUTED_VALUE"""),13788.0)</f>
        <v>13788</v>
      </c>
      <c r="H953" s="5">
        <f>IFERROR(__xludf.DUMMYFUNCTION("""COMPUTED_VALUE"""),2791.0)</f>
        <v>2791</v>
      </c>
    </row>
    <row r="954">
      <c r="A954" s="4">
        <f>IFERROR(__xludf.DUMMYFUNCTION("""COMPUTED_VALUE"""),43322.0)</f>
        <v>43322</v>
      </c>
      <c r="B954" s="5">
        <f>IFERROR(__xludf.DUMMYFUNCTION("""COMPUTED_VALUE"""),2236.0)</f>
        <v>2236</v>
      </c>
      <c r="C954" s="6">
        <f>IFERROR(__xludf.DUMMYFUNCTION("""COMPUTED_VALUE"""),0.4858)</f>
        <v>0.4858</v>
      </c>
      <c r="D954" s="2">
        <f>IFERROR(__xludf.DUMMYFUNCTION("""COMPUTED_VALUE"""),0.0020833333333333333)</f>
        <v>0.002083333333</v>
      </c>
      <c r="E954" s="1">
        <f>IFERROR(__xludf.DUMMYFUNCTION("""COMPUTED_VALUE"""),1.1)</f>
        <v>1.1</v>
      </c>
      <c r="F954" s="1">
        <f>IFERROR(__xludf.DUMMYFUNCTION("""COMPUTED_VALUE"""),4.51)</f>
        <v>4.51</v>
      </c>
      <c r="G954" s="5">
        <f>IFERROR(__xludf.DUMMYFUNCTION("""COMPUTED_VALUE"""),11081.0)</f>
        <v>11081</v>
      </c>
      <c r="H954" s="5">
        <f>IFERROR(__xludf.DUMMYFUNCTION("""COMPUTED_VALUE"""),2458.0)</f>
        <v>2458</v>
      </c>
    </row>
    <row r="955">
      <c r="A955" s="4">
        <f>IFERROR(__xludf.DUMMYFUNCTION("""COMPUTED_VALUE"""),43323.0)</f>
        <v>43323</v>
      </c>
      <c r="B955" s="5">
        <f>IFERROR(__xludf.DUMMYFUNCTION("""COMPUTED_VALUE"""),1527.0)</f>
        <v>1527</v>
      </c>
      <c r="C955" s="6">
        <f>IFERROR(__xludf.DUMMYFUNCTION("""COMPUTED_VALUE"""),0.4063)</f>
        <v>0.4063</v>
      </c>
      <c r="D955" s="2">
        <f>IFERROR(__xludf.DUMMYFUNCTION("""COMPUTED_VALUE"""),0.0015046296296296296)</f>
        <v>0.00150462963</v>
      </c>
      <c r="E955" s="1">
        <f>IFERROR(__xludf.DUMMYFUNCTION("""COMPUTED_VALUE"""),1.12)</f>
        <v>1.12</v>
      </c>
      <c r="F955" s="1">
        <f>IFERROR(__xludf.DUMMYFUNCTION("""COMPUTED_VALUE"""),4.18)</f>
        <v>4.18</v>
      </c>
      <c r="G955" s="5">
        <f>IFERROR(__xludf.DUMMYFUNCTION("""COMPUTED_VALUE"""),7137.0)</f>
        <v>7137</v>
      </c>
      <c r="H955" s="5">
        <f>IFERROR(__xludf.DUMMYFUNCTION("""COMPUTED_VALUE"""),1708.0)</f>
        <v>1708</v>
      </c>
    </row>
    <row r="956">
      <c r="A956" s="4">
        <f>IFERROR(__xludf.DUMMYFUNCTION("""COMPUTED_VALUE"""),43324.0)</f>
        <v>43324</v>
      </c>
      <c r="B956" s="5">
        <f>IFERROR(__xludf.DUMMYFUNCTION("""COMPUTED_VALUE"""),1736.0)</f>
        <v>1736</v>
      </c>
      <c r="C956" s="6">
        <f>IFERROR(__xludf.DUMMYFUNCTION("""COMPUTED_VALUE"""),0.4667)</f>
        <v>0.4667</v>
      </c>
      <c r="D956" s="2">
        <f>IFERROR(__xludf.DUMMYFUNCTION("""COMPUTED_VALUE"""),0.001863425925925926)</f>
        <v>0.001863425926</v>
      </c>
      <c r="E956" s="1">
        <f>IFERROR(__xludf.DUMMYFUNCTION("""COMPUTED_VALUE"""),1.08)</f>
        <v>1.08</v>
      </c>
      <c r="F956" s="1">
        <f>IFERROR(__xludf.DUMMYFUNCTION("""COMPUTED_VALUE"""),4.41)</f>
        <v>4.41</v>
      </c>
      <c r="G956" s="5">
        <f>IFERROR(__xludf.DUMMYFUNCTION("""COMPUTED_VALUE"""),8262.0)</f>
        <v>8262</v>
      </c>
      <c r="H956" s="5">
        <f>IFERROR(__xludf.DUMMYFUNCTION("""COMPUTED_VALUE"""),1875.0)</f>
        <v>1875</v>
      </c>
    </row>
    <row r="957">
      <c r="A957" s="4">
        <f>IFERROR(__xludf.DUMMYFUNCTION("""COMPUTED_VALUE"""),43325.0)</f>
        <v>43325</v>
      </c>
      <c r="B957" s="5">
        <f>IFERROR(__xludf.DUMMYFUNCTION("""COMPUTED_VALUE"""),2472.0)</f>
        <v>2472</v>
      </c>
      <c r="C957" s="6">
        <f>IFERROR(__xludf.DUMMYFUNCTION("""COMPUTED_VALUE"""),0.402)</f>
        <v>0.402</v>
      </c>
      <c r="D957" s="2">
        <f>IFERROR(__xludf.DUMMYFUNCTION("""COMPUTED_VALUE"""),0.0016666666666666668)</f>
        <v>0.001666666667</v>
      </c>
      <c r="E957" s="1">
        <f>IFERROR(__xludf.DUMMYFUNCTION("""COMPUTED_VALUE"""),1.09)</f>
        <v>1.09</v>
      </c>
      <c r="F957" s="1">
        <f>IFERROR(__xludf.DUMMYFUNCTION("""COMPUTED_VALUE"""),4.31)</f>
        <v>4.31</v>
      </c>
      <c r="G957" s="5">
        <f>IFERROR(__xludf.DUMMYFUNCTION("""COMPUTED_VALUE"""),11608.0)</f>
        <v>11608</v>
      </c>
      <c r="H957" s="5">
        <f>IFERROR(__xludf.DUMMYFUNCTION("""COMPUTED_VALUE"""),2694.0)</f>
        <v>2694</v>
      </c>
    </row>
    <row r="958">
      <c r="A958" s="4">
        <f>IFERROR(__xludf.DUMMYFUNCTION("""COMPUTED_VALUE"""),43326.0)</f>
        <v>43326</v>
      </c>
      <c r="B958" s="5">
        <f>IFERROR(__xludf.DUMMYFUNCTION("""COMPUTED_VALUE"""),2485.0)</f>
        <v>2485</v>
      </c>
      <c r="C958" s="6">
        <f>IFERROR(__xludf.DUMMYFUNCTION("""COMPUTED_VALUE"""),0.3895)</f>
        <v>0.3895</v>
      </c>
      <c r="D958" s="2">
        <f>IFERROR(__xludf.DUMMYFUNCTION("""COMPUTED_VALUE"""),0.0016666666666666668)</f>
        <v>0.001666666667</v>
      </c>
      <c r="E958" s="1">
        <f>IFERROR(__xludf.DUMMYFUNCTION("""COMPUTED_VALUE"""),1.16)</f>
        <v>1.16</v>
      </c>
      <c r="F958" s="1">
        <f>IFERROR(__xludf.DUMMYFUNCTION("""COMPUTED_VALUE"""),4.75)</f>
        <v>4.75</v>
      </c>
      <c r="G958" s="5">
        <f>IFERROR(__xludf.DUMMYFUNCTION("""COMPUTED_VALUE"""),13705.0)</f>
        <v>13705</v>
      </c>
      <c r="H958" s="5">
        <f>IFERROR(__xludf.DUMMYFUNCTION("""COMPUTED_VALUE"""),2888.0)</f>
        <v>2888</v>
      </c>
    </row>
    <row r="959">
      <c r="A959" s="4">
        <f>IFERROR(__xludf.DUMMYFUNCTION("""COMPUTED_VALUE"""),43327.0)</f>
        <v>43327</v>
      </c>
      <c r="B959" s="5">
        <f>IFERROR(__xludf.DUMMYFUNCTION("""COMPUTED_VALUE"""),2333.0)</f>
        <v>2333</v>
      </c>
      <c r="C959" s="6">
        <f>IFERROR(__xludf.DUMMYFUNCTION("""COMPUTED_VALUE"""),0.3724)</f>
        <v>0.3724</v>
      </c>
      <c r="D959" s="2">
        <f>IFERROR(__xludf.DUMMYFUNCTION("""COMPUTED_VALUE"""),0.0023263888888888887)</f>
        <v>0.002326388889</v>
      </c>
      <c r="E959" s="1">
        <f>IFERROR(__xludf.DUMMYFUNCTION("""COMPUTED_VALUE"""),1.12)</f>
        <v>1.12</v>
      </c>
      <c r="F959" s="1">
        <f>IFERROR(__xludf.DUMMYFUNCTION("""COMPUTED_VALUE"""),5.09)</f>
        <v>5.09</v>
      </c>
      <c r="G959" s="5">
        <f>IFERROR(__xludf.DUMMYFUNCTION("""COMPUTED_VALUE"""),13288.0)</f>
        <v>13288</v>
      </c>
      <c r="H959" s="5">
        <f>IFERROR(__xludf.DUMMYFUNCTION("""COMPUTED_VALUE"""),2610.0)</f>
        <v>2610</v>
      </c>
    </row>
    <row r="960">
      <c r="A960" s="4">
        <f>IFERROR(__xludf.DUMMYFUNCTION("""COMPUTED_VALUE"""),43328.0)</f>
        <v>43328</v>
      </c>
      <c r="B960" s="5">
        <f>IFERROR(__xludf.DUMMYFUNCTION("""COMPUTED_VALUE"""),2347.0)</f>
        <v>2347</v>
      </c>
      <c r="C960" s="6">
        <f>IFERROR(__xludf.DUMMYFUNCTION("""COMPUTED_VALUE"""),0.3724)</f>
        <v>0.3724</v>
      </c>
      <c r="D960" s="2">
        <f>IFERROR(__xludf.DUMMYFUNCTION("""COMPUTED_VALUE"""),0.002013888888888889)</f>
        <v>0.002013888889</v>
      </c>
      <c r="E960" s="1">
        <f>IFERROR(__xludf.DUMMYFUNCTION("""COMPUTED_VALUE"""),1.11)</f>
        <v>1.11</v>
      </c>
      <c r="F960" s="1">
        <f>IFERROR(__xludf.DUMMYFUNCTION("""COMPUTED_VALUE"""),4.75)</f>
        <v>4.75</v>
      </c>
      <c r="G960" s="5">
        <f>IFERROR(__xludf.DUMMYFUNCTION("""COMPUTED_VALUE"""),12386.0)</f>
        <v>12386</v>
      </c>
      <c r="H960" s="5">
        <f>IFERROR(__xludf.DUMMYFUNCTION("""COMPUTED_VALUE"""),2610.0)</f>
        <v>2610</v>
      </c>
    </row>
    <row r="961">
      <c r="A961" s="4">
        <f>IFERROR(__xludf.DUMMYFUNCTION("""COMPUTED_VALUE"""),43329.0)</f>
        <v>43329</v>
      </c>
      <c r="B961" s="5">
        <f>IFERROR(__xludf.DUMMYFUNCTION("""COMPUTED_VALUE"""),2027.0)</f>
        <v>2027</v>
      </c>
      <c r="C961" s="6">
        <f>IFERROR(__xludf.DUMMYFUNCTION("""COMPUTED_VALUE"""),0.4048)</f>
        <v>0.4048</v>
      </c>
      <c r="D961" s="2">
        <f>IFERROR(__xludf.DUMMYFUNCTION("""COMPUTED_VALUE"""),0.0017013888888888888)</f>
        <v>0.001701388889</v>
      </c>
      <c r="E961" s="1">
        <f>IFERROR(__xludf.DUMMYFUNCTION("""COMPUTED_VALUE"""),1.12)</f>
        <v>1.12</v>
      </c>
      <c r="F961" s="1">
        <f>IFERROR(__xludf.DUMMYFUNCTION("""COMPUTED_VALUE"""),4.79)</f>
        <v>4.79</v>
      </c>
      <c r="G961" s="5">
        <f>IFERROR(__xludf.DUMMYFUNCTION("""COMPUTED_VALUE"""),10831.0)</f>
        <v>10831</v>
      </c>
      <c r="H961" s="5">
        <f>IFERROR(__xludf.DUMMYFUNCTION("""COMPUTED_VALUE"""),2263.0)</f>
        <v>2263</v>
      </c>
    </row>
    <row r="962">
      <c r="A962" s="4">
        <f>IFERROR(__xludf.DUMMYFUNCTION("""COMPUTED_VALUE"""),43330.0)</f>
        <v>43330</v>
      </c>
      <c r="B962" s="5">
        <f>IFERROR(__xludf.DUMMYFUNCTION("""COMPUTED_VALUE"""),1375.0)</f>
        <v>1375</v>
      </c>
      <c r="C962" s="6">
        <f>IFERROR(__xludf.DUMMYFUNCTION("""COMPUTED_VALUE"""),0.4036)</f>
        <v>0.4036</v>
      </c>
      <c r="D962" s="2">
        <f>IFERROR(__xludf.DUMMYFUNCTION("""COMPUTED_VALUE"""),0.0016435185185185185)</f>
        <v>0.001643518519</v>
      </c>
      <c r="E962" s="1">
        <f>IFERROR(__xludf.DUMMYFUNCTION("""COMPUTED_VALUE"""),1.1)</f>
        <v>1.1</v>
      </c>
      <c r="F962" s="1">
        <f>IFERROR(__xludf.DUMMYFUNCTION("""COMPUTED_VALUE"""),4.51)</f>
        <v>4.51</v>
      </c>
      <c r="G962" s="5">
        <f>IFERROR(__xludf.DUMMYFUNCTION("""COMPUTED_VALUE"""),6832.0)</f>
        <v>6832</v>
      </c>
      <c r="H962" s="5">
        <f>IFERROR(__xludf.DUMMYFUNCTION("""COMPUTED_VALUE"""),1514.0)</f>
        <v>1514</v>
      </c>
    </row>
    <row r="963">
      <c r="A963" s="4">
        <f>IFERROR(__xludf.DUMMYFUNCTION("""COMPUTED_VALUE"""),43331.0)</f>
        <v>43331</v>
      </c>
      <c r="B963" s="5">
        <f>IFERROR(__xludf.DUMMYFUNCTION("""COMPUTED_VALUE"""),1486.0)</f>
        <v>1486</v>
      </c>
      <c r="C963" s="6">
        <f>IFERROR(__xludf.DUMMYFUNCTION("""COMPUTED_VALUE"""),0.3868)</f>
        <v>0.3868</v>
      </c>
      <c r="D963" s="2">
        <f>IFERROR(__xludf.DUMMYFUNCTION("""COMPUTED_VALUE"""),0.0016898148148148148)</f>
        <v>0.001689814815</v>
      </c>
      <c r="E963" s="1">
        <f>IFERROR(__xludf.DUMMYFUNCTION("""COMPUTED_VALUE"""),1.11)</f>
        <v>1.11</v>
      </c>
      <c r="F963" s="1">
        <f>IFERROR(__xludf.DUMMYFUNCTION("""COMPUTED_VALUE"""),4.19)</f>
        <v>4.19</v>
      </c>
      <c r="G963" s="5">
        <f>IFERROR(__xludf.DUMMYFUNCTION("""COMPUTED_VALUE"""),6915.0)</f>
        <v>6915</v>
      </c>
      <c r="H963" s="5">
        <f>IFERROR(__xludf.DUMMYFUNCTION("""COMPUTED_VALUE"""),1652.0)</f>
        <v>1652</v>
      </c>
    </row>
    <row r="964">
      <c r="A964" s="4">
        <f>IFERROR(__xludf.DUMMYFUNCTION("""COMPUTED_VALUE"""),43332.0)</f>
        <v>43332</v>
      </c>
      <c r="B964" s="5">
        <f>IFERROR(__xludf.DUMMYFUNCTION("""COMPUTED_VALUE"""),2333.0)</f>
        <v>2333</v>
      </c>
      <c r="C964" s="6">
        <f>IFERROR(__xludf.DUMMYFUNCTION("""COMPUTED_VALUE"""),0.4096)</f>
        <v>0.4096</v>
      </c>
      <c r="D964" s="2">
        <f>IFERROR(__xludf.DUMMYFUNCTION("""COMPUTED_VALUE"""),0.0016550925925925926)</f>
        <v>0.001655092593</v>
      </c>
      <c r="E964" s="1">
        <f>IFERROR(__xludf.DUMMYFUNCTION("""COMPUTED_VALUE"""),1.12)</f>
        <v>1.12</v>
      </c>
      <c r="F964" s="1">
        <f>IFERROR(__xludf.DUMMYFUNCTION("""COMPUTED_VALUE"""),5.03)</f>
        <v>5.03</v>
      </c>
      <c r="G964" s="5">
        <f>IFERROR(__xludf.DUMMYFUNCTION("""COMPUTED_VALUE"""),13122.0)</f>
        <v>13122</v>
      </c>
      <c r="H964" s="5">
        <f>IFERROR(__xludf.DUMMYFUNCTION("""COMPUTED_VALUE"""),2610.0)</f>
        <v>2610</v>
      </c>
    </row>
    <row r="965">
      <c r="A965" s="4">
        <f>IFERROR(__xludf.DUMMYFUNCTION("""COMPUTED_VALUE"""),43333.0)</f>
        <v>43333</v>
      </c>
      <c r="B965" s="5">
        <f>IFERROR(__xludf.DUMMYFUNCTION("""COMPUTED_VALUE"""),2319.0)</f>
        <v>2319</v>
      </c>
      <c r="C965" s="6">
        <f>IFERROR(__xludf.DUMMYFUNCTION("""COMPUTED_VALUE"""),0.346)</f>
        <v>0.346</v>
      </c>
      <c r="D965" s="2">
        <f>IFERROR(__xludf.DUMMYFUNCTION("""COMPUTED_VALUE"""),0.0021527777777777778)</f>
        <v>0.002152777778</v>
      </c>
      <c r="E965" s="1">
        <f>IFERROR(__xludf.DUMMYFUNCTION("""COMPUTED_VALUE"""),1.13)</f>
        <v>1.13</v>
      </c>
      <c r="F965" s="1">
        <f>IFERROR(__xludf.DUMMYFUNCTION("""COMPUTED_VALUE"""),4.81)</f>
        <v>4.81</v>
      </c>
      <c r="G965" s="5">
        <f>IFERROR(__xludf.DUMMYFUNCTION("""COMPUTED_VALUE"""),12566.0)</f>
        <v>12566</v>
      </c>
      <c r="H965" s="5">
        <f>IFERROR(__xludf.DUMMYFUNCTION("""COMPUTED_VALUE"""),2610.0)</f>
        <v>2610</v>
      </c>
    </row>
    <row r="966">
      <c r="A966" s="4">
        <f>IFERROR(__xludf.DUMMYFUNCTION("""COMPUTED_VALUE"""),43334.0)</f>
        <v>43334</v>
      </c>
      <c r="B966" s="5">
        <f>IFERROR(__xludf.DUMMYFUNCTION("""COMPUTED_VALUE"""),2236.0)</f>
        <v>2236</v>
      </c>
      <c r="C966" s="6">
        <f>IFERROR(__xludf.DUMMYFUNCTION("""COMPUTED_VALUE"""),0.446)</f>
        <v>0.446</v>
      </c>
      <c r="D966" s="2">
        <f>IFERROR(__xludf.DUMMYFUNCTION("""COMPUTED_VALUE"""),0.0013078703703703703)</f>
        <v>0.00130787037</v>
      </c>
      <c r="E966" s="1">
        <f>IFERROR(__xludf.DUMMYFUNCTION("""COMPUTED_VALUE"""),1.16)</f>
        <v>1.16</v>
      </c>
      <c r="F966" s="1">
        <f>IFERROR(__xludf.DUMMYFUNCTION("""COMPUTED_VALUE"""),3.53)</f>
        <v>3.53</v>
      </c>
      <c r="G966" s="5">
        <f>IFERROR(__xludf.DUMMYFUNCTION("""COMPUTED_VALUE"""),9123.0)</f>
        <v>9123</v>
      </c>
      <c r="H966" s="5">
        <f>IFERROR(__xludf.DUMMYFUNCTION("""COMPUTED_VALUE"""),2583.0)</f>
        <v>2583</v>
      </c>
    </row>
    <row r="967">
      <c r="A967" s="4">
        <f>IFERROR(__xludf.DUMMYFUNCTION("""COMPUTED_VALUE"""),43335.0)</f>
        <v>43335</v>
      </c>
      <c r="B967" s="5">
        <f>IFERROR(__xludf.DUMMYFUNCTION("""COMPUTED_VALUE"""),2208.0)</f>
        <v>2208</v>
      </c>
      <c r="C967" s="6">
        <f>IFERROR(__xludf.DUMMYFUNCTION("""COMPUTED_VALUE"""),0.4355)</f>
        <v>0.4355</v>
      </c>
      <c r="D967" s="2">
        <f>IFERROR(__xludf.DUMMYFUNCTION("""COMPUTED_VALUE"""),0.002037037037037037)</f>
        <v>0.002037037037</v>
      </c>
      <c r="E967" s="1">
        <f>IFERROR(__xludf.DUMMYFUNCTION("""COMPUTED_VALUE"""),1.17)</f>
        <v>1.17</v>
      </c>
      <c r="F967" s="1">
        <f>IFERROR(__xludf.DUMMYFUNCTION("""COMPUTED_VALUE"""),5.12)</f>
        <v>5.12</v>
      </c>
      <c r="G967" s="5">
        <f>IFERROR(__xludf.DUMMYFUNCTION("""COMPUTED_VALUE"""),13233.0)</f>
        <v>13233</v>
      </c>
      <c r="H967" s="5">
        <f>IFERROR(__xludf.DUMMYFUNCTION("""COMPUTED_VALUE"""),2583.0)</f>
        <v>2583</v>
      </c>
    </row>
    <row r="968">
      <c r="A968" s="4">
        <f>IFERROR(__xludf.DUMMYFUNCTION("""COMPUTED_VALUE"""),43336.0)</f>
        <v>43336</v>
      </c>
      <c r="B968" s="5">
        <f>IFERROR(__xludf.DUMMYFUNCTION("""COMPUTED_VALUE"""),2041.0)</f>
        <v>2041</v>
      </c>
      <c r="C968" s="6">
        <f>IFERROR(__xludf.DUMMYFUNCTION("""COMPUTED_VALUE"""),0.4392)</f>
        <v>0.4392</v>
      </c>
      <c r="D968" s="2">
        <f>IFERROR(__xludf.DUMMYFUNCTION("""COMPUTED_VALUE"""),0.0015972222222222223)</f>
        <v>0.001597222222</v>
      </c>
      <c r="E968" s="1">
        <f>IFERROR(__xludf.DUMMYFUNCTION("""COMPUTED_VALUE"""),1.12)</f>
        <v>1.12</v>
      </c>
      <c r="F968" s="1">
        <f>IFERROR(__xludf.DUMMYFUNCTION("""COMPUTED_VALUE"""),4.18)</f>
        <v>4.18</v>
      </c>
      <c r="G968" s="5">
        <f>IFERROR(__xludf.DUMMYFUNCTION("""COMPUTED_VALUE"""),9525.0)</f>
        <v>9525</v>
      </c>
      <c r="H968" s="5">
        <f>IFERROR(__xludf.DUMMYFUNCTION("""COMPUTED_VALUE"""),2277.0)</f>
        <v>2277</v>
      </c>
    </row>
    <row r="969">
      <c r="A969" s="4">
        <f>IFERROR(__xludf.DUMMYFUNCTION("""COMPUTED_VALUE"""),43337.0)</f>
        <v>43337</v>
      </c>
      <c r="B969" s="5">
        <f>IFERROR(__xludf.DUMMYFUNCTION("""COMPUTED_VALUE"""),1514.0)</f>
        <v>1514</v>
      </c>
      <c r="C969" s="6">
        <f>IFERROR(__xludf.DUMMYFUNCTION("""COMPUTED_VALUE"""),0.4345)</f>
        <v>0.4345</v>
      </c>
      <c r="D969" s="2">
        <f>IFERROR(__xludf.DUMMYFUNCTION("""COMPUTED_VALUE"""),0.0021527777777777778)</f>
        <v>0.002152777778</v>
      </c>
      <c r="E969" s="1">
        <f>IFERROR(__xludf.DUMMYFUNCTION("""COMPUTED_VALUE"""),1.12)</f>
        <v>1.12</v>
      </c>
      <c r="F969" s="1">
        <f>IFERROR(__xludf.DUMMYFUNCTION("""COMPUTED_VALUE"""),4.38)</f>
        <v>4.38</v>
      </c>
      <c r="G969" s="5">
        <f>IFERROR(__xludf.DUMMYFUNCTION("""COMPUTED_VALUE"""),7415.0)</f>
        <v>7415</v>
      </c>
      <c r="H969" s="5">
        <f>IFERROR(__xludf.DUMMYFUNCTION("""COMPUTED_VALUE"""),1694.0)</f>
        <v>1694</v>
      </c>
    </row>
    <row r="970">
      <c r="A970" s="4">
        <f>IFERROR(__xludf.DUMMYFUNCTION("""COMPUTED_VALUE"""),43338.0)</f>
        <v>43338</v>
      </c>
      <c r="B970" s="5">
        <f>IFERROR(__xludf.DUMMYFUNCTION("""COMPUTED_VALUE"""),1666.0)</f>
        <v>1666</v>
      </c>
      <c r="C970" s="6">
        <f>IFERROR(__xludf.DUMMYFUNCTION("""COMPUTED_VALUE"""),0.453)</f>
        <v>0.453</v>
      </c>
      <c r="D970" s="2">
        <f>IFERROR(__xludf.DUMMYFUNCTION("""COMPUTED_VALUE"""),0.0011921296296296296)</f>
        <v>0.00119212963</v>
      </c>
      <c r="E970" s="1">
        <f>IFERROR(__xludf.DUMMYFUNCTION("""COMPUTED_VALUE"""),1.07)</f>
        <v>1.07</v>
      </c>
      <c r="F970" s="1">
        <f>IFERROR(__xludf.DUMMYFUNCTION("""COMPUTED_VALUE"""),4.43)</f>
        <v>4.43</v>
      </c>
      <c r="G970" s="5">
        <f>IFERROR(__xludf.DUMMYFUNCTION("""COMPUTED_VALUE"""),7873.0)</f>
        <v>7873</v>
      </c>
      <c r="H970" s="5">
        <f>IFERROR(__xludf.DUMMYFUNCTION("""COMPUTED_VALUE"""),1777.0)</f>
        <v>1777</v>
      </c>
    </row>
    <row r="971">
      <c r="A971" s="4">
        <f>IFERROR(__xludf.DUMMYFUNCTION("""COMPUTED_VALUE"""),43339.0)</f>
        <v>43339</v>
      </c>
      <c r="B971" s="5">
        <f>IFERROR(__xludf.DUMMYFUNCTION("""COMPUTED_VALUE"""),2361.0)</f>
        <v>2361</v>
      </c>
      <c r="C971" s="6">
        <f>IFERROR(__xludf.DUMMYFUNCTION("""COMPUTED_VALUE"""),0.4341)</f>
        <v>0.4341</v>
      </c>
      <c r="D971" s="2">
        <f>IFERROR(__xludf.DUMMYFUNCTION("""COMPUTED_VALUE"""),0.0015046296296296296)</f>
        <v>0.00150462963</v>
      </c>
      <c r="E971" s="1">
        <f>IFERROR(__xludf.DUMMYFUNCTION("""COMPUTED_VALUE"""),1.11)</f>
        <v>1.11</v>
      </c>
      <c r="F971" s="1">
        <f>IFERROR(__xludf.DUMMYFUNCTION("""COMPUTED_VALUE"""),4.51)</f>
        <v>4.51</v>
      </c>
      <c r="G971" s="5">
        <f>IFERROR(__xludf.DUMMYFUNCTION("""COMPUTED_VALUE"""),11844.0)</f>
        <v>11844</v>
      </c>
      <c r="H971" s="5">
        <f>IFERROR(__xludf.DUMMYFUNCTION("""COMPUTED_VALUE"""),2624.0)</f>
        <v>2624</v>
      </c>
    </row>
    <row r="972">
      <c r="A972" s="4">
        <f>IFERROR(__xludf.DUMMYFUNCTION("""COMPUTED_VALUE"""),43340.0)</f>
        <v>43340</v>
      </c>
      <c r="B972" s="5">
        <f>IFERROR(__xludf.DUMMYFUNCTION("""COMPUTED_VALUE"""),2416.0)</f>
        <v>2416</v>
      </c>
      <c r="C972" s="6">
        <f>IFERROR(__xludf.DUMMYFUNCTION("""COMPUTED_VALUE"""),0.3979)</f>
        <v>0.3979</v>
      </c>
      <c r="D972" s="2">
        <f>IFERROR(__xludf.DUMMYFUNCTION("""COMPUTED_VALUE"""),0.0015162037037037036)</f>
        <v>0.001516203704</v>
      </c>
      <c r="E972" s="1">
        <f>IFERROR(__xludf.DUMMYFUNCTION("""COMPUTED_VALUE"""),1.13)</f>
        <v>1.13</v>
      </c>
      <c r="F972" s="1">
        <f>IFERROR(__xludf.DUMMYFUNCTION("""COMPUTED_VALUE"""),4.46)</f>
        <v>4.46</v>
      </c>
      <c r="G972" s="5">
        <f>IFERROR(__xludf.DUMMYFUNCTION("""COMPUTED_VALUE"""),12150.0)</f>
        <v>12150</v>
      </c>
      <c r="H972" s="5">
        <f>IFERROR(__xludf.DUMMYFUNCTION("""COMPUTED_VALUE"""),2722.0)</f>
        <v>2722</v>
      </c>
    </row>
    <row r="973">
      <c r="A973" s="4">
        <f>IFERROR(__xludf.DUMMYFUNCTION("""COMPUTED_VALUE"""),43341.0)</f>
        <v>43341</v>
      </c>
      <c r="B973" s="5">
        <f>IFERROR(__xludf.DUMMYFUNCTION("""COMPUTED_VALUE"""),2485.0)</f>
        <v>2485</v>
      </c>
      <c r="C973" s="6">
        <f>IFERROR(__xludf.DUMMYFUNCTION("""COMPUTED_VALUE"""),0.4366)</f>
        <v>0.4366</v>
      </c>
      <c r="D973" s="2">
        <f>IFERROR(__xludf.DUMMYFUNCTION("""COMPUTED_VALUE"""),0.001736111111111111)</f>
        <v>0.001736111111</v>
      </c>
      <c r="E973" s="1">
        <f>IFERROR(__xludf.DUMMYFUNCTION("""COMPUTED_VALUE"""),1.1)</f>
        <v>1.1</v>
      </c>
      <c r="F973" s="1">
        <f>IFERROR(__xludf.DUMMYFUNCTION("""COMPUTED_VALUE"""),4.32)</f>
        <v>4.32</v>
      </c>
      <c r="G973" s="5">
        <f>IFERROR(__xludf.DUMMYFUNCTION("""COMPUTED_VALUE"""),11803.0)</f>
        <v>11803</v>
      </c>
      <c r="H973" s="5">
        <f>IFERROR(__xludf.DUMMYFUNCTION("""COMPUTED_VALUE"""),2735.0)</f>
        <v>2735</v>
      </c>
    </row>
    <row r="974">
      <c r="A974" s="4">
        <f>IFERROR(__xludf.DUMMYFUNCTION("""COMPUTED_VALUE"""),43342.0)</f>
        <v>43342</v>
      </c>
      <c r="B974" s="5">
        <f>IFERROR(__xludf.DUMMYFUNCTION("""COMPUTED_VALUE"""),2333.0)</f>
        <v>2333</v>
      </c>
      <c r="C974" s="6">
        <f>IFERROR(__xludf.DUMMYFUNCTION("""COMPUTED_VALUE"""),0.3979)</f>
        <v>0.3979</v>
      </c>
      <c r="D974" s="2">
        <f>IFERROR(__xludf.DUMMYFUNCTION("""COMPUTED_VALUE"""),0.0022685185185185187)</f>
        <v>0.002268518519</v>
      </c>
      <c r="E974" s="1">
        <f>IFERROR(__xludf.DUMMYFUNCTION("""COMPUTED_VALUE"""),1.08)</f>
        <v>1.08</v>
      </c>
      <c r="F974" s="1">
        <f>IFERROR(__xludf.DUMMYFUNCTION("""COMPUTED_VALUE"""),5.17)</f>
        <v>5.17</v>
      </c>
      <c r="G974" s="5">
        <f>IFERROR(__xludf.DUMMYFUNCTION("""COMPUTED_VALUE"""),12983.0)</f>
        <v>12983</v>
      </c>
      <c r="H974" s="5">
        <f>IFERROR(__xludf.DUMMYFUNCTION("""COMPUTED_VALUE"""),2513.0)</f>
        <v>2513</v>
      </c>
    </row>
    <row r="975">
      <c r="A975" s="4">
        <f>IFERROR(__xludf.DUMMYFUNCTION("""COMPUTED_VALUE"""),43343.0)</f>
        <v>43343</v>
      </c>
      <c r="B975" s="5">
        <f>IFERROR(__xludf.DUMMYFUNCTION("""COMPUTED_VALUE"""),1972.0)</f>
        <v>1972</v>
      </c>
      <c r="C975" s="6">
        <f>IFERROR(__xludf.DUMMYFUNCTION("""COMPUTED_VALUE"""),0.4097)</f>
        <v>0.4097</v>
      </c>
      <c r="D975" s="2">
        <f>IFERROR(__xludf.DUMMYFUNCTION("""COMPUTED_VALUE"""),0.002349537037037037)</f>
        <v>0.002349537037</v>
      </c>
      <c r="E975" s="1">
        <f>IFERROR(__xludf.DUMMYFUNCTION("""COMPUTED_VALUE"""),1.13)</f>
        <v>1.13</v>
      </c>
      <c r="F975" s="1">
        <f>IFERROR(__xludf.DUMMYFUNCTION("""COMPUTED_VALUE"""),5.11)</f>
        <v>5.11</v>
      </c>
      <c r="G975" s="5">
        <f>IFERROR(__xludf.DUMMYFUNCTION("""COMPUTED_VALUE"""),11428.0)</f>
        <v>11428</v>
      </c>
      <c r="H975" s="5">
        <f>IFERROR(__xludf.DUMMYFUNCTION("""COMPUTED_VALUE"""),2236.0)</f>
        <v>2236</v>
      </c>
    </row>
    <row r="976">
      <c r="A976" s="4">
        <f>IFERROR(__xludf.DUMMYFUNCTION("""COMPUTED_VALUE"""),43344.0)</f>
        <v>43344</v>
      </c>
      <c r="B976" s="5">
        <f>IFERROR(__xludf.DUMMYFUNCTION("""COMPUTED_VALUE"""),1361.0)</f>
        <v>1361</v>
      </c>
      <c r="C976" s="6">
        <f>IFERROR(__xludf.DUMMYFUNCTION("""COMPUTED_VALUE"""),0.467)</f>
        <v>0.467</v>
      </c>
      <c r="D976" s="2">
        <f>IFERROR(__xludf.DUMMYFUNCTION("""COMPUTED_VALUE"""),0.0020601851851851853)</f>
        <v>0.002060185185</v>
      </c>
      <c r="E976" s="1">
        <f>IFERROR(__xludf.DUMMYFUNCTION("""COMPUTED_VALUE"""),1.09)</f>
        <v>1.09</v>
      </c>
      <c r="F976" s="1">
        <f>IFERROR(__xludf.DUMMYFUNCTION("""COMPUTED_VALUE"""),5.35)</f>
        <v>5.35</v>
      </c>
      <c r="G976" s="5">
        <f>IFERROR(__xludf.DUMMYFUNCTION("""COMPUTED_VALUE"""),7956.0)</f>
        <v>7956</v>
      </c>
      <c r="H976" s="5">
        <f>IFERROR(__xludf.DUMMYFUNCTION("""COMPUTED_VALUE"""),1486.0)</f>
        <v>1486</v>
      </c>
    </row>
    <row r="977">
      <c r="A977" s="4">
        <f>IFERROR(__xludf.DUMMYFUNCTION("""COMPUTED_VALUE"""),43345.0)</f>
        <v>43345</v>
      </c>
      <c r="B977" s="5">
        <f>IFERROR(__xludf.DUMMYFUNCTION("""COMPUTED_VALUE"""),1430.0)</f>
        <v>1430</v>
      </c>
      <c r="C977" s="6">
        <f>IFERROR(__xludf.DUMMYFUNCTION("""COMPUTED_VALUE"""),0.4473)</f>
        <v>0.4473</v>
      </c>
      <c r="D977" s="2">
        <f>IFERROR(__xludf.DUMMYFUNCTION("""COMPUTED_VALUE"""),0.0017824074074074075)</f>
        <v>0.001782407407</v>
      </c>
      <c r="E977" s="1">
        <f>IFERROR(__xludf.DUMMYFUNCTION("""COMPUTED_VALUE"""),1.11)</f>
        <v>1.11</v>
      </c>
      <c r="F977" s="1">
        <f>IFERROR(__xludf.DUMMYFUNCTION("""COMPUTED_VALUE"""),4.99)</f>
        <v>4.99</v>
      </c>
      <c r="G977" s="5">
        <f>IFERROR(__xludf.DUMMYFUNCTION("""COMPUTED_VALUE"""),7901.0)</f>
        <v>7901</v>
      </c>
      <c r="H977" s="5">
        <f>IFERROR(__xludf.DUMMYFUNCTION("""COMPUTED_VALUE"""),1583.0)</f>
        <v>1583</v>
      </c>
    </row>
    <row r="978">
      <c r="A978" s="4">
        <f>IFERROR(__xludf.DUMMYFUNCTION("""COMPUTED_VALUE"""),43346.0)</f>
        <v>43346</v>
      </c>
      <c r="B978" s="5">
        <f>IFERROR(__xludf.DUMMYFUNCTION("""COMPUTED_VALUE"""),1763.0)</f>
        <v>1763</v>
      </c>
      <c r="C978" s="6">
        <f>IFERROR(__xludf.DUMMYFUNCTION("""COMPUTED_VALUE"""),0.4678)</f>
        <v>0.4678</v>
      </c>
      <c r="D978" s="2">
        <f>IFERROR(__xludf.DUMMYFUNCTION("""COMPUTED_VALUE"""),0.001712962962962963)</f>
        <v>0.001712962963</v>
      </c>
      <c r="E978" s="1">
        <f>IFERROR(__xludf.DUMMYFUNCTION("""COMPUTED_VALUE"""),1.11)</f>
        <v>1.11</v>
      </c>
      <c r="F978" s="1">
        <f>IFERROR(__xludf.DUMMYFUNCTION("""COMPUTED_VALUE"""),4.91)</f>
        <v>4.91</v>
      </c>
      <c r="G978" s="5">
        <f>IFERROR(__xludf.DUMMYFUNCTION("""COMPUTED_VALUE"""),9623.0)</f>
        <v>9623</v>
      </c>
      <c r="H978" s="5">
        <f>IFERROR(__xludf.DUMMYFUNCTION("""COMPUTED_VALUE"""),1958.0)</f>
        <v>1958</v>
      </c>
    </row>
    <row r="979">
      <c r="A979" s="4">
        <f>IFERROR(__xludf.DUMMYFUNCTION("""COMPUTED_VALUE"""),43347.0)</f>
        <v>43347</v>
      </c>
      <c r="B979" s="5">
        <f>IFERROR(__xludf.DUMMYFUNCTION("""COMPUTED_VALUE"""),2333.0)</f>
        <v>2333</v>
      </c>
      <c r="C979" s="6">
        <f>IFERROR(__xludf.DUMMYFUNCTION("""COMPUTED_VALUE"""),0.4096)</f>
        <v>0.4096</v>
      </c>
      <c r="D979" s="2">
        <f>IFERROR(__xludf.DUMMYFUNCTION("""COMPUTED_VALUE"""),0.0019560185185185184)</f>
        <v>0.001956018519</v>
      </c>
      <c r="E979" s="1">
        <f>IFERROR(__xludf.DUMMYFUNCTION("""COMPUTED_VALUE"""),1.12)</f>
        <v>1.12</v>
      </c>
      <c r="F979" s="1">
        <f>IFERROR(__xludf.DUMMYFUNCTION("""COMPUTED_VALUE"""),4.27)</f>
        <v>4.27</v>
      </c>
      <c r="G979" s="5">
        <f>IFERROR(__xludf.DUMMYFUNCTION("""COMPUTED_VALUE"""),11150.0)</f>
        <v>11150</v>
      </c>
      <c r="H979" s="5">
        <f>IFERROR(__xludf.DUMMYFUNCTION("""COMPUTED_VALUE"""),2610.0)</f>
        <v>2610</v>
      </c>
    </row>
    <row r="980">
      <c r="A980" s="4">
        <f>IFERROR(__xludf.DUMMYFUNCTION("""COMPUTED_VALUE"""),43348.0)</f>
        <v>43348</v>
      </c>
      <c r="B980" s="5">
        <f>IFERROR(__xludf.DUMMYFUNCTION("""COMPUTED_VALUE"""),2472.0)</f>
        <v>2472</v>
      </c>
      <c r="C980" s="6">
        <f>IFERROR(__xludf.DUMMYFUNCTION("""COMPUTED_VALUE"""),0.5072)</f>
        <v>0.5072</v>
      </c>
      <c r="D980" s="2">
        <f>IFERROR(__xludf.DUMMYFUNCTION("""COMPUTED_VALUE"""),0.0013541666666666667)</f>
        <v>0.001354166667</v>
      </c>
      <c r="E980" s="1">
        <f>IFERROR(__xludf.DUMMYFUNCTION("""COMPUTED_VALUE"""),1.15)</f>
        <v>1.15</v>
      </c>
      <c r="F980" s="1">
        <f>IFERROR(__xludf.DUMMYFUNCTION("""COMPUTED_VALUE"""),4.14)</f>
        <v>4.14</v>
      </c>
      <c r="G980" s="5">
        <f>IFERROR(__xludf.DUMMYFUNCTION("""COMPUTED_VALUE"""),11775.0)</f>
        <v>11775</v>
      </c>
      <c r="H980" s="5">
        <f>IFERROR(__xludf.DUMMYFUNCTION("""COMPUTED_VALUE"""),2847.0)</f>
        <v>2847</v>
      </c>
    </row>
    <row r="981">
      <c r="A981" s="4">
        <f>IFERROR(__xludf.DUMMYFUNCTION("""COMPUTED_VALUE"""),43349.0)</f>
        <v>43349</v>
      </c>
      <c r="B981" s="5">
        <f>IFERROR(__xludf.DUMMYFUNCTION("""COMPUTED_VALUE"""),2444.0)</f>
        <v>2444</v>
      </c>
      <c r="C981" s="6">
        <f>IFERROR(__xludf.DUMMYFUNCTION("""COMPUTED_VALUE"""),0.4143)</f>
        <v>0.4143</v>
      </c>
      <c r="D981" s="2">
        <f>IFERROR(__xludf.DUMMYFUNCTION("""COMPUTED_VALUE"""),0.002025462962962963)</f>
        <v>0.002025462963</v>
      </c>
      <c r="E981" s="1">
        <f>IFERROR(__xludf.DUMMYFUNCTION("""COMPUTED_VALUE"""),1.12)</f>
        <v>1.12</v>
      </c>
      <c r="F981" s="1">
        <f>IFERROR(__xludf.DUMMYFUNCTION("""COMPUTED_VALUE"""),4.7)</f>
        <v>4.7</v>
      </c>
      <c r="G981" s="5">
        <f>IFERROR(__xludf.DUMMYFUNCTION("""COMPUTED_VALUE"""),12927.0)</f>
        <v>12927</v>
      </c>
      <c r="H981" s="5">
        <f>IFERROR(__xludf.DUMMYFUNCTION("""COMPUTED_VALUE"""),2749.0)</f>
        <v>2749</v>
      </c>
    </row>
    <row r="982">
      <c r="A982" s="4">
        <f>IFERROR(__xludf.DUMMYFUNCTION("""COMPUTED_VALUE"""),43350.0)</f>
        <v>43350</v>
      </c>
      <c r="B982" s="5">
        <f>IFERROR(__xludf.DUMMYFUNCTION("""COMPUTED_VALUE"""),2055.0)</f>
        <v>2055</v>
      </c>
      <c r="C982" s="6">
        <f>IFERROR(__xludf.DUMMYFUNCTION("""COMPUTED_VALUE"""),0.433)</f>
        <v>0.433</v>
      </c>
      <c r="D982" s="2">
        <f>IFERROR(__xludf.DUMMYFUNCTION("""COMPUTED_VALUE"""),0.0020601851851851853)</f>
        <v>0.002060185185</v>
      </c>
      <c r="E982" s="1">
        <f>IFERROR(__xludf.DUMMYFUNCTION("""COMPUTED_VALUE"""),1.16)</f>
        <v>1.16</v>
      </c>
      <c r="F982" s="1">
        <f>IFERROR(__xludf.DUMMYFUNCTION("""COMPUTED_VALUE"""),6.28)</f>
        <v>6.28</v>
      </c>
      <c r="G982" s="5">
        <f>IFERROR(__xludf.DUMMYFUNCTION("""COMPUTED_VALUE"""),14899.0)</f>
        <v>14899</v>
      </c>
      <c r="H982" s="5">
        <f>IFERROR(__xludf.DUMMYFUNCTION("""COMPUTED_VALUE"""),2374.0)</f>
        <v>2374</v>
      </c>
    </row>
    <row r="983">
      <c r="A983" s="4">
        <f>IFERROR(__xludf.DUMMYFUNCTION("""COMPUTED_VALUE"""),43351.0)</f>
        <v>43351</v>
      </c>
      <c r="B983" s="5">
        <f>IFERROR(__xludf.DUMMYFUNCTION("""COMPUTED_VALUE"""),1347.0)</f>
        <v>1347</v>
      </c>
      <c r="C983" s="6">
        <f>IFERROR(__xludf.DUMMYFUNCTION("""COMPUTED_VALUE"""),0.5048)</f>
        <v>0.5048</v>
      </c>
      <c r="D983" s="2">
        <f>IFERROR(__xludf.DUMMYFUNCTION("""COMPUTED_VALUE"""),0.0018171296296296297)</f>
        <v>0.00181712963</v>
      </c>
      <c r="E983" s="1">
        <f>IFERROR(__xludf.DUMMYFUNCTION("""COMPUTED_VALUE"""),1.08)</f>
        <v>1.08</v>
      </c>
      <c r="F983" s="1">
        <f>IFERROR(__xludf.DUMMYFUNCTION("""COMPUTED_VALUE"""),4.59)</f>
        <v>4.59</v>
      </c>
      <c r="G983" s="5">
        <f>IFERROR(__xludf.DUMMYFUNCTION("""COMPUTED_VALUE"""),6693.0)</f>
        <v>6693</v>
      </c>
      <c r="H983" s="5">
        <f>IFERROR(__xludf.DUMMYFUNCTION("""COMPUTED_VALUE"""),1458.0)</f>
        <v>1458</v>
      </c>
    </row>
    <row r="984">
      <c r="A984" s="4">
        <f>IFERROR(__xludf.DUMMYFUNCTION("""COMPUTED_VALUE"""),43352.0)</f>
        <v>43352</v>
      </c>
      <c r="B984" s="5">
        <f>IFERROR(__xludf.DUMMYFUNCTION("""COMPUTED_VALUE"""),1416.0)</f>
        <v>1416</v>
      </c>
      <c r="C984" s="6">
        <f>IFERROR(__xludf.DUMMYFUNCTION("""COMPUTED_VALUE"""),0.4615)</f>
        <v>0.4615</v>
      </c>
      <c r="D984" s="2">
        <f>IFERROR(__xludf.DUMMYFUNCTION("""COMPUTED_VALUE"""),0.0021875)</f>
        <v>0.0021875</v>
      </c>
      <c r="E984" s="1">
        <f>IFERROR(__xludf.DUMMYFUNCTION("""COMPUTED_VALUE"""),1.15)</f>
        <v>1.15</v>
      </c>
      <c r="F984" s="1">
        <f>IFERROR(__xludf.DUMMYFUNCTION("""COMPUTED_VALUE"""),5.67)</f>
        <v>5.67</v>
      </c>
      <c r="G984" s="5">
        <f>IFERROR(__xludf.DUMMYFUNCTION("""COMPUTED_VALUE"""),9220.0)</f>
        <v>9220</v>
      </c>
      <c r="H984" s="5">
        <f>IFERROR(__xludf.DUMMYFUNCTION("""COMPUTED_VALUE"""),1625.0)</f>
        <v>1625</v>
      </c>
    </row>
    <row r="985">
      <c r="A985" s="4">
        <f>IFERROR(__xludf.DUMMYFUNCTION("""COMPUTED_VALUE"""),43353.0)</f>
        <v>43353</v>
      </c>
      <c r="B985" s="5">
        <f>IFERROR(__xludf.DUMMYFUNCTION("""COMPUTED_VALUE"""),2236.0)</f>
        <v>2236</v>
      </c>
      <c r="C985" s="6">
        <f>IFERROR(__xludf.DUMMYFUNCTION("""COMPUTED_VALUE"""),0.3608)</f>
        <v>0.3608</v>
      </c>
      <c r="D985" s="2">
        <f>IFERROR(__xludf.DUMMYFUNCTION("""COMPUTED_VALUE"""),0.001712962962962963)</f>
        <v>0.001712962963</v>
      </c>
      <c r="E985" s="1">
        <f>IFERROR(__xludf.DUMMYFUNCTION("""COMPUTED_VALUE"""),1.2)</f>
        <v>1.2</v>
      </c>
      <c r="F985" s="1">
        <f>IFERROR(__xludf.DUMMYFUNCTION("""COMPUTED_VALUE"""),4.93)</f>
        <v>4.93</v>
      </c>
      <c r="G985" s="5">
        <f>IFERROR(__xludf.DUMMYFUNCTION("""COMPUTED_VALUE"""),13288.0)</f>
        <v>13288</v>
      </c>
      <c r="H985" s="5">
        <f>IFERROR(__xludf.DUMMYFUNCTION("""COMPUTED_VALUE"""),2694.0)</f>
        <v>2694</v>
      </c>
    </row>
    <row r="986">
      <c r="A986" s="4">
        <f>IFERROR(__xludf.DUMMYFUNCTION("""COMPUTED_VALUE"""),43354.0)</f>
        <v>43354</v>
      </c>
      <c r="B986" s="5">
        <f>IFERROR(__xludf.DUMMYFUNCTION("""COMPUTED_VALUE"""),2319.0)</f>
        <v>2319</v>
      </c>
      <c r="C986" s="6">
        <f>IFERROR(__xludf.DUMMYFUNCTION("""COMPUTED_VALUE"""),0.3844)</f>
        <v>0.3844</v>
      </c>
      <c r="D986" s="2">
        <f>IFERROR(__xludf.DUMMYFUNCTION("""COMPUTED_VALUE"""),0.0016782407407407408)</f>
        <v>0.001678240741</v>
      </c>
      <c r="E986" s="1">
        <f>IFERROR(__xludf.DUMMYFUNCTION("""COMPUTED_VALUE"""),1.17)</f>
        <v>1.17</v>
      </c>
      <c r="F986" s="1">
        <f>IFERROR(__xludf.DUMMYFUNCTION("""COMPUTED_VALUE"""),4.71)</f>
        <v>4.71</v>
      </c>
      <c r="G986" s="5">
        <f>IFERROR(__xludf.DUMMYFUNCTION("""COMPUTED_VALUE"""),12761.0)</f>
        <v>12761</v>
      </c>
      <c r="H986" s="5">
        <f>IFERROR(__xludf.DUMMYFUNCTION("""COMPUTED_VALUE"""),2708.0)</f>
        <v>2708</v>
      </c>
    </row>
    <row r="987">
      <c r="A987" s="4">
        <f>IFERROR(__xludf.DUMMYFUNCTION("""COMPUTED_VALUE"""),43355.0)</f>
        <v>43355</v>
      </c>
      <c r="B987" s="5">
        <f>IFERROR(__xludf.DUMMYFUNCTION("""COMPUTED_VALUE"""),2249.0)</f>
        <v>2249</v>
      </c>
      <c r="C987" s="6">
        <f>IFERROR(__xludf.DUMMYFUNCTION("""COMPUTED_VALUE"""),0.439)</f>
        <v>0.439</v>
      </c>
      <c r="D987" s="2">
        <f>IFERROR(__xludf.DUMMYFUNCTION("""COMPUTED_VALUE"""),0.0023263888888888887)</f>
        <v>0.002326388889</v>
      </c>
      <c r="E987" s="1">
        <f>IFERROR(__xludf.DUMMYFUNCTION("""COMPUTED_VALUE"""),1.11)</f>
        <v>1.11</v>
      </c>
      <c r="F987" s="1">
        <f>IFERROR(__xludf.DUMMYFUNCTION("""COMPUTED_VALUE"""),4.63)</f>
        <v>4.63</v>
      </c>
      <c r="G987" s="5">
        <f>IFERROR(__xludf.DUMMYFUNCTION("""COMPUTED_VALUE"""),11580.0)</f>
        <v>11580</v>
      </c>
      <c r="H987" s="5">
        <f>IFERROR(__xludf.DUMMYFUNCTION("""COMPUTED_VALUE"""),2499.0)</f>
        <v>2499</v>
      </c>
    </row>
    <row r="988">
      <c r="A988" s="4">
        <f>IFERROR(__xludf.DUMMYFUNCTION("""COMPUTED_VALUE"""),43356.0)</f>
        <v>43356</v>
      </c>
      <c r="B988" s="5">
        <f>IFERROR(__xludf.DUMMYFUNCTION("""COMPUTED_VALUE"""),2347.0)</f>
        <v>2347</v>
      </c>
      <c r="C988" s="6">
        <f>IFERROR(__xludf.DUMMYFUNCTION("""COMPUTED_VALUE"""),0.4817)</f>
        <v>0.4817</v>
      </c>
      <c r="D988" s="2">
        <f>IFERROR(__xludf.DUMMYFUNCTION("""COMPUTED_VALUE"""),0.0016203703703703703)</f>
        <v>0.00162037037</v>
      </c>
      <c r="E988" s="1">
        <f>IFERROR(__xludf.DUMMYFUNCTION("""COMPUTED_VALUE"""),1.14)</f>
        <v>1.14</v>
      </c>
      <c r="F988" s="1">
        <f>IFERROR(__xludf.DUMMYFUNCTION("""COMPUTED_VALUE"""),3.9)</f>
        <v>3.9</v>
      </c>
      <c r="G988" s="5">
        <f>IFERROR(__xludf.DUMMYFUNCTION("""COMPUTED_VALUE"""),10456.0)</f>
        <v>10456</v>
      </c>
      <c r="H988" s="5">
        <f>IFERROR(__xludf.DUMMYFUNCTION("""COMPUTED_VALUE"""),2680.0)</f>
        <v>2680</v>
      </c>
    </row>
    <row r="989">
      <c r="A989" s="4">
        <f>IFERROR(__xludf.DUMMYFUNCTION("""COMPUTED_VALUE"""),43357.0)</f>
        <v>43357</v>
      </c>
      <c r="B989" s="5">
        <f>IFERROR(__xludf.DUMMYFUNCTION("""COMPUTED_VALUE"""),2152.0)</f>
        <v>2152</v>
      </c>
      <c r="C989" s="6">
        <f>IFERROR(__xludf.DUMMYFUNCTION("""COMPUTED_VALUE"""),0.3762)</f>
        <v>0.3762</v>
      </c>
      <c r="D989" s="2">
        <f>IFERROR(__xludf.DUMMYFUNCTION("""COMPUTED_VALUE"""),0.0023032407407407407)</f>
        <v>0.002303240741</v>
      </c>
      <c r="E989" s="1">
        <f>IFERROR(__xludf.DUMMYFUNCTION("""COMPUTED_VALUE"""),1.15)</f>
        <v>1.15</v>
      </c>
      <c r="F989" s="1">
        <f>IFERROR(__xludf.DUMMYFUNCTION("""COMPUTED_VALUE"""),5.24)</f>
        <v>5.24</v>
      </c>
      <c r="G989" s="5">
        <f>IFERROR(__xludf.DUMMYFUNCTION("""COMPUTED_VALUE"""),12955.0)</f>
        <v>12955</v>
      </c>
      <c r="H989" s="5">
        <f>IFERROR(__xludf.DUMMYFUNCTION("""COMPUTED_VALUE"""),2472.0)</f>
        <v>2472</v>
      </c>
    </row>
    <row r="990">
      <c r="A990" s="4">
        <f>IFERROR(__xludf.DUMMYFUNCTION("""COMPUTED_VALUE"""),43358.0)</f>
        <v>43358</v>
      </c>
      <c r="B990" s="5">
        <f>IFERROR(__xludf.DUMMYFUNCTION("""COMPUTED_VALUE"""),1583.0)</f>
        <v>1583</v>
      </c>
      <c r="C990" s="6">
        <f>IFERROR(__xludf.DUMMYFUNCTION("""COMPUTED_VALUE"""),0.4756)</f>
        <v>0.4756</v>
      </c>
      <c r="D990" s="2">
        <f>IFERROR(__xludf.DUMMYFUNCTION("""COMPUTED_VALUE"""),0.0020833333333333333)</f>
        <v>0.002083333333</v>
      </c>
      <c r="E990" s="1">
        <f>IFERROR(__xludf.DUMMYFUNCTION("""COMPUTED_VALUE"""),1.09)</f>
        <v>1.09</v>
      </c>
      <c r="F990" s="1">
        <f>IFERROR(__xludf.DUMMYFUNCTION("""COMPUTED_VALUE"""),5.31)</f>
        <v>5.31</v>
      </c>
      <c r="G990" s="5">
        <f>IFERROR(__xludf.DUMMYFUNCTION("""COMPUTED_VALUE"""),9150.0)</f>
        <v>9150</v>
      </c>
      <c r="H990" s="5">
        <f>IFERROR(__xludf.DUMMYFUNCTION("""COMPUTED_VALUE"""),1722.0)</f>
        <v>1722</v>
      </c>
    </row>
    <row r="991">
      <c r="A991" s="4">
        <f>IFERROR(__xludf.DUMMYFUNCTION("""COMPUTED_VALUE"""),43359.0)</f>
        <v>43359</v>
      </c>
      <c r="B991" s="5">
        <f>IFERROR(__xludf.DUMMYFUNCTION("""COMPUTED_VALUE"""),1569.0)</f>
        <v>1569</v>
      </c>
      <c r="C991" s="6">
        <f>IFERROR(__xludf.DUMMYFUNCTION("""COMPUTED_VALUE"""),0.4495)</f>
        <v>0.4495</v>
      </c>
      <c r="D991" s="2">
        <f>IFERROR(__xludf.DUMMYFUNCTION("""COMPUTED_VALUE"""),0.002372685185185185)</f>
        <v>0.002372685185</v>
      </c>
      <c r="E991" s="1">
        <f>IFERROR(__xludf.DUMMYFUNCTION("""COMPUTED_VALUE"""),1.14)</f>
        <v>1.14</v>
      </c>
      <c r="F991" s="1">
        <f>IFERROR(__xludf.DUMMYFUNCTION("""COMPUTED_VALUE"""),5.71)</f>
        <v>5.71</v>
      </c>
      <c r="G991" s="5">
        <f>IFERROR(__xludf.DUMMYFUNCTION("""COMPUTED_VALUE"""),10220.0)</f>
        <v>10220</v>
      </c>
      <c r="H991" s="5">
        <f>IFERROR(__xludf.DUMMYFUNCTION("""COMPUTED_VALUE"""),1791.0)</f>
        <v>1791</v>
      </c>
    </row>
    <row r="992">
      <c r="A992" s="4">
        <f>IFERROR(__xludf.DUMMYFUNCTION("""COMPUTED_VALUE"""),43360.0)</f>
        <v>43360</v>
      </c>
      <c r="B992" s="5">
        <f>IFERROR(__xludf.DUMMYFUNCTION("""COMPUTED_VALUE"""),2361.0)</f>
        <v>2361</v>
      </c>
      <c r="C992" s="6">
        <f>IFERROR(__xludf.DUMMYFUNCTION("""COMPUTED_VALUE"""),0.5078)</f>
        <v>0.5078</v>
      </c>
      <c r="D992" s="2">
        <f>IFERROR(__xludf.DUMMYFUNCTION("""COMPUTED_VALUE"""),0.0013541666666666667)</f>
        <v>0.001354166667</v>
      </c>
      <c r="E992" s="1">
        <f>IFERROR(__xludf.DUMMYFUNCTION("""COMPUTED_VALUE"""),1.14)</f>
        <v>1.14</v>
      </c>
      <c r="F992" s="1">
        <f>IFERROR(__xludf.DUMMYFUNCTION("""COMPUTED_VALUE"""),3.0)</f>
        <v>3</v>
      </c>
      <c r="G992" s="5">
        <f>IFERROR(__xludf.DUMMYFUNCTION("""COMPUTED_VALUE"""),8040.0)</f>
        <v>8040</v>
      </c>
      <c r="H992" s="5">
        <f>IFERROR(__xludf.DUMMYFUNCTION("""COMPUTED_VALUE"""),2680.0)</f>
        <v>2680</v>
      </c>
    </row>
    <row r="993">
      <c r="A993" s="4">
        <f>IFERROR(__xludf.DUMMYFUNCTION("""COMPUTED_VALUE"""),43361.0)</f>
        <v>43361</v>
      </c>
      <c r="B993" s="5">
        <f>IFERROR(__xludf.DUMMYFUNCTION("""COMPUTED_VALUE"""),2485.0)</f>
        <v>2485</v>
      </c>
      <c r="C993" s="6">
        <f>IFERROR(__xludf.DUMMYFUNCTION("""COMPUTED_VALUE"""),0.4649)</f>
        <v>0.4649</v>
      </c>
      <c r="D993" s="2">
        <f>IFERROR(__xludf.DUMMYFUNCTION("""COMPUTED_VALUE"""),0.0014351851851851852)</f>
        <v>0.001435185185</v>
      </c>
      <c r="E993" s="1">
        <f>IFERROR(__xludf.DUMMYFUNCTION("""COMPUTED_VALUE"""),1.12)</f>
        <v>1.12</v>
      </c>
      <c r="F993" s="1">
        <f>IFERROR(__xludf.DUMMYFUNCTION("""COMPUTED_VALUE"""),3.42)</f>
        <v>3.42</v>
      </c>
      <c r="G993" s="5">
        <f>IFERROR(__xludf.DUMMYFUNCTION("""COMPUTED_VALUE"""),9484.0)</f>
        <v>9484</v>
      </c>
      <c r="H993" s="5">
        <f>IFERROR(__xludf.DUMMYFUNCTION("""COMPUTED_VALUE"""),2777.0)</f>
        <v>2777</v>
      </c>
    </row>
    <row r="994">
      <c r="A994" s="4">
        <f>IFERROR(__xludf.DUMMYFUNCTION("""COMPUTED_VALUE"""),43362.0)</f>
        <v>43362</v>
      </c>
      <c r="B994" s="5">
        <f>IFERROR(__xludf.DUMMYFUNCTION("""COMPUTED_VALUE"""),2583.0)</f>
        <v>2583</v>
      </c>
      <c r="C994" s="6">
        <f>IFERROR(__xludf.DUMMYFUNCTION("""COMPUTED_VALUE"""),0.44)</f>
        <v>0.44</v>
      </c>
      <c r="D994" s="2">
        <f>IFERROR(__xludf.DUMMYFUNCTION("""COMPUTED_VALUE"""),0.0016087962962962963)</f>
        <v>0.001608796296</v>
      </c>
      <c r="E994" s="1">
        <f>IFERROR(__xludf.DUMMYFUNCTION("""COMPUTED_VALUE"""),1.12)</f>
        <v>1.12</v>
      </c>
      <c r="F994" s="1">
        <f>IFERROR(__xludf.DUMMYFUNCTION("""COMPUTED_VALUE"""),3.82)</f>
        <v>3.82</v>
      </c>
      <c r="G994" s="5">
        <f>IFERROR(__xludf.DUMMYFUNCTION("""COMPUTED_VALUE"""),11081.0)</f>
        <v>11081</v>
      </c>
      <c r="H994" s="5">
        <f>IFERROR(__xludf.DUMMYFUNCTION("""COMPUTED_VALUE"""),2902.0)</f>
        <v>2902</v>
      </c>
    </row>
    <row r="995">
      <c r="A995" s="4">
        <f>IFERROR(__xludf.DUMMYFUNCTION("""COMPUTED_VALUE"""),43363.0)</f>
        <v>43363</v>
      </c>
      <c r="B995" s="5">
        <f>IFERROR(__xludf.DUMMYFUNCTION("""COMPUTED_VALUE"""),2305.0)</f>
        <v>2305</v>
      </c>
      <c r="C995" s="6">
        <f>IFERROR(__xludf.DUMMYFUNCTION("""COMPUTED_VALUE"""),0.3796)</f>
        <v>0.3796</v>
      </c>
      <c r="D995" s="2">
        <f>IFERROR(__xludf.DUMMYFUNCTION("""COMPUTED_VALUE"""),0.0022569444444444442)</f>
        <v>0.002256944444</v>
      </c>
      <c r="E995" s="1">
        <f>IFERROR(__xludf.DUMMYFUNCTION("""COMPUTED_VALUE"""),1.17)</f>
        <v>1.17</v>
      </c>
      <c r="F995" s="1">
        <f>IFERROR(__xludf.DUMMYFUNCTION("""COMPUTED_VALUE"""),4.98)</f>
        <v>4.98</v>
      </c>
      <c r="G995" s="5">
        <f>IFERROR(__xludf.DUMMYFUNCTION("""COMPUTED_VALUE"""),13483.0)</f>
        <v>13483</v>
      </c>
      <c r="H995" s="5">
        <f>IFERROR(__xludf.DUMMYFUNCTION("""COMPUTED_VALUE"""),2708.0)</f>
        <v>2708</v>
      </c>
    </row>
    <row r="996">
      <c r="A996" s="4">
        <f>IFERROR(__xludf.DUMMYFUNCTION("""COMPUTED_VALUE"""),43364.0)</f>
        <v>43364</v>
      </c>
      <c r="B996" s="5">
        <f>IFERROR(__xludf.DUMMYFUNCTION("""COMPUTED_VALUE"""),2027.0)</f>
        <v>2027</v>
      </c>
      <c r="C996" s="6">
        <f>IFERROR(__xludf.DUMMYFUNCTION("""COMPUTED_VALUE"""),0.4446)</f>
        <v>0.4446</v>
      </c>
      <c r="D996" s="2">
        <f>IFERROR(__xludf.DUMMYFUNCTION("""COMPUTED_VALUE"""),0.0022222222222222222)</f>
        <v>0.002222222222</v>
      </c>
      <c r="E996" s="1">
        <f>IFERROR(__xludf.DUMMYFUNCTION("""COMPUTED_VALUE"""),1.11)</f>
        <v>1.11</v>
      </c>
      <c r="F996" s="1">
        <f>IFERROR(__xludf.DUMMYFUNCTION("""COMPUTED_VALUE"""),4.82)</f>
        <v>4.82</v>
      </c>
      <c r="G996" s="5">
        <f>IFERROR(__xludf.DUMMYFUNCTION("""COMPUTED_VALUE"""),10844.0)</f>
        <v>10844</v>
      </c>
      <c r="H996" s="5">
        <f>IFERROR(__xludf.DUMMYFUNCTION("""COMPUTED_VALUE"""),2249.0)</f>
        <v>2249</v>
      </c>
    </row>
    <row r="997">
      <c r="A997" s="4">
        <f>IFERROR(__xludf.DUMMYFUNCTION("""COMPUTED_VALUE"""),43365.0)</f>
        <v>43365</v>
      </c>
      <c r="B997" s="5">
        <f>IFERROR(__xludf.DUMMYFUNCTION("""COMPUTED_VALUE"""),1555.0)</f>
        <v>1555</v>
      </c>
      <c r="C997" s="6">
        <f>IFERROR(__xludf.DUMMYFUNCTION("""COMPUTED_VALUE"""),0.5)</f>
        <v>0.5</v>
      </c>
      <c r="D997" s="2">
        <f>IFERROR(__xludf.DUMMYFUNCTION("""COMPUTED_VALUE"""),0.0015046296296296296)</f>
        <v>0.00150462963</v>
      </c>
      <c r="E997" s="1">
        <f>IFERROR(__xludf.DUMMYFUNCTION("""COMPUTED_VALUE"""),1.11)</f>
        <v>1.11</v>
      </c>
      <c r="F997" s="1">
        <f>IFERROR(__xludf.DUMMYFUNCTION("""COMPUTED_VALUE"""),3.91)</f>
        <v>3.91</v>
      </c>
      <c r="G997" s="5">
        <f>IFERROR(__xludf.DUMMYFUNCTION("""COMPUTED_VALUE"""),6734.0)</f>
        <v>6734</v>
      </c>
      <c r="H997" s="5">
        <f>IFERROR(__xludf.DUMMYFUNCTION("""COMPUTED_VALUE"""),1722.0)</f>
        <v>1722</v>
      </c>
    </row>
    <row r="998">
      <c r="A998" s="4">
        <f>IFERROR(__xludf.DUMMYFUNCTION("""COMPUTED_VALUE"""),43366.0)</f>
        <v>43366</v>
      </c>
      <c r="B998" s="5">
        <f>IFERROR(__xludf.DUMMYFUNCTION("""COMPUTED_VALUE"""),1666.0)</f>
        <v>1666</v>
      </c>
      <c r="C998" s="6">
        <f>IFERROR(__xludf.DUMMYFUNCTION("""COMPUTED_VALUE"""),0.3651)</f>
        <v>0.3651</v>
      </c>
      <c r="D998" s="2">
        <f>IFERROR(__xludf.DUMMYFUNCTION("""COMPUTED_VALUE"""),0.001736111111111111)</f>
        <v>0.001736111111</v>
      </c>
      <c r="E998" s="1">
        <f>IFERROR(__xludf.DUMMYFUNCTION("""COMPUTED_VALUE"""),1.05)</f>
        <v>1.05</v>
      </c>
      <c r="F998" s="1">
        <f>IFERROR(__xludf.DUMMYFUNCTION("""COMPUTED_VALUE"""),4.77)</f>
        <v>4.77</v>
      </c>
      <c r="G998" s="5">
        <f>IFERROR(__xludf.DUMMYFUNCTION("""COMPUTED_VALUE"""),8345.0)</f>
        <v>8345</v>
      </c>
      <c r="H998" s="5">
        <f>IFERROR(__xludf.DUMMYFUNCTION("""COMPUTED_VALUE"""),1750.0)</f>
        <v>1750</v>
      </c>
    </row>
    <row r="999">
      <c r="A999" s="4">
        <f>IFERROR(__xludf.DUMMYFUNCTION("""COMPUTED_VALUE"""),43367.0)</f>
        <v>43367</v>
      </c>
      <c r="B999" s="5">
        <f>IFERROR(__xludf.DUMMYFUNCTION("""COMPUTED_VALUE"""),2430.0)</f>
        <v>2430</v>
      </c>
      <c r="C999" s="6">
        <f>IFERROR(__xludf.DUMMYFUNCTION("""COMPUTED_VALUE"""),0.4124)</f>
        <v>0.4124</v>
      </c>
      <c r="D999" s="2">
        <f>IFERROR(__xludf.DUMMYFUNCTION("""COMPUTED_VALUE"""),0.0017592592592592592)</f>
        <v>0.001759259259</v>
      </c>
      <c r="E999" s="1">
        <f>IFERROR(__xludf.DUMMYFUNCTION("""COMPUTED_VALUE"""),1.11)</f>
        <v>1.11</v>
      </c>
      <c r="F999" s="1">
        <f>IFERROR(__xludf.DUMMYFUNCTION("""COMPUTED_VALUE"""),4.28)</f>
        <v>4.28</v>
      </c>
      <c r="G999" s="5">
        <f>IFERROR(__xludf.DUMMYFUNCTION("""COMPUTED_VALUE"""),11525.0)</f>
        <v>11525</v>
      </c>
      <c r="H999" s="5">
        <f>IFERROR(__xludf.DUMMYFUNCTION("""COMPUTED_VALUE"""),2694.0)</f>
        <v>2694</v>
      </c>
    </row>
    <row r="1000">
      <c r="A1000" s="4">
        <f>IFERROR(__xludf.DUMMYFUNCTION("""COMPUTED_VALUE"""),43368.0)</f>
        <v>43368</v>
      </c>
      <c r="B1000" s="5">
        <f>IFERROR(__xludf.DUMMYFUNCTION("""COMPUTED_VALUE"""),2499.0)</f>
        <v>2499</v>
      </c>
      <c r="C1000" s="6">
        <f>IFERROR(__xludf.DUMMYFUNCTION("""COMPUTED_VALUE"""),0.4484)</f>
        <v>0.4484</v>
      </c>
      <c r="D1000" s="2">
        <f>IFERROR(__xludf.DUMMYFUNCTION("""COMPUTED_VALUE"""),0.0015625)</f>
        <v>0.0015625</v>
      </c>
      <c r="E1000" s="1">
        <f>IFERROR(__xludf.DUMMYFUNCTION("""COMPUTED_VALUE"""),1.13)</f>
        <v>1.13</v>
      </c>
      <c r="F1000" s="1">
        <f>IFERROR(__xludf.DUMMYFUNCTION("""COMPUTED_VALUE"""),4.12)</f>
        <v>4.12</v>
      </c>
      <c r="G1000" s="5">
        <f>IFERROR(__xludf.DUMMYFUNCTION("""COMPUTED_VALUE"""),11622.0)</f>
        <v>11622</v>
      </c>
      <c r="H1000" s="5">
        <f>IFERROR(__xludf.DUMMYFUNCTION("""COMPUTED_VALUE"""),2819.0)</f>
        <v>2819</v>
      </c>
    </row>
    <row r="1001">
      <c r="A1001" s="4">
        <f>IFERROR(__xludf.DUMMYFUNCTION("""COMPUTED_VALUE"""),43369.0)</f>
        <v>43369</v>
      </c>
      <c r="B1001" s="5">
        <f>IFERROR(__xludf.DUMMYFUNCTION("""COMPUTED_VALUE"""),2374.0)</f>
        <v>2374</v>
      </c>
      <c r="C1001" s="6">
        <f>IFERROR(__xludf.DUMMYFUNCTION("""COMPUTED_VALUE"""),0.3823)</f>
        <v>0.3823</v>
      </c>
      <c r="D1001" s="2">
        <f>IFERROR(__xludf.DUMMYFUNCTION("""COMPUTED_VALUE"""),0.0026157407407407405)</f>
        <v>0.002615740741</v>
      </c>
      <c r="E1001" s="1">
        <f>IFERROR(__xludf.DUMMYFUNCTION("""COMPUTED_VALUE"""),1.19)</f>
        <v>1.19</v>
      </c>
      <c r="F1001" s="1">
        <f>IFERROR(__xludf.DUMMYFUNCTION("""COMPUTED_VALUE"""),5.0)</f>
        <v>5</v>
      </c>
      <c r="G1001" s="5">
        <f>IFERROR(__xludf.DUMMYFUNCTION("""COMPUTED_VALUE"""),14177.0)</f>
        <v>14177</v>
      </c>
      <c r="H1001" s="5">
        <f>IFERROR(__xludf.DUMMYFUNCTION("""COMPUTED_VALUE"""),2833.0)</f>
        <v>2833</v>
      </c>
    </row>
    <row r="1002">
      <c r="A1002" s="4">
        <f>IFERROR(__xludf.DUMMYFUNCTION("""COMPUTED_VALUE"""),43370.0)</f>
        <v>43370</v>
      </c>
      <c r="B1002" s="5">
        <f>IFERROR(__xludf.DUMMYFUNCTION("""COMPUTED_VALUE"""),2722.0)</f>
        <v>2722</v>
      </c>
      <c r="C1002" s="6">
        <f>IFERROR(__xludf.DUMMYFUNCTION("""COMPUTED_VALUE"""),0.4475)</f>
        <v>0.4475</v>
      </c>
      <c r="D1002" s="2">
        <f>IFERROR(__xludf.DUMMYFUNCTION("""COMPUTED_VALUE"""),0.0016550925925925926)</f>
        <v>0.001655092593</v>
      </c>
      <c r="E1002" s="1">
        <f>IFERROR(__xludf.DUMMYFUNCTION("""COMPUTED_VALUE"""),1.07)</f>
        <v>1.07</v>
      </c>
      <c r="F1002" s="1">
        <f>IFERROR(__xludf.DUMMYFUNCTION("""COMPUTED_VALUE"""),4.07)</f>
        <v>4.07</v>
      </c>
      <c r="G1002" s="5">
        <f>IFERROR(__xludf.DUMMYFUNCTION("""COMPUTED_VALUE"""),11872.0)</f>
        <v>11872</v>
      </c>
      <c r="H1002" s="5">
        <f>IFERROR(__xludf.DUMMYFUNCTION("""COMPUTED_VALUE"""),2916.0)</f>
        <v>2916</v>
      </c>
    </row>
    <row r="1003">
      <c r="A1003" s="4">
        <f>IFERROR(__xludf.DUMMYFUNCTION("""COMPUTED_VALUE"""),43371.0)</f>
        <v>43371</v>
      </c>
      <c r="B1003" s="5">
        <f>IFERROR(__xludf.DUMMYFUNCTION("""COMPUTED_VALUE"""),2291.0)</f>
        <v>2291</v>
      </c>
      <c r="C1003" s="6">
        <f>IFERROR(__xludf.DUMMYFUNCTION("""COMPUTED_VALUE"""),0.3701)</f>
        <v>0.3701</v>
      </c>
      <c r="D1003" s="2">
        <f>IFERROR(__xludf.DUMMYFUNCTION("""COMPUTED_VALUE"""),0.0025)</f>
        <v>0.0025</v>
      </c>
      <c r="E1003" s="1">
        <f>IFERROR(__xludf.DUMMYFUNCTION("""COMPUTED_VALUE"""),1.1)</f>
        <v>1.1</v>
      </c>
      <c r="F1003" s="1">
        <f>IFERROR(__xludf.DUMMYFUNCTION("""COMPUTED_VALUE"""),5.44)</f>
        <v>5.44</v>
      </c>
      <c r="G1003" s="5">
        <f>IFERROR(__xludf.DUMMYFUNCTION("""COMPUTED_VALUE"""),13663.0)</f>
        <v>13663</v>
      </c>
      <c r="H1003" s="5">
        <f>IFERROR(__xludf.DUMMYFUNCTION("""COMPUTED_VALUE"""),2513.0)</f>
        <v>2513</v>
      </c>
    </row>
    <row r="1004">
      <c r="A1004" s="4">
        <f>IFERROR(__xludf.DUMMYFUNCTION("""COMPUTED_VALUE"""),43372.0)</f>
        <v>43372</v>
      </c>
      <c r="B1004" s="5">
        <f>IFERROR(__xludf.DUMMYFUNCTION("""COMPUTED_VALUE"""),1486.0)</f>
        <v>1486</v>
      </c>
      <c r="C1004" s="6">
        <f>IFERROR(__xludf.DUMMYFUNCTION("""COMPUTED_VALUE"""),0.5171)</f>
        <v>0.5171</v>
      </c>
      <c r="D1004" s="2">
        <f>IFERROR(__xludf.DUMMYFUNCTION("""COMPUTED_VALUE"""),0.002025462962962963)</f>
        <v>0.002025462963</v>
      </c>
      <c r="E1004" s="1">
        <f>IFERROR(__xludf.DUMMYFUNCTION("""COMPUTED_VALUE"""),1.1)</f>
        <v>1.1</v>
      </c>
      <c r="F1004" s="1">
        <f>IFERROR(__xludf.DUMMYFUNCTION("""COMPUTED_VALUE"""),4.09)</f>
        <v>4.09</v>
      </c>
      <c r="G1004" s="5">
        <f>IFERROR(__xludf.DUMMYFUNCTION("""COMPUTED_VALUE"""),6707.0)</f>
        <v>6707</v>
      </c>
      <c r="H1004" s="5">
        <f>IFERROR(__xludf.DUMMYFUNCTION("""COMPUTED_VALUE"""),1638.0)</f>
        <v>1638</v>
      </c>
    </row>
    <row r="1005">
      <c r="A1005" s="4">
        <f>IFERROR(__xludf.DUMMYFUNCTION("""COMPUTED_VALUE"""),43373.0)</f>
        <v>43373</v>
      </c>
      <c r="B1005" s="5">
        <f>IFERROR(__xludf.DUMMYFUNCTION("""COMPUTED_VALUE"""),1514.0)</f>
        <v>1514</v>
      </c>
      <c r="C1005" s="6">
        <f>IFERROR(__xludf.DUMMYFUNCTION("""COMPUTED_VALUE"""),0.4566)</f>
        <v>0.4566</v>
      </c>
      <c r="D1005" s="2">
        <f>IFERROR(__xludf.DUMMYFUNCTION("""COMPUTED_VALUE"""),0.002013888888888889)</f>
        <v>0.002013888889</v>
      </c>
      <c r="E1005" s="1">
        <f>IFERROR(__xludf.DUMMYFUNCTION("""COMPUTED_VALUE"""),1.16)</f>
        <v>1.16</v>
      </c>
      <c r="F1005" s="1">
        <f>IFERROR(__xludf.DUMMYFUNCTION("""COMPUTED_VALUE"""),5.33)</f>
        <v>5.33</v>
      </c>
      <c r="G1005" s="5">
        <f>IFERROR(__xludf.DUMMYFUNCTION("""COMPUTED_VALUE"""),9400.0)</f>
        <v>9400</v>
      </c>
      <c r="H1005" s="5">
        <f>IFERROR(__xludf.DUMMYFUNCTION("""COMPUTED_VALUE"""),1763.0)</f>
        <v>1763</v>
      </c>
    </row>
    <row r="1006">
      <c r="A1006" s="4">
        <f>IFERROR(__xludf.DUMMYFUNCTION("""COMPUTED_VALUE"""),43374.0)</f>
        <v>43374</v>
      </c>
      <c r="B1006" s="5">
        <f>IFERROR(__xludf.DUMMYFUNCTION("""COMPUTED_VALUE"""),2291.0)</f>
        <v>2291</v>
      </c>
      <c r="C1006" s="6">
        <f>IFERROR(__xludf.DUMMYFUNCTION("""COMPUTED_VALUE"""),0.3989)</f>
        <v>0.3989</v>
      </c>
      <c r="D1006" s="2">
        <f>IFERROR(__xludf.DUMMYFUNCTION("""COMPUTED_VALUE"""),0.0018865740740740742)</f>
        <v>0.001886574074</v>
      </c>
      <c r="E1006" s="1">
        <f>IFERROR(__xludf.DUMMYFUNCTION("""COMPUTED_VALUE"""),1.14)</f>
        <v>1.14</v>
      </c>
      <c r="F1006" s="1">
        <f>IFERROR(__xludf.DUMMYFUNCTION("""COMPUTED_VALUE"""),4.11)</f>
        <v>4.11</v>
      </c>
      <c r="G1006" s="5">
        <f>IFERROR(__xludf.DUMMYFUNCTION("""COMPUTED_VALUE"""),10733.0)</f>
        <v>10733</v>
      </c>
      <c r="H1006" s="5">
        <f>IFERROR(__xludf.DUMMYFUNCTION("""COMPUTED_VALUE"""),2610.0)</f>
        <v>2610</v>
      </c>
    </row>
    <row r="1007">
      <c r="A1007" s="4">
        <f>IFERROR(__xludf.DUMMYFUNCTION("""COMPUTED_VALUE"""),43375.0)</f>
        <v>43375</v>
      </c>
      <c r="B1007" s="5">
        <f>IFERROR(__xludf.DUMMYFUNCTION("""COMPUTED_VALUE"""),2347.0)</f>
        <v>2347</v>
      </c>
      <c r="C1007" s="6">
        <f>IFERROR(__xludf.DUMMYFUNCTION("""COMPUTED_VALUE"""),0.4066)</f>
        <v>0.4066</v>
      </c>
      <c r="D1007" s="2">
        <f>IFERROR(__xludf.DUMMYFUNCTION("""COMPUTED_VALUE"""),0.0024537037037037036)</f>
        <v>0.002453703704</v>
      </c>
      <c r="E1007" s="1">
        <f>IFERROR(__xludf.DUMMYFUNCTION("""COMPUTED_VALUE"""),1.21)</f>
        <v>1.21</v>
      </c>
      <c r="F1007" s="1">
        <f>IFERROR(__xludf.DUMMYFUNCTION("""COMPUTED_VALUE"""),5.34)</f>
        <v>5.34</v>
      </c>
      <c r="G1007" s="5">
        <f>IFERROR(__xludf.DUMMYFUNCTION("""COMPUTED_VALUE"""),15135.0)</f>
        <v>15135</v>
      </c>
      <c r="H1007" s="5">
        <f>IFERROR(__xludf.DUMMYFUNCTION("""COMPUTED_VALUE"""),2833.0)</f>
        <v>2833</v>
      </c>
    </row>
    <row r="1008">
      <c r="A1008" s="4">
        <f>IFERROR(__xludf.DUMMYFUNCTION("""COMPUTED_VALUE"""),43376.0)</f>
        <v>43376</v>
      </c>
      <c r="B1008" s="5">
        <f>IFERROR(__xludf.DUMMYFUNCTION("""COMPUTED_VALUE"""),2472.0)</f>
        <v>2472</v>
      </c>
      <c r="C1008" s="6">
        <f>IFERROR(__xludf.DUMMYFUNCTION("""COMPUTED_VALUE"""),0.4371)</f>
        <v>0.4371</v>
      </c>
      <c r="D1008" s="2">
        <f>IFERROR(__xludf.DUMMYFUNCTION("""COMPUTED_VALUE"""),0.0019212962962962964)</f>
        <v>0.001921296296</v>
      </c>
      <c r="E1008" s="1">
        <f>IFERROR(__xludf.DUMMYFUNCTION("""COMPUTED_VALUE"""),1.16)</f>
        <v>1.16</v>
      </c>
      <c r="F1008" s="1">
        <f>IFERROR(__xludf.DUMMYFUNCTION("""COMPUTED_VALUE"""),4.36)</f>
        <v>4.36</v>
      </c>
      <c r="G1008" s="5">
        <f>IFERROR(__xludf.DUMMYFUNCTION("""COMPUTED_VALUE"""),12483.0)</f>
        <v>12483</v>
      </c>
      <c r="H1008" s="5">
        <f>IFERROR(__xludf.DUMMYFUNCTION("""COMPUTED_VALUE"""),2860.0)</f>
        <v>2860</v>
      </c>
    </row>
    <row r="1009">
      <c r="A1009" s="4">
        <f>IFERROR(__xludf.DUMMYFUNCTION("""COMPUTED_VALUE"""),43377.0)</f>
        <v>43377</v>
      </c>
      <c r="B1009" s="5">
        <f>IFERROR(__xludf.DUMMYFUNCTION("""COMPUTED_VALUE"""),2402.0)</f>
        <v>2402</v>
      </c>
      <c r="C1009" s="6">
        <f>IFERROR(__xludf.DUMMYFUNCTION("""COMPUTED_VALUE"""),0.4276)</f>
        <v>0.4276</v>
      </c>
      <c r="D1009" s="2">
        <f>IFERROR(__xludf.DUMMYFUNCTION("""COMPUTED_VALUE"""),0.0025462962962962965)</f>
        <v>0.002546296296</v>
      </c>
      <c r="E1009" s="1">
        <f>IFERROR(__xludf.DUMMYFUNCTION("""COMPUTED_VALUE"""),1.12)</f>
        <v>1.12</v>
      </c>
      <c r="F1009" s="1">
        <f>IFERROR(__xludf.DUMMYFUNCTION("""COMPUTED_VALUE"""),4.8)</f>
        <v>4.8</v>
      </c>
      <c r="G1009" s="5">
        <f>IFERROR(__xludf.DUMMYFUNCTION("""COMPUTED_VALUE"""),12927.0)</f>
        <v>12927</v>
      </c>
      <c r="H1009" s="5">
        <f>IFERROR(__xludf.DUMMYFUNCTION("""COMPUTED_VALUE"""),2694.0)</f>
        <v>2694</v>
      </c>
    </row>
    <row r="1010">
      <c r="A1010" s="4">
        <f>IFERROR(__xludf.DUMMYFUNCTION("""COMPUTED_VALUE"""),43378.0)</f>
        <v>43378</v>
      </c>
      <c r="B1010" s="5">
        <f>IFERROR(__xludf.DUMMYFUNCTION("""COMPUTED_VALUE"""),2013.0)</f>
        <v>2013</v>
      </c>
      <c r="C1010" s="6">
        <f>IFERROR(__xludf.DUMMYFUNCTION("""COMPUTED_VALUE"""),0.45)</f>
        <v>0.45</v>
      </c>
      <c r="D1010" s="2">
        <f>IFERROR(__xludf.DUMMYFUNCTION("""COMPUTED_VALUE"""),0.001712962962962963)</f>
        <v>0.001712962963</v>
      </c>
      <c r="E1010" s="1">
        <f>IFERROR(__xludf.DUMMYFUNCTION("""COMPUTED_VALUE"""),1.1)</f>
        <v>1.1</v>
      </c>
      <c r="F1010" s="1">
        <f>IFERROR(__xludf.DUMMYFUNCTION("""COMPUTED_VALUE"""),4.24)</f>
        <v>4.24</v>
      </c>
      <c r="G1010" s="5">
        <f>IFERROR(__xludf.DUMMYFUNCTION("""COMPUTED_VALUE"""),9428.0)</f>
        <v>9428</v>
      </c>
      <c r="H1010" s="5">
        <f>IFERROR(__xludf.DUMMYFUNCTION("""COMPUTED_VALUE"""),2222.0)</f>
        <v>2222</v>
      </c>
    </row>
    <row r="1011">
      <c r="A1011" s="4">
        <f>IFERROR(__xludf.DUMMYFUNCTION("""COMPUTED_VALUE"""),43379.0)</f>
        <v>43379</v>
      </c>
      <c r="B1011" s="5">
        <f>IFERROR(__xludf.DUMMYFUNCTION("""COMPUTED_VALUE"""),1430.0)</f>
        <v>1430</v>
      </c>
      <c r="C1011" s="6">
        <f>IFERROR(__xludf.DUMMYFUNCTION("""COMPUTED_VALUE"""),0.4784)</f>
        <v>0.4784</v>
      </c>
      <c r="D1011" s="2">
        <f>IFERROR(__xludf.DUMMYFUNCTION("""COMPUTED_VALUE"""),0.0017708333333333332)</f>
        <v>0.001770833333</v>
      </c>
      <c r="E1011" s="1">
        <f>IFERROR(__xludf.DUMMYFUNCTION("""COMPUTED_VALUE"""),1.12)</f>
        <v>1.12</v>
      </c>
      <c r="F1011" s="1">
        <f>IFERROR(__xludf.DUMMYFUNCTION("""COMPUTED_VALUE"""),3.92)</f>
        <v>3.92</v>
      </c>
      <c r="G1011" s="5">
        <f>IFERROR(__xludf.DUMMYFUNCTION("""COMPUTED_VALUE"""),6262.0)</f>
        <v>6262</v>
      </c>
      <c r="H1011" s="5">
        <f>IFERROR(__xludf.DUMMYFUNCTION("""COMPUTED_VALUE"""),1597.0)</f>
        <v>1597</v>
      </c>
    </row>
    <row r="1012">
      <c r="A1012" s="4">
        <f>IFERROR(__xludf.DUMMYFUNCTION("""COMPUTED_VALUE"""),43380.0)</f>
        <v>43380</v>
      </c>
      <c r="B1012" s="5">
        <f>IFERROR(__xludf.DUMMYFUNCTION("""COMPUTED_VALUE"""),1514.0)</f>
        <v>1514</v>
      </c>
      <c r="C1012" s="6">
        <f>IFERROR(__xludf.DUMMYFUNCTION("""COMPUTED_VALUE"""),0.5)</f>
        <v>0.5</v>
      </c>
      <c r="D1012" s="2">
        <f>IFERROR(__xludf.DUMMYFUNCTION("""COMPUTED_VALUE"""),0.0017013888888888888)</f>
        <v>0.001701388889</v>
      </c>
      <c r="E1012" s="1">
        <f>IFERROR(__xludf.DUMMYFUNCTION("""COMPUTED_VALUE"""),1.12)</f>
        <v>1.12</v>
      </c>
      <c r="F1012" s="1">
        <f>IFERROR(__xludf.DUMMYFUNCTION("""COMPUTED_VALUE"""),3.74)</f>
        <v>3.74</v>
      </c>
      <c r="G1012" s="5">
        <f>IFERROR(__xludf.DUMMYFUNCTION("""COMPUTED_VALUE"""),6332.0)</f>
        <v>6332</v>
      </c>
      <c r="H1012" s="5">
        <f>IFERROR(__xludf.DUMMYFUNCTION("""COMPUTED_VALUE"""),1694.0)</f>
        <v>1694</v>
      </c>
    </row>
    <row r="1013">
      <c r="A1013" s="4">
        <f>IFERROR(__xludf.DUMMYFUNCTION("""COMPUTED_VALUE"""),43381.0)</f>
        <v>43381</v>
      </c>
      <c r="B1013" s="5">
        <f>IFERROR(__xludf.DUMMYFUNCTION("""COMPUTED_VALUE"""),2472.0)</f>
        <v>2472</v>
      </c>
      <c r="C1013" s="6">
        <f>IFERROR(__xludf.DUMMYFUNCTION("""COMPUTED_VALUE"""),0.4584)</f>
        <v>0.4584</v>
      </c>
      <c r="D1013" s="2">
        <f>IFERROR(__xludf.DUMMYFUNCTION("""COMPUTED_VALUE"""),0.0017939814814814815)</f>
        <v>0.001793981481</v>
      </c>
      <c r="E1013" s="1">
        <f>IFERROR(__xludf.DUMMYFUNCTION("""COMPUTED_VALUE"""),1.15)</f>
        <v>1.15</v>
      </c>
      <c r="F1013" s="1">
        <f>IFERROR(__xludf.DUMMYFUNCTION("""COMPUTED_VALUE"""),4.12)</f>
        <v>4.12</v>
      </c>
      <c r="G1013" s="5">
        <f>IFERROR(__xludf.DUMMYFUNCTION("""COMPUTED_VALUE"""),11733.0)</f>
        <v>11733</v>
      </c>
      <c r="H1013" s="5">
        <f>IFERROR(__xludf.DUMMYFUNCTION("""COMPUTED_VALUE"""),2847.0)</f>
        <v>2847</v>
      </c>
    </row>
    <row r="1014">
      <c r="A1014" s="4">
        <f>IFERROR(__xludf.DUMMYFUNCTION("""COMPUTED_VALUE"""),43382.0)</f>
        <v>43382</v>
      </c>
      <c r="B1014" s="5">
        <f>IFERROR(__xludf.DUMMYFUNCTION("""COMPUTED_VALUE"""),3485.0)</f>
        <v>3485</v>
      </c>
      <c r="C1014" s="6">
        <f>IFERROR(__xludf.DUMMYFUNCTION("""COMPUTED_VALUE"""),0.4253)</f>
        <v>0.4253</v>
      </c>
      <c r="D1014" s="2">
        <f>IFERROR(__xludf.DUMMYFUNCTION("""COMPUTED_VALUE"""),0.0015046296296296296)</f>
        <v>0.00150462963</v>
      </c>
      <c r="E1014" s="1">
        <f>IFERROR(__xludf.DUMMYFUNCTION("""COMPUTED_VALUE"""),1.17)</f>
        <v>1.17</v>
      </c>
      <c r="F1014" s="1">
        <f>IFERROR(__xludf.DUMMYFUNCTION("""COMPUTED_VALUE"""),3.9)</f>
        <v>3.9</v>
      </c>
      <c r="G1014" s="5">
        <f>IFERROR(__xludf.DUMMYFUNCTION("""COMPUTED_VALUE"""),15913.0)</f>
        <v>15913</v>
      </c>
      <c r="H1014" s="5">
        <f>IFERROR(__xludf.DUMMYFUNCTION("""COMPUTED_VALUE"""),4082.0)</f>
        <v>4082</v>
      </c>
    </row>
    <row r="1015">
      <c r="A1015" s="4">
        <f>IFERROR(__xludf.DUMMYFUNCTION("""COMPUTED_VALUE"""),43383.0)</f>
        <v>43383</v>
      </c>
      <c r="B1015" s="5">
        <f>IFERROR(__xludf.DUMMYFUNCTION("""COMPUTED_VALUE"""),3027.0)</f>
        <v>3027</v>
      </c>
      <c r="C1015" s="6">
        <f>IFERROR(__xludf.DUMMYFUNCTION("""COMPUTED_VALUE"""),0.5063)</f>
        <v>0.5063</v>
      </c>
      <c r="D1015" s="2">
        <f>IFERROR(__xludf.DUMMYFUNCTION("""COMPUTED_VALUE"""),0.0019097222222222222)</f>
        <v>0.001909722222</v>
      </c>
      <c r="E1015" s="1">
        <f>IFERROR(__xludf.DUMMYFUNCTION("""COMPUTED_VALUE"""),1.11)</f>
        <v>1.11</v>
      </c>
      <c r="F1015" s="1">
        <f>IFERROR(__xludf.DUMMYFUNCTION("""COMPUTED_VALUE"""),4.34)</f>
        <v>4.34</v>
      </c>
      <c r="G1015" s="5">
        <f>IFERROR(__xludf.DUMMYFUNCTION("""COMPUTED_VALUE"""),14538.0)</f>
        <v>14538</v>
      </c>
      <c r="H1015" s="5">
        <f>IFERROR(__xludf.DUMMYFUNCTION("""COMPUTED_VALUE"""),3346.0)</f>
        <v>3346</v>
      </c>
    </row>
    <row r="1016">
      <c r="A1016" s="4">
        <f>IFERROR(__xludf.DUMMYFUNCTION("""COMPUTED_VALUE"""),43384.0)</f>
        <v>43384</v>
      </c>
      <c r="B1016" s="5">
        <f>IFERROR(__xludf.DUMMYFUNCTION("""COMPUTED_VALUE"""),2694.0)</f>
        <v>2694</v>
      </c>
      <c r="C1016" s="6">
        <f>IFERROR(__xludf.DUMMYFUNCTION("""COMPUTED_VALUE"""),0.3912)</f>
        <v>0.3912</v>
      </c>
      <c r="D1016" s="2">
        <f>IFERROR(__xludf.DUMMYFUNCTION("""COMPUTED_VALUE"""),0.002210648148148148)</f>
        <v>0.002210648148</v>
      </c>
      <c r="E1016" s="1">
        <f>IFERROR(__xludf.DUMMYFUNCTION("""COMPUTED_VALUE"""),1.16)</f>
        <v>1.16</v>
      </c>
      <c r="F1016" s="1">
        <f>IFERROR(__xludf.DUMMYFUNCTION("""COMPUTED_VALUE"""),4.77)</f>
        <v>4.77</v>
      </c>
      <c r="G1016" s="5">
        <f>IFERROR(__xludf.DUMMYFUNCTION("""COMPUTED_VALUE"""),14913.0)</f>
        <v>14913</v>
      </c>
      <c r="H1016" s="5">
        <f>IFERROR(__xludf.DUMMYFUNCTION("""COMPUTED_VALUE"""),3124.0)</f>
        <v>3124</v>
      </c>
    </row>
    <row r="1017">
      <c r="A1017" s="4">
        <f>IFERROR(__xludf.DUMMYFUNCTION("""COMPUTED_VALUE"""),43385.0)</f>
        <v>43385</v>
      </c>
      <c r="B1017" s="5">
        <f>IFERROR(__xludf.DUMMYFUNCTION("""COMPUTED_VALUE"""),2416.0)</f>
        <v>2416</v>
      </c>
      <c r="C1017" s="6">
        <f>IFERROR(__xludf.DUMMYFUNCTION("""COMPUTED_VALUE"""),0.4575)</f>
        <v>0.4575</v>
      </c>
      <c r="D1017" s="2">
        <f>IFERROR(__xludf.DUMMYFUNCTION("""COMPUTED_VALUE"""),0.001875)</f>
        <v>0.001875</v>
      </c>
      <c r="E1017" s="1">
        <f>IFERROR(__xludf.DUMMYFUNCTION("""COMPUTED_VALUE"""),1.08)</f>
        <v>1.08</v>
      </c>
      <c r="F1017" s="1">
        <f>IFERROR(__xludf.DUMMYFUNCTION("""COMPUTED_VALUE"""),3.75)</f>
        <v>3.75</v>
      </c>
      <c r="G1017" s="5">
        <f>IFERROR(__xludf.DUMMYFUNCTION("""COMPUTED_VALUE"""),9775.0)</f>
        <v>9775</v>
      </c>
      <c r="H1017" s="5">
        <f>IFERROR(__xludf.DUMMYFUNCTION("""COMPUTED_VALUE"""),2610.0)</f>
        <v>2610</v>
      </c>
    </row>
    <row r="1018">
      <c r="A1018" s="4">
        <f>IFERROR(__xludf.DUMMYFUNCTION("""COMPUTED_VALUE"""),43386.0)</f>
        <v>43386</v>
      </c>
      <c r="B1018" s="5">
        <f>IFERROR(__xludf.DUMMYFUNCTION("""COMPUTED_VALUE"""),1652.0)</f>
        <v>1652</v>
      </c>
      <c r="C1018" s="6">
        <f>IFERROR(__xludf.DUMMYFUNCTION("""COMPUTED_VALUE"""),0.4612)</f>
        <v>0.4612</v>
      </c>
      <c r="D1018" s="2">
        <f>IFERROR(__xludf.DUMMYFUNCTION("""COMPUTED_VALUE"""),0.0019444444444444444)</f>
        <v>0.001944444444</v>
      </c>
      <c r="E1018" s="1">
        <f>IFERROR(__xludf.DUMMYFUNCTION("""COMPUTED_VALUE"""),1.19)</f>
        <v>1.19</v>
      </c>
      <c r="F1018" s="1">
        <f>IFERROR(__xludf.DUMMYFUNCTION("""COMPUTED_VALUE"""),3.8)</f>
        <v>3.8</v>
      </c>
      <c r="G1018" s="5">
        <f>IFERROR(__xludf.DUMMYFUNCTION("""COMPUTED_VALUE"""),7443.0)</f>
        <v>7443</v>
      </c>
      <c r="H1018" s="5">
        <f>IFERROR(__xludf.DUMMYFUNCTION("""COMPUTED_VALUE"""),1958.0)</f>
        <v>1958</v>
      </c>
    </row>
    <row r="1019">
      <c r="A1019" s="4">
        <f>IFERROR(__xludf.DUMMYFUNCTION("""COMPUTED_VALUE"""),43387.0)</f>
        <v>43387</v>
      </c>
      <c r="B1019" s="5">
        <f>IFERROR(__xludf.DUMMYFUNCTION("""COMPUTED_VALUE"""),1736.0)</f>
        <v>1736</v>
      </c>
      <c r="C1019" s="6">
        <f>IFERROR(__xludf.DUMMYFUNCTION("""COMPUTED_VALUE"""),0.4145)</f>
        <v>0.4145</v>
      </c>
      <c r="D1019" s="2">
        <f>IFERROR(__xludf.DUMMYFUNCTION("""COMPUTED_VALUE"""),0.0016435185185185185)</f>
        <v>0.001643518519</v>
      </c>
      <c r="E1019" s="1">
        <f>IFERROR(__xludf.DUMMYFUNCTION("""COMPUTED_VALUE"""),1.22)</f>
        <v>1.22</v>
      </c>
      <c r="F1019" s="1">
        <f>IFERROR(__xludf.DUMMYFUNCTION("""COMPUTED_VALUE"""),4.71)</f>
        <v>4.71</v>
      </c>
      <c r="G1019" s="5">
        <f>IFERROR(__xludf.DUMMYFUNCTION("""COMPUTED_VALUE"""),9942.0)</f>
        <v>9942</v>
      </c>
      <c r="H1019" s="5">
        <f>IFERROR(__xludf.DUMMYFUNCTION("""COMPUTED_VALUE"""),2111.0)</f>
        <v>2111</v>
      </c>
    </row>
    <row r="1020">
      <c r="A1020" s="4">
        <f>IFERROR(__xludf.DUMMYFUNCTION("""COMPUTED_VALUE"""),43388.0)</f>
        <v>43388</v>
      </c>
      <c r="B1020" s="5">
        <f>IFERROR(__xludf.DUMMYFUNCTION("""COMPUTED_VALUE"""),3013.0)</f>
        <v>3013</v>
      </c>
      <c r="C1020" s="6">
        <f>IFERROR(__xludf.DUMMYFUNCTION("""COMPUTED_VALUE"""),0.3685)</f>
        <v>0.3685</v>
      </c>
      <c r="D1020" s="2">
        <f>IFERROR(__xludf.DUMMYFUNCTION("""COMPUTED_VALUE"""),0.002638888888888889)</f>
        <v>0.002638888889</v>
      </c>
      <c r="E1020" s="1">
        <f>IFERROR(__xludf.DUMMYFUNCTION("""COMPUTED_VALUE"""),1.14)</f>
        <v>1.14</v>
      </c>
      <c r="F1020" s="1">
        <f>IFERROR(__xludf.DUMMYFUNCTION("""COMPUTED_VALUE"""),5.06)</f>
        <v>5.06</v>
      </c>
      <c r="G1020" s="5">
        <f>IFERROR(__xludf.DUMMYFUNCTION("""COMPUTED_VALUE"""),17343.0)</f>
        <v>17343</v>
      </c>
      <c r="H1020" s="5">
        <f>IFERROR(__xludf.DUMMYFUNCTION("""COMPUTED_VALUE"""),3430.0)</f>
        <v>3430</v>
      </c>
    </row>
    <row r="1021">
      <c r="A1021" s="4">
        <f>IFERROR(__xludf.DUMMYFUNCTION("""COMPUTED_VALUE"""),43389.0)</f>
        <v>43389</v>
      </c>
      <c r="B1021" s="5">
        <f>IFERROR(__xludf.DUMMYFUNCTION("""COMPUTED_VALUE"""),2958.0)</f>
        <v>2958</v>
      </c>
      <c r="C1021" s="6">
        <f>IFERROR(__xludf.DUMMYFUNCTION("""COMPUTED_VALUE"""),0.4203)</f>
        <v>0.4203</v>
      </c>
      <c r="D1021" s="2">
        <f>IFERROR(__xludf.DUMMYFUNCTION("""COMPUTED_VALUE"""),0.0023148148148148147)</f>
        <v>0.002314814815</v>
      </c>
      <c r="E1021" s="1">
        <f>IFERROR(__xludf.DUMMYFUNCTION("""COMPUTED_VALUE"""),1.15)</f>
        <v>1.15</v>
      </c>
      <c r="F1021" s="1">
        <f>IFERROR(__xludf.DUMMYFUNCTION("""COMPUTED_VALUE"""),5.0)</f>
        <v>5</v>
      </c>
      <c r="G1021" s="5">
        <f>IFERROR(__xludf.DUMMYFUNCTION("""COMPUTED_VALUE"""),17010.0)</f>
        <v>17010</v>
      </c>
      <c r="H1021" s="5">
        <f>IFERROR(__xludf.DUMMYFUNCTION("""COMPUTED_VALUE"""),3402.0)</f>
        <v>3402</v>
      </c>
    </row>
    <row r="1022">
      <c r="A1022" s="4">
        <f>IFERROR(__xludf.DUMMYFUNCTION("""COMPUTED_VALUE"""),43390.0)</f>
        <v>43390</v>
      </c>
      <c r="B1022" s="5">
        <f>IFERROR(__xludf.DUMMYFUNCTION("""COMPUTED_VALUE"""),2347.0)</f>
        <v>2347</v>
      </c>
      <c r="C1022" s="6">
        <f>IFERROR(__xludf.DUMMYFUNCTION("""COMPUTED_VALUE"""),0.4802)</f>
        <v>0.4802</v>
      </c>
      <c r="D1022" s="2">
        <f>IFERROR(__xludf.DUMMYFUNCTION("""COMPUTED_VALUE"""),0.0013425925925925925)</f>
        <v>0.001342592593</v>
      </c>
      <c r="E1022" s="1">
        <f>IFERROR(__xludf.DUMMYFUNCTION("""COMPUTED_VALUE"""),1.2)</f>
        <v>1.2</v>
      </c>
      <c r="F1022" s="1">
        <f>IFERROR(__xludf.DUMMYFUNCTION("""COMPUTED_VALUE"""),3.52)</f>
        <v>3.52</v>
      </c>
      <c r="G1022" s="5">
        <f>IFERROR(__xludf.DUMMYFUNCTION("""COMPUTED_VALUE"""),9873.0)</f>
        <v>9873</v>
      </c>
      <c r="H1022" s="5">
        <f>IFERROR(__xludf.DUMMYFUNCTION("""COMPUTED_VALUE"""),2805.0)</f>
        <v>2805</v>
      </c>
    </row>
    <row r="1023">
      <c r="A1023" s="4">
        <f>IFERROR(__xludf.DUMMYFUNCTION("""COMPUTED_VALUE"""),43391.0)</f>
        <v>43391</v>
      </c>
      <c r="B1023" s="5">
        <f>IFERROR(__xludf.DUMMYFUNCTION("""COMPUTED_VALUE"""),2458.0)</f>
        <v>2458</v>
      </c>
      <c r="C1023" s="6">
        <f>IFERROR(__xludf.DUMMYFUNCTION("""COMPUTED_VALUE"""),0.3726)</f>
        <v>0.3726</v>
      </c>
      <c r="D1023" s="2">
        <f>IFERROR(__xludf.DUMMYFUNCTION("""COMPUTED_VALUE"""),0.0022337962962962962)</f>
        <v>0.002233796296</v>
      </c>
      <c r="E1023" s="1">
        <f>IFERROR(__xludf.DUMMYFUNCTION("""COMPUTED_VALUE"""),1.2)</f>
        <v>1.2</v>
      </c>
      <c r="F1023" s="1">
        <f>IFERROR(__xludf.DUMMYFUNCTION("""COMPUTED_VALUE"""),4.82)</f>
        <v>4.82</v>
      </c>
      <c r="G1023" s="5">
        <f>IFERROR(__xludf.DUMMYFUNCTION("""COMPUTED_VALUE"""),14191.0)</f>
        <v>14191</v>
      </c>
      <c r="H1023" s="5">
        <f>IFERROR(__xludf.DUMMYFUNCTION("""COMPUTED_VALUE"""),2944.0)</f>
        <v>2944</v>
      </c>
    </row>
    <row r="1024">
      <c r="A1024" s="4">
        <f>IFERROR(__xludf.DUMMYFUNCTION("""COMPUTED_VALUE"""),43392.0)</f>
        <v>43392</v>
      </c>
      <c r="B1024" s="5">
        <f>IFERROR(__xludf.DUMMYFUNCTION("""COMPUTED_VALUE"""),2416.0)</f>
        <v>2416</v>
      </c>
      <c r="C1024" s="6">
        <f>IFERROR(__xludf.DUMMYFUNCTION("""COMPUTED_VALUE"""),0.4184)</f>
        <v>0.4184</v>
      </c>
      <c r="D1024" s="2">
        <f>IFERROR(__xludf.DUMMYFUNCTION("""COMPUTED_VALUE"""),0.00125)</f>
        <v>0.00125</v>
      </c>
      <c r="E1024" s="1">
        <f>IFERROR(__xludf.DUMMYFUNCTION("""COMPUTED_VALUE"""),1.13)</f>
        <v>1.13</v>
      </c>
      <c r="F1024" s="1">
        <f>IFERROR(__xludf.DUMMYFUNCTION("""COMPUTED_VALUE"""),4.45)</f>
        <v>4.45</v>
      </c>
      <c r="G1024" s="5">
        <f>IFERROR(__xludf.DUMMYFUNCTION("""COMPUTED_VALUE"""),12108.0)</f>
        <v>12108</v>
      </c>
      <c r="H1024" s="5">
        <f>IFERROR(__xludf.DUMMYFUNCTION("""COMPUTED_VALUE"""),2722.0)</f>
        <v>2722</v>
      </c>
    </row>
    <row r="1025">
      <c r="A1025" s="4">
        <f>IFERROR(__xludf.DUMMYFUNCTION("""COMPUTED_VALUE"""),43393.0)</f>
        <v>43393</v>
      </c>
      <c r="B1025" s="5">
        <f>IFERROR(__xludf.DUMMYFUNCTION("""COMPUTED_VALUE"""),1514.0)</f>
        <v>1514</v>
      </c>
      <c r="C1025" s="6">
        <f>IFERROR(__xludf.DUMMYFUNCTION("""COMPUTED_VALUE"""),0.4502)</f>
        <v>0.4502</v>
      </c>
      <c r="D1025" s="2">
        <f>IFERROR(__xludf.DUMMYFUNCTION("""COMPUTED_VALUE"""),0.002372685185185185)</f>
        <v>0.002372685185</v>
      </c>
      <c r="E1025" s="1">
        <f>IFERROR(__xludf.DUMMYFUNCTION("""COMPUTED_VALUE"""),1.1)</f>
        <v>1.1</v>
      </c>
      <c r="F1025" s="1">
        <f>IFERROR(__xludf.DUMMYFUNCTION("""COMPUTED_VALUE"""),4.22)</f>
        <v>4.22</v>
      </c>
      <c r="G1025" s="5">
        <f>IFERROR(__xludf.DUMMYFUNCTION("""COMPUTED_VALUE"""),7026.0)</f>
        <v>7026</v>
      </c>
      <c r="H1025" s="5">
        <f>IFERROR(__xludf.DUMMYFUNCTION("""COMPUTED_VALUE"""),1666.0)</f>
        <v>1666</v>
      </c>
    </row>
    <row r="1026">
      <c r="A1026" s="4">
        <f>IFERROR(__xludf.DUMMYFUNCTION("""COMPUTED_VALUE"""),43394.0)</f>
        <v>43394</v>
      </c>
      <c r="B1026" s="5">
        <f>IFERROR(__xludf.DUMMYFUNCTION("""COMPUTED_VALUE"""),1569.0)</f>
        <v>1569</v>
      </c>
      <c r="C1026" s="6">
        <f>IFERROR(__xludf.DUMMYFUNCTION("""COMPUTED_VALUE"""),0.3984)</f>
        <v>0.3984</v>
      </c>
      <c r="D1026" s="2">
        <f>IFERROR(__xludf.DUMMYFUNCTION("""COMPUTED_VALUE"""),0.0027083333333333334)</f>
        <v>0.002708333333</v>
      </c>
      <c r="E1026" s="1">
        <f>IFERROR(__xludf.DUMMYFUNCTION("""COMPUTED_VALUE"""),1.13)</f>
        <v>1.13</v>
      </c>
      <c r="F1026" s="1">
        <f>IFERROR(__xludf.DUMMYFUNCTION("""COMPUTED_VALUE"""),5.8)</f>
        <v>5.8</v>
      </c>
      <c r="G1026" s="5">
        <f>IFERROR(__xludf.DUMMYFUNCTION("""COMPUTED_VALUE"""),10303.0)</f>
        <v>10303</v>
      </c>
      <c r="H1026" s="5">
        <f>IFERROR(__xludf.DUMMYFUNCTION("""COMPUTED_VALUE"""),1777.0)</f>
        <v>1777</v>
      </c>
    </row>
    <row r="1027">
      <c r="A1027" s="4">
        <f>IFERROR(__xludf.DUMMYFUNCTION("""COMPUTED_VALUE"""),43395.0)</f>
        <v>43395</v>
      </c>
      <c r="B1027" s="5">
        <f>IFERROR(__xludf.DUMMYFUNCTION("""COMPUTED_VALUE"""),2513.0)</f>
        <v>2513</v>
      </c>
      <c r="C1027" s="6">
        <f>IFERROR(__xludf.DUMMYFUNCTION("""COMPUTED_VALUE"""),0.3444)</f>
        <v>0.3444</v>
      </c>
      <c r="D1027" s="2">
        <f>IFERROR(__xludf.DUMMYFUNCTION("""COMPUTED_VALUE"""),0.0021527777777777778)</f>
        <v>0.002152777778</v>
      </c>
      <c r="E1027" s="1">
        <f>IFERROR(__xludf.DUMMYFUNCTION("""COMPUTED_VALUE"""),1.17)</f>
        <v>1.17</v>
      </c>
      <c r="F1027" s="1">
        <f>IFERROR(__xludf.DUMMYFUNCTION("""COMPUTED_VALUE"""),4.62)</f>
        <v>4.62</v>
      </c>
      <c r="G1027" s="5">
        <f>IFERROR(__xludf.DUMMYFUNCTION("""COMPUTED_VALUE"""),13608.0)</f>
        <v>13608</v>
      </c>
      <c r="H1027" s="5">
        <f>IFERROR(__xludf.DUMMYFUNCTION("""COMPUTED_VALUE"""),2944.0)</f>
        <v>2944</v>
      </c>
    </row>
    <row r="1028">
      <c r="A1028" s="4">
        <f>IFERROR(__xludf.DUMMYFUNCTION("""COMPUTED_VALUE"""),43396.0)</f>
        <v>43396</v>
      </c>
      <c r="B1028" s="5">
        <f>IFERROR(__xludf.DUMMYFUNCTION("""COMPUTED_VALUE"""),2583.0)</f>
        <v>2583</v>
      </c>
      <c r="C1028" s="6">
        <f>IFERROR(__xludf.DUMMYFUNCTION("""COMPUTED_VALUE"""),0.4338)</f>
        <v>0.4338</v>
      </c>
      <c r="D1028" s="2">
        <f>IFERROR(__xludf.DUMMYFUNCTION("""COMPUTED_VALUE"""),0.0021412037037037038)</f>
        <v>0.002141203704</v>
      </c>
      <c r="E1028" s="1">
        <f>IFERROR(__xludf.DUMMYFUNCTION("""COMPUTED_VALUE"""),1.14)</f>
        <v>1.14</v>
      </c>
      <c r="F1028" s="1">
        <f>IFERROR(__xludf.DUMMYFUNCTION("""COMPUTED_VALUE"""),4.22)</f>
        <v>4.22</v>
      </c>
      <c r="G1028" s="5">
        <f>IFERROR(__xludf.DUMMYFUNCTION("""COMPUTED_VALUE"""),12427.0)</f>
        <v>12427</v>
      </c>
      <c r="H1028" s="5">
        <f>IFERROR(__xludf.DUMMYFUNCTION("""COMPUTED_VALUE"""),2944.0)</f>
        <v>2944</v>
      </c>
    </row>
    <row r="1029">
      <c r="A1029" s="4">
        <f>IFERROR(__xludf.DUMMYFUNCTION("""COMPUTED_VALUE"""),43397.0)</f>
        <v>43397</v>
      </c>
      <c r="B1029" s="5">
        <f>IFERROR(__xludf.DUMMYFUNCTION("""COMPUTED_VALUE"""),2555.0)</f>
        <v>2555</v>
      </c>
      <c r="C1029" s="6">
        <f>IFERROR(__xludf.DUMMYFUNCTION("""COMPUTED_VALUE"""),0.3738)</f>
        <v>0.3738</v>
      </c>
      <c r="D1029" s="2">
        <f>IFERROR(__xludf.DUMMYFUNCTION("""COMPUTED_VALUE"""),0.0019560185185185184)</f>
        <v>0.001956018519</v>
      </c>
      <c r="E1029" s="1">
        <f>IFERROR(__xludf.DUMMYFUNCTION("""COMPUTED_VALUE"""),1.12)</f>
        <v>1.12</v>
      </c>
      <c r="F1029" s="1">
        <f>IFERROR(__xludf.DUMMYFUNCTION("""COMPUTED_VALUE"""),4.5)</f>
        <v>4.5</v>
      </c>
      <c r="G1029" s="5">
        <f>IFERROR(__xludf.DUMMYFUNCTION("""COMPUTED_VALUE"""),12872.0)</f>
        <v>12872</v>
      </c>
      <c r="H1029" s="5">
        <f>IFERROR(__xludf.DUMMYFUNCTION("""COMPUTED_VALUE"""),2860.0)</f>
        <v>2860</v>
      </c>
    </row>
    <row r="1030">
      <c r="A1030" s="4">
        <f>IFERROR(__xludf.DUMMYFUNCTION("""COMPUTED_VALUE"""),43398.0)</f>
        <v>43398</v>
      </c>
      <c r="B1030" s="5">
        <f>IFERROR(__xludf.DUMMYFUNCTION("""COMPUTED_VALUE"""),2527.0)</f>
        <v>2527</v>
      </c>
      <c r="C1030" s="6">
        <f>IFERROR(__xludf.DUMMYFUNCTION("""COMPUTED_VALUE"""),0.4175)</f>
        <v>0.4175</v>
      </c>
      <c r="D1030" s="2">
        <f>IFERROR(__xludf.DUMMYFUNCTION("""COMPUTED_VALUE"""),0.0025810185185185185)</f>
        <v>0.002581018519</v>
      </c>
      <c r="E1030" s="1">
        <f>IFERROR(__xludf.DUMMYFUNCTION("""COMPUTED_VALUE"""),1.13)</f>
        <v>1.13</v>
      </c>
      <c r="F1030" s="1">
        <f>IFERROR(__xludf.DUMMYFUNCTION("""COMPUTED_VALUE"""),4.06)</f>
        <v>4.06</v>
      </c>
      <c r="G1030" s="5">
        <f>IFERROR(__xludf.DUMMYFUNCTION("""COMPUTED_VALUE"""),11622.0)</f>
        <v>11622</v>
      </c>
      <c r="H1030" s="5">
        <f>IFERROR(__xludf.DUMMYFUNCTION("""COMPUTED_VALUE"""),2860.0)</f>
        <v>2860</v>
      </c>
    </row>
    <row r="1031">
      <c r="A1031" s="4">
        <f>IFERROR(__xludf.DUMMYFUNCTION("""COMPUTED_VALUE"""),43399.0)</f>
        <v>43399</v>
      </c>
      <c r="B1031" s="5">
        <f>IFERROR(__xludf.DUMMYFUNCTION("""COMPUTED_VALUE"""),2347.0)</f>
        <v>2347</v>
      </c>
      <c r="C1031" s="6">
        <f>IFERROR(__xludf.DUMMYFUNCTION("""COMPUTED_VALUE"""),0.3967)</f>
        <v>0.3967</v>
      </c>
      <c r="D1031" s="2">
        <f>IFERROR(__xludf.DUMMYFUNCTION("""COMPUTED_VALUE"""),0.0022453703703703702)</f>
        <v>0.00224537037</v>
      </c>
      <c r="E1031" s="1">
        <f>IFERROR(__xludf.DUMMYFUNCTION("""COMPUTED_VALUE"""),1.12)</f>
        <v>1.12</v>
      </c>
      <c r="F1031" s="1">
        <f>IFERROR(__xludf.DUMMYFUNCTION("""COMPUTED_VALUE"""),4.49)</f>
        <v>4.49</v>
      </c>
      <c r="G1031" s="5">
        <f>IFERROR(__xludf.DUMMYFUNCTION("""COMPUTED_VALUE"""),11789.0)</f>
        <v>11789</v>
      </c>
      <c r="H1031" s="5">
        <f>IFERROR(__xludf.DUMMYFUNCTION("""COMPUTED_VALUE"""),2624.0)</f>
        <v>2624</v>
      </c>
    </row>
    <row r="1032">
      <c r="A1032" s="4">
        <f>IFERROR(__xludf.DUMMYFUNCTION("""COMPUTED_VALUE"""),43400.0)</f>
        <v>43400</v>
      </c>
      <c r="B1032" s="5">
        <f>IFERROR(__xludf.DUMMYFUNCTION("""COMPUTED_VALUE"""),1541.0)</f>
        <v>1541</v>
      </c>
      <c r="C1032" s="6">
        <f>IFERROR(__xludf.DUMMYFUNCTION("""COMPUTED_VALUE"""),0.4326)</f>
        <v>0.4326</v>
      </c>
      <c r="D1032" s="2">
        <f>IFERROR(__xludf.DUMMYFUNCTION("""COMPUTED_VALUE"""),0.0025925925925925925)</f>
        <v>0.002592592593</v>
      </c>
      <c r="E1032" s="1">
        <f>IFERROR(__xludf.DUMMYFUNCTION("""COMPUTED_VALUE"""),1.21)</f>
        <v>1.21</v>
      </c>
      <c r="F1032" s="1">
        <f>IFERROR(__xludf.DUMMYFUNCTION("""COMPUTED_VALUE"""),4.57)</f>
        <v>4.57</v>
      </c>
      <c r="G1032" s="5">
        <f>IFERROR(__xludf.DUMMYFUNCTION("""COMPUTED_VALUE"""),8498.0)</f>
        <v>8498</v>
      </c>
      <c r="H1032" s="5">
        <f>IFERROR(__xludf.DUMMYFUNCTION("""COMPUTED_VALUE"""),1861.0)</f>
        <v>1861</v>
      </c>
    </row>
    <row r="1033">
      <c r="A1033" s="4">
        <f>IFERROR(__xludf.DUMMYFUNCTION("""COMPUTED_VALUE"""),43401.0)</f>
        <v>43401</v>
      </c>
      <c r="B1033" s="5">
        <f>IFERROR(__xludf.DUMMYFUNCTION("""COMPUTED_VALUE"""),1611.0)</f>
        <v>1611</v>
      </c>
      <c r="C1033" s="6">
        <f>IFERROR(__xludf.DUMMYFUNCTION("""COMPUTED_VALUE"""),0.489)</f>
        <v>0.489</v>
      </c>
      <c r="D1033" s="2">
        <f>IFERROR(__xludf.DUMMYFUNCTION("""COMPUTED_VALUE"""),0.0021064814814814813)</f>
        <v>0.002106481481</v>
      </c>
      <c r="E1033" s="1">
        <f>IFERROR(__xludf.DUMMYFUNCTION("""COMPUTED_VALUE"""),1.18)</f>
        <v>1.18</v>
      </c>
      <c r="F1033" s="1">
        <f>IFERROR(__xludf.DUMMYFUNCTION("""COMPUTED_VALUE"""),3.95)</f>
        <v>3.95</v>
      </c>
      <c r="G1033" s="5">
        <f>IFERROR(__xludf.DUMMYFUNCTION("""COMPUTED_VALUE"""),7512.0)</f>
        <v>7512</v>
      </c>
      <c r="H1033" s="5">
        <f>IFERROR(__xludf.DUMMYFUNCTION("""COMPUTED_VALUE"""),1902.0)</f>
        <v>1902</v>
      </c>
    </row>
    <row r="1034">
      <c r="A1034" s="4">
        <f>IFERROR(__xludf.DUMMYFUNCTION("""COMPUTED_VALUE"""),43402.0)</f>
        <v>43402</v>
      </c>
      <c r="B1034" s="5">
        <f>IFERROR(__xludf.DUMMYFUNCTION("""COMPUTED_VALUE"""),2624.0)</f>
        <v>2624</v>
      </c>
      <c r="C1034" s="6">
        <f>IFERROR(__xludf.DUMMYFUNCTION("""COMPUTED_VALUE"""),0.3963)</f>
        <v>0.3963</v>
      </c>
      <c r="D1034" s="2">
        <f>IFERROR(__xludf.DUMMYFUNCTION("""COMPUTED_VALUE"""),0.0014930555555555556)</f>
        <v>0.001493055556</v>
      </c>
      <c r="E1034" s="1">
        <f>IFERROR(__xludf.DUMMYFUNCTION("""COMPUTED_VALUE"""),1.15)</f>
        <v>1.15</v>
      </c>
      <c r="F1034" s="1">
        <f>IFERROR(__xludf.DUMMYFUNCTION("""COMPUTED_VALUE"""),5.41)</f>
        <v>5.41</v>
      </c>
      <c r="G1034" s="5">
        <f>IFERROR(__xludf.DUMMYFUNCTION("""COMPUTED_VALUE"""),16288.0)</f>
        <v>16288</v>
      </c>
      <c r="H1034" s="5">
        <f>IFERROR(__xludf.DUMMYFUNCTION("""COMPUTED_VALUE"""),3013.0)</f>
        <v>3013</v>
      </c>
    </row>
    <row r="1035">
      <c r="A1035" s="4">
        <f>IFERROR(__xludf.DUMMYFUNCTION("""COMPUTED_VALUE"""),43403.0)</f>
        <v>43403</v>
      </c>
      <c r="B1035" s="5">
        <f>IFERROR(__xludf.DUMMYFUNCTION("""COMPUTED_VALUE"""),2694.0)</f>
        <v>2694</v>
      </c>
      <c r="C1035" s="6">
        <f>IFERROR(__xludf.DUMMYFUNCTION("""COMPUTED_VALUE"""),0.4378)</f>
        <v>0.4378</v>
      </c>
      <c r="D1035" s="2">
        <f>IFERROR(__xludf.DUMMYFUNCTION("""COMPUTED_VALUE"""),0.0016087962962962963)</f>
        <v>0.001608796296</v>
      </c>
      <c r="E1035" s="1">
        <f>IFERROR(__xludf.DUMMYFUNCTION("""COMPUTED_VALUE"""),1.12)</f>
        <v>1.12</v>
      </c>
      <c r="F1035" s="1">
        <f>IFERROR(__xludf.DUMMYFUNCTION("""COMPUTED_VALUE"""),4.11)</f>
        <v>4.11</v>
      </c>
      <c r="G1035" s="5">
        <f>IFERROR(__xludf.DUMMYFUNCTION("""COMPUTED_VALUE"""),12386.0)</f>
        <v>12386</v>
      </c>
      <c r="H1035" s="5">
        <f>IFERROR(__xludf.DUMMYFUNCTION("""COMPUTED_VALUE"""),3013.0)</f>
        <v>3013</v>
      </c>
    </row>
    <row r="1036">
      <c r="A1036" s="4">
        <f>IFERROR(__xludf.DUMMYFUNCTION("""COMPUTED_VALUE"""),43404.0)</f>
        <v>43404</v>
      </c>
      <c r="B1036" s="5">
        <f>IFERROR(__xludf.DUMMYFUNCTION("""COMPUTED_VALUE"""),2166.0)</f>
        <v>2166</v>
      </c>
      <c r="C1036" s="6">
        <f>IFERROR(__xludf.DUMMYFUNCTION("""COMPUTED_VALUE"""),0.354)</f>
        <v>0.354</v>
      </c>
      <c r="D1036" s="2">
        <f>IFERROR(__xludf.DUMMYFUNCTION("""COMPUTED_VALUE"""),0.001979166666666667)</f>
        <v>0.001979166667</v>
      </c>
      <c r="E1036" s="1">
        <f>IFERROR(__xludf.DUMMYFUNCTION("""COMPUTED_VALUE"""),1.14)</f>
        <v>1.14</v>
      </c>
      <c r="F1036" s="1">
        <f>IFERROR(__xludf.DUMMYFUNCTION("""COMPUTED_VALUE"""),4.39)</f>
        <v>4.39</v>
      </c>
      <c r="G1036" s="5">
        <f>IFERROR(__xludf.DUMMYFUNCTION("""COMPUTED_VALUE"""),10844.0)</f>
        <v>10844</v>
      </c>
      <c r="H1036" s="5">
        <f>IFERROR(__xludf.DUMMYFUNCTION("""COMPUTED_VALUE"""),2472.0)</f>
        <v>2472</v>
      </c>
    </row>
    <row r="1037">
      <c r="A1037" s="4">
        <f>IFERROR(__xludf.DUMMYFUNCTION("""COMPUTED_VALUE"""),43405.0)</f>
        <v>43405</v>
      </c>
      <c r="B1037" s="5">
        <f>IFERROR(__xludf.DUMMYFUNCTION("""COMPUTED_VALUE"""),2124.0)</f>
        <v>2124</v>
      </c>
      <c r="C1037" s="6">
        <f>IFERROR(__xludf.DUMMYFUNCTION("""COMPUTED_VALUE"""),0.4117)</f>
        <v>0.4117</v>
      </c>
      <c r="D1037" s="2">
        <f>IFERROR(__xludf.DUMMYFUNCTION("""COMPUTED_VALUE"""),0.0011805555555555556)</f>
        <v>0.001180555556</v>
      </c>
      <c r="E1037" s="1">
        <f>IFERROR(__xludf.DUMMYFUNCTION("""COMPUTED_VALUE"""),1.11)</f>
        <v>1.11</v>
      </c>
      <c r="F1037" s="1">
        <f>IFERROR(__xludf.DUMMYFUNCTION("""COMPUTED_VALUE"""),3.46)</f>
        <v>3.46</v>
      </c>
      <c r="G1037" s="5">
        <f>IFERROR(__xludf.DUMMYFUNCTION("""COMPUTED_VALUE"""),8178.0)</f>
        <v>8178</v>
      </c>
      <c r="H1037" s="5">
        <f>IFERROR(__xludf.DUMMYFUNCTION("""COMPUTED_VALUE"""),2361.0)</f>
        <v>2361</v>
      </c>
    </row>
    <row r="1038">
      <c r="A1038" s="4">
        <f>IFERROR(__xludf.DUMMYFUNCTION("""COMPUTED_VALUE"""),43406.0)</f>
        <v>43406</v>
      </c>
      <c r="B1038" s="5">
        <f>IFERROR(__xludf.DUMMYFUNCTION("""COMPUTED_VALUE"""),2111.0)</f>
        <v>2111</v>
      </c>
      <c r="C1038" s="6">
        <f>IFERROR(__xludf.DUMMYFUNCTION("""COMPUTED_VALUE"""),0.4022)</f>
        <v>0.4022</v>
      </c>
      <c r="D1038" s="2">
        <f>IFERROR(__xludf.DUMMYFUNCTION("""COMPUTED_VALUE"""),0.0017824074074074075)</f>
        <v>0.001782407407</v>
      </c>
      <c r="E1038" s="1">
        <f>IFERROR(__xludf.DUMMYFUNCTION("""COMPUTED_VALUE"""),1.11)</f>
        <v>1.11</v>
      </c>
      <c r="F1038" s="1">
        <f>IFERROR(__xludf.DUMMYFUNCTION("""COMPUTED_VALUE"""),3.96)</f>
        <v>3.96</v>
      </c>
      <c r="G1038" s="5">
        <f>IFERROR(__xludf.DUMMYFUNCTION("""COMPUTED_VALUE"""),9289.0)</f>
        <v>9289</v>
      </c>
      <c r="H1038" s="5">
        <f>IFERROR(__xludf.DUMMYFUNCTION("""COMPUTED_VALUE"""),2347.0)</f>
        <v>2347</v>
      </c>
    </row>
    <row r="1039">
      <c r="A1039" s="4">
        <f>IFERROR(__xludf.DUMMYFUNCTION("""COMPUTED_VALUE"""),43407.0)</f>
        <v>43407</v>
      </c>
      <c r="B1039" s="5">
        <f>IFERROR(__xludf.DUMMYFUNCTION("""COMPUTED_VALUE"""),1375.0)</f>
        <v>1375</v>
      </c>
      <c r="C1039" s="6">
        <f>IFERROR(__xludf.DUMMYFUNCTION("""COMPUTED_VALUE"""),0.5216)</f>
        <v>0.5216</v>
      </c>
      <c r="D1039" s="2">
        <f>IFERROR(__xludf.DUMMYFUNCTION("""COMPUTED_VALUE"""),0.0014699074074074074)</f>
        <v>0.001469907407</v>
      </c>
      <c r="E1039" s="1">
        <f>IFERROR(__xludf.DUMMYFUNCTION("""COMPUTED_VALUE"""),1.16)</f>
        <v>1.16</v>
      </c>
      <c r="F1039" s="1">
        <f>IFERROR(__xludf.DUMMYFUNCTION("""COMPUTED_VALUE"""),3.75)</f>
        <v>3.75</v>
      </c>
      <c r="G1039" s="5">
        <f>IFERROR(__xludf.DUMMYFUNCTION("""COMPUTED_VALUE"""),5985.0)</f>
        <v>5985</v>
      </c>
      <c r="H1039" s="5">
        <f>IFERROR(__xludf.DUMMYFUNCTION("""COMPUTED_VALUE"""),1597.0)</f>
        <v>1597</v>
      </c>
    </row>
    <row r="1040">
      <c r="A1040" s="4">
        <f>IFERROR(__xludf.DUMMYFUNCTION("""COMPUTED_VALUE"""),43408.0)</f>
        <v>43408</v>
      </c>
      <c r="B1040" s="5">
        <f>IFERROR(__xludf.DUMMYFUNCTION("""COMPUTED_VALUE"""),1763.0)</f>
        <v>1763</v>
      </c>
      <c r="C1040" s="6">
        <f>IFERROR(__xludf.DUMMYFUNCTION("""COMPUTED_VALUE"""),0.4069)</f>
        <v>0.4069</v>
      </c>
      <c r="D1040" s="2">
        <f>IFERROR(__xludf.DUMMYFUNCTION("""COMPUTED_VALUE"""),0.0023148148148148147)</f>
        <v>0.002314814815</v>
      </c>
      <c r="E1040" s="1">
        <f>IFERROR(__xludf.DUMMYFUNCTION("""COMPUTED_VALUE"""),1.14)</f>
        <v>1.14</v>
      </c>
      <c r="F1040" s="1">
        <f>IFERROR(__xludf.DUMMYFUNCTION("""COMPUTED_VALUE"""),4.64)</f>
        <v>4.64</v>
      </c>
      <c r="G1040" s="5">
        <f>IFERROR(__xludf.DUMMYFUNCTION("""COMPUTED_VALUE"""),9331.0)</f>
        <v>9331</v>
      </c>
      <c r="H1040" s="5">
        <f>IFERROR(__xludf.DUMMYFUNCTION("""COMPUTED_VALUE"""),2013.0)</f>
        <v>2013</v>
      </c>
    </row>
    <row r="1041">
      <c r="A1041" s="4">
        <f>IFERROR(__xludf.DUMMYFUNCTION("""COMPUTED_VALUE"""),43409.0)</f>
        <v>43409</v>
      </c>
      <c r="B1041" s="5">
        <f>IFERROR(__xludf.DUMMYFUNCTION("""COMPUTED_VALUE"""),2735.0)</f>
        <v>2735</v>
      </c>
      <c r="C1041" s="6">
        <f>IFERROR(__xludf.DUMMYFUNCTION("""COMPUTED_VALUE"""),0.4664)</f>
        <v>0.4664</v>
      </c>
      <c r="D1041" s="2">
        <f>IFERROR(__xludf.DUMMYFUNCTION("""COMPUTED_VALUE"""),0.001724537037037037)</f>
        <v>0.001724537037</v>
      </c>
      <c r="E1041" s="1">
        <f>IFERROR(__xludf.DUMMYFUNCTION("""COMPUTED_VALUE"""),1.13)</f>
        <v>1.13</v>
      </c>
      <c r="F1041" s="1">
        <f>IFERROR(__xludf.DUMMYFUNCTION("""COMPUTED_VALUE"""),4.16)</f>
        <v>4.16</v>
      </c>
      <c r="G1041" s="5">
        <f>IFERROR(__xludf.DUMMYFUNCTION("""COMPUTED_VALUE"""),12872.0)</f>
        <v>12872</v>
      </c>
      <c r="H1041" s="5">
        <f>IFERROR(__xludf.DUMMYFUNCTION("""COMPUTED_VALUE"""),3096.0)</f>
        <v>3096</v>
      </c>
    </row>
    <row r="1042">
      <c r="A1042" s="4">
        <f>IFERROR(__xludf.DUMMYFUNCTION("""COMPUTED_VALUE"""),43410.0)</f>
        <v>43410</v>
      </c>
      <c r="B1042" s="5">
        <f>IFERROR(__xludf.DUMMYFUNCTION("""COMPUTED_VALUE"""),2555.0)</f>
        <v>2555</v>
      </c>
      <c r="C1042" s="6">
        <f>IFERROR(__xludf.DUMMYFUNCTION("""COMPUTED_VALUE"""),0.378)</f>
        <v>0.378</v>
      </c>
      <c r="D1042" s="2">
        <f>IFERROR(__xludf.DUMMYFUNCTION("""COMPUTED_VALUE"""),0.0021643518518518518)</f>
        <v>0.002164351852</v>
      </c>
      <c r="E1042" s="1">
        <f>IFERROR(__xludf.DUMMYFUNCTION("""COMPUTED_VALUE"""),1.14)</f>
        <v>1.14</v>
      </c>
      <c r="F1042" s="1">
        <f>IFERROR(__xludf.DUMMYFUNCTION("""COMPUTED_VALUE"""),4.95)</f>
        <v>4.95</v>
      </c>
      <c r="G1042" s="5">
        <f>IFERROR(__xludf.DUMMYFUNCTION("""COMPUTED_VALUE"""),14357.0)</f>
        <v>14357</v>
      </c>
      <c r="H1042" s="5">
        <f>IFERROR(__xludf.DUMMYFUNCTION("""COMPUTED_VALUE"""),2902.0)</f>
        <v>2902</v>
      </c>
    </row>
    <row r="1043">
      <c r="A1043" s="4">
        <f>IFERROR(__xludf.DUMMYFUNCTION("""COMPUTED_VALUE"""),43411.0)</f>
        <v>43411</v>
      </c>
      <c r="B1043" s="5">
        <f>IFERROR(__xludf.DUMMYFUNCTION("""COMPUTED_VALUE"""),2444.0)</f>
        <v>2444</v>
      </c>
      <c r="C1043" s="6">
        <f>IFERROR(__xludf.DUMMYFUNCTION("""COMPUTED_VALUE"""),0.39)</f>
        <v>0.39</v>
      </c>
      <c r="D1043" s="2">
        <f>IFERROR(__xludf.DUMMYFUNCTION("""COMPUTED_VALUE"""),0.001875)</f>
        <v>0.001875</v>
      </c>
      <c r="E1043" s="1">
        <f>IFERROR(__xludf.DUMMYFUNCTION("""COMPUTED_VALUE"""),1.14)</f>
        <v>1.14</v>
      </c>
      <c r="F1043" s="1">
        <f>IFERROR(__xludf.DUMMYFUNCTION("""COMPUTED_VALUE"""),4.88)</f>
        <v>4.88</v>
      </c>
      <c r="G1043" s="5">
        <f>IFERROR(__xludf.DUMMYFUNCTION("""COMPUTED_VALUE"""),13538.0)</f>
        <v>13538</v>
      </c>
      <c r="H1043" s="5">
        <f>IFERROR(__xludf.DUMMYFUNCTION("""COMPUTED_VALUE"""),2777.0)</f>
        <v>2777</v>
      </c>
    </row>
    <row r="1044">
      <c r="A1044" s="4">
        <f>IFERROR(__xludf.DUMMYFUNCTION("""COMPUTED_VALUE"""),43412.0)</f>
        <v>43412</v>
      </c>
      <c r="B1044" s="5">
        <f>IFERROR(__xludf.DUMMYFUNCTION("""COMPUTED_VALUE"""),2499.0)</f>
        <v>2499</v>
      </c>
      <c r="C1044" s="6">
        <f>IFERROR(__xludf.DUMMYFUNCTION("""COMPUTED_VALUE"""),0.4602)</f>
        <v>0.4602</v>
      </c>
      <c r="D1044" s="2">
        <f>IFERROR(__xludf.DUMMYFUNCTION("""COMPUTED_VALUE"""),0.001712962962962963)</f>
        <v>0.001712962963</v>
      </c>
      <c r="E1044" s="1">
        <f>IFERROR(__xludf.DUMMYFUNCTION("""COMPUTED_VALUE"""),1.12)</f>
        <v>1.12</v>
      </c>
      <c r="F1044" s="1">
        <f>IFERROR(__xludf.DUMMYFUNCTION("""COMPUTED_VALUE"""),3.73)</f>
        <v>3.73</v>
      </c>
      <c r="G1044" s="5">
        <f>IFERROR(__xludf.DUMMYFUNCTION("""COMPUTED_VALUE"""),10470.0)</f>
        <v>10470</v>
      </c>
      <c r="H1044" s="5">
        <f>IFERROR(__xludf.DUMMYFUNCTION("""COMPUTED_VALUE"""),2805.0)</f>
        <v>2805</v>
      </c>
    </row>
    <row r="1045">
      <c r="A1045" s="4">
        <f>IFERROR(__xludf.DUMMYFUNCTION("""COMPUTED_VALUE"""),43413.0)</f>
        <v>43413</v>
      </c>
      <c r="B1045" s="5">
        <f>IFERROR(__xludf.DUMMYFUNCTION("""COMPUTED_VALUE"""),2277.0)</f>
        <v>2277</v>
      </c>
      <c r="C1045" s="6">
        <f>IFERROR(__xludf.DUMMYFUNCTION("""COMPUTED_VALUE"""),0.5115)</f>
        <v>0.5115</v>
      </c>
      <c r="D1045" s="2">
        <f>IFERROR(__xludf.DUMMYFUNCTION("""COMPUTED_VALUE"""),0.0018171296296296297)</f>
        <v>0.00181712963</v>
      </c>
      <c r="E1045" s="1">
        <f>IFERROR(__xludf.DUMMYFUNCTION("""COMPUTED_VALUE"""),1.07)</f>
        <v>1.07</v>
      </c>
      <c r="F1045" s="1">
        <f>IFERROR(__xludf.DUMMYFUNCTION("""COMPUTED_VALUE"""),4.24)</f>
        <v>4.24</v>
      </c>
      <c r="G1045" s="5">
        <f>IFERROR(__xludf.DUMMYFUNCTION("""COMPUTED_VALUE"""),10372.0)</f>
        <v>10372</v>
      </c>
      <c r="H1045" s="5">
        <f>IFERROR(__xludf.DUMMYFUNCTION("""COMPUTED_VALUE"""),2444.0)</f>
        <v>2444</v>
      </c>
    </row>
    <row r="1046">
      <c r="A1046" s="4">
        <f>IFERROR(__xludf.DUMMYFUNCTION("""COMPUTED_VALUE"""),43414.0)</f>
        <v>43414</v>
      </c>
      <c r="B1046" s="5">
        <f>IFERROR(__xludf.DUMMYFUNCTION("""COMPUTED_VALUE"""),1680.0)</f>
        <v>1680</v>
      </c>
      <c r="C1046" s="6">
        <f>IFERROR(__xludf.DUMMYFUNCTION("""COMPUTED_VALUE"""),0.5037)</f>
        <v>0.5037</v>
      </c>
      <c r="D1046" s="2">
        <f>IFERROR(__xludf.DUMMYFUNCTION("""COMPUTED_VALUE"""),0.001238425925925926)</f>
        <v>0.001238425926</v>
      </c>
      <c r="E1046" s="1">
        <f>IFERROR(__xludf.DUMMYFUNCTION("""COMPUTED_VALUE"""),1.13)</f>
        <v>1.13</v>
      </c>
      <c r="F1046" s="1">
        <f>IFERROR(__xludf.DUMMYFUNCTION("""COMPUTED_VALUE"""),3.45)</f>
        <v>3.45</v>
      </c>
      <c r="G1046" s="5">
        <f>IFERROR(__xludf.DUMMYFUNCTION("""COMPUTED_VALUE"""),6568.0)</f>
        <v>6568</v>
      </c>
      <c r="H1046" s="5">
        <f>IFERROR(__xludf.DUMMYFUNCTION("""COMPUTED_VALUE"""),1902.0)</f>
        <v>1902</v>
      </c>
    </row>
    <row r="1047">
      <c r="A1047" s="4">
        <f>IFERROR(__xludf.DUMMYFUNCTION("""COMPUTED_VALUE"""),43415.0)</f>
        <v>43415</v>
      </c>
      <c r="B1047" s="5">
        <f>IFERROR(__xludf.DUMMYFUNCTION("""COMPUTED_VALUE"""),1708.0)</f>
        <v>1708</v>
      </c>
      <c r="C1047" s="6">
        <f>IFERROR(__xludf.DUMMYFUNCTION("""COMPUTED_VALUE"""),0.4366)</f>
        <v>0.4366</v>
      </c>
      <c r="D1047" s="2">
        <f>IFERROR(__xludf.DUMMYFUNCTION("""COMPUTED_VALUE"""),0.001585648148148148)</f>
        <v>0.001585648148</v>
      </c>
      <c r="E1047" s="1">
        <f>IFERROR(__xludf.DUMMYFUNCTION("""COMPUTED_VALUE"""),1.15)</f>
        <v>1.15</v>
      </c>
      <c r="F1047" s="1">
        <f>IFERROR(__xludf.DUMMYFUNCTION("""COMPUTED_VALUE"""),4.01)</f>
        <v>4.01</v>
      </c>
      <c r="G1047" s="5">
        <f>IFERROR(__xludf.DUMMYFUNCTION("""COMPUTED_VALUE"""),7915.0)</f>
        <v>7915</v>
      </c>
      <c r="H1047" s="5">
        <f>IFERROR(__xludf.DUMMYFUNCTION("""COMPUTED_VALUE"""),1972.0)</f>
        <v>1972</v>
      </c>
    </row>
    <row r="1048">
      <c r="A1048" s="4">
        <f>IFERROR(__xludf.DUMMYFUNCTION("""COMPUTED_VALUE"""),43416.0)</f>
        <v>43416</v>
      </c>
      <c r="B1048" s="5">
        <f>IFERROR(__xludf.DUMMYFUNCTION("""COMPUTED_VALUE"""),2694.0)</f>
        <v>2694</v>
      </c>
      <c r="C1048" s="6">
        <f>IFERROR(__xludf.DUMMYFUNCTION("""COMPUTED_VALUE"""),0.4357)</f>
        <v>0.4357</v>
      </c>
      <c r="D1048" s="2">
        <f>IFERROR(__xludf.DUMMYFUNCTION("""COMPUTED_VALUE"""),0.002349537037037037)</f>
        <v>0.002349537037</v>
      </c>
      <c r="E1048" s="1">
        <f>IFERROR(__xludf.DUMMYFUNCTION("""COMPUTED_VALUE"""),1.12)</f>
        <v>1.12</v>
      </c>
      <c r="F1048" s="1">
        <f>IFERROR(__xludf.DUMMYFUNCTION("""COMPUTED_VALUE"""),4.31)</f>
        <v>4.31</v>
      </c>
      <c r="G1048" s="5">
        <f>IFERROR(__xludf.DUMMYFUNCTION("""COMPUTED_VALUE"""),13052.0)</f>
        <v>13052</v>
      </c>
      <c r="H1048" s="5">
        <f>IFERROR(__xludf.DUMMYFUNCTION("""COMPUTED_VALUE"""),3027.0)</f>
        <v>3027</v>
      </c>
    </row>
    <row r="1049">
      <c r="A1049" s="4">
        <f>IFERROR(__xludf.DUMMYFUNCTION("""COMPUTED_VALUE"""),43417.0)</f>
        <v>43417</v>
      </c>
      <c r="B1049" s="5">
        <f>IFERROR(__xludf.DUMMYFUNCTION("""COMPUTED_VALUE"""),2930.0)</f>
        <v>2930</v>
      </c>
      <c r="C1049" s="6">
        <f>IFERROR(__xludf.DUMMYFUNCTION("""COMPUTED_VALUE"""),0.4435)</f>
        <v>0.4435</v>
      </c>
      <c r="D1049" s="2">
        <f>IFERROR(__xludf.DUMMYFUNCTION("""COMPUTED_VALUE"""),0.0015972222222222223)</f>
        <v>0.001597222222</v>
      </c>
      <c r="E1049" s="1">
        <f>IFERROR(__xludf.DUMMYFUNCTION("""COMPUTED_VALUE"""),1.13)</f>
        <v>1.13</v>
      </c>
      <c r="F1049" s="1">
        <f>IFERROR(__xludf.DUMMYFUNCTION("""COMPUTED_VALUE"""),3.95)</f>
        <v>3.95</v>
      </c>
      <c r="G1049" s="5">
        <f>IFERROR(__xludf.DUMMYFUNCTION("""COMPUTED_VALUE"""),13108.0)</f>
        <v>13108</v>
      </c>
      <c r="H1049" s="5">
        <f>IFERROR(__xludf.DUMMYFUNCTION("""COMPUTED_VALUE"""),3319.0)</f>
        <v>3319</v>
      </c>
    </row>
    <row r="1050">
      <c r="A1050" s="4">
        <f>IFERROR(__xludf.DUMMYFUNCTION("""COMPUTED_VALUE"""),43418.0)</f>
        <v>43418</v>
      </c>
      <c r="B1050" s="5">
        <f>IFERROR(__xludf.DUMMYFUNCTION("""COMPUTED_VALUE"""),2694.0)</f>
        <v>2694</v>
      </c>
      <c r="C1050" s="6">
        <f>IFERROR(__xludf.DUMMYFUNCTION("""COMPUTED_VALUE"""),0.3428)</f>
        <v>0.3428</v>
      </c>
      <c r="D1050" s="2">
        <f>IFERROR(__xludf.DUMMYFUNCTION("""COMPUTED_VALUE"""),0.001724537037037037)</f>
        <v>0.001724537037</v>
      </c>
      <c r="E1050" s="1">
        <f>IFERROR(__xludf.DUMMYFUNCTION("""COMPUTED_VALUE"""),1.11)</f>
        <v>1.11</v>
      </c>
      <c r="F1050" s="1">
        <f>IFERROR(__xludf.DUMMYFUNCTION("""COMPUTED_VALUE"""),4.49)</f>
        <v>4.49</v>
      </c>
      <c r="G1050" s="5">
        <f>IFERROR(__xludf.DUMMYFUNCTION("""COMPUTED_VALUE"""),13455.0)</f>
        <v>13455</v>
      </c>
      <c r="H1050" s="5">
        <f>IFERROR(__xludf.DUMMYFUNCTION("""COMPUTED_VALUE"""),2999.0)</f>
        <v>2999</v>
      </c>
    </row>
    <row r="1051">
      <c r="A1051" s="4">
        <f>IFERROR(__xludf.DUMMYFUNCTION("""COMPUTED_VALUE"""),43419.0)</f>
        <v>43419</v>
      </c>
      <c r="B1051" s="5">
        <f>IFERROR(__xludf.DUMMYFUNCTION("""COMPUTED_VALUE"""),2763.0)</f>
        <v>2763</v>
      </c>
      <c r="C1051" s="6">
        <f>IFERROR(__xludf.DUMMYFUNCTION("""COMPUTED_VALUE"""),0.4078)</f>
        <v>0.4078</v>
      </c>
      <c r="D1051" s="2">
        <f>IFERROR(__xludf.DUMMYFUNCTION("""COMPUTED_VALUE"""),0.0022222222222222222)</f>
        <v>0.002222222222</v>
      </c>
      <c r="E1051" s="1">
        <f>IFERROR(__xludf.DUMMYFUNCTION("""COMPUTED_VALUE"""),1.15)</f>
        <v>1.15</v>
      </c>
      <c r="F1051" s="1">
        <f>IFERROR(__xludf.DUMMYFUNCTION("""COMPUTED_VALUE"""),3.87)</f>
        <v>3.87</v>
      </c>
      <c r="G1051" s="5">
        <f>IFERROR(__xludf.DUMMYFUNCTION("""COMPUTED_VALUE"""),12247.0)</f>
        <v>12247</v>
      </c>
      <c r="H1051" s="5">
        <f>IFERROR(__xludf.DUMMYFUNCTION("""COMPUTED_VALUE"""),3166.0)</f>
        <v>3166</v>
      </c>
    </row>
    <row r="1052">
      <c r="A1052" s="4">
        <f>IFERROR(__xludf.DUMMYFUNCTION("""COMPUTED_VALUE"""),43420.0)</f>
        <v>43420</v>
      </c>
      <c r="B1052" s="5">
        <f>IFERROR(__xludf.DUMMYFUNCTION("""COMPUTED_VALUE"""),2444.0)</f>
        <v>2444</v>
      </c>
      <c r="C1052" s="6">
        <f>IFERROR(__xludf.DUMMYFUNCTION("""COMPUTED_VALUE"""),0.3764)</f>
        <v>0.3764</v>
      </c>
      <c r="D1052" s="2">
        <f>IFERROR(__xludf.DUMMYFUNCTION("""COMPUTED_VALUE"""),0.0014351851851851852)</f>
        <v>0.001435185185</v>
      </c>
      <c r="E1052" s="1">
        <f>IFERROR(__xludf.DUMMYFUNCTION("""COMPUTED_VALUE"""),1.1)</f>
        <v>1.1</v>
      </c>
      <c r="F1052" s="1">
        <f>IFERROR(__xludf.DUMMYFUNCTION("""COMPUTED_VALUE"""),4.33)</f>
        <v>4.33</v>
      </c>
      <c r="G1052" s="5">
        <f>IFERROR(__xludf.DUMMYFUNCTION("""COMPUTED_VALUE"""),11664.0)</f>
        <v>11664</v>
      </c>
      <c r="H1052" s="5">
        <f>IFERROR(__xludf.DUMMYFUNCTION("""COMPUTED_VALUE"""),2694.0)</f>
        <v>2694</v>
      </c>
    </row>
    <row r="1053">
      <c r="A1053" s="4">
        <f>IFERROR(__xludf.DUMMYFUNCTION("""COMPUTED_VALUE"""),43421.0)</f>
        <v>43421</v>
      </c>
      <c r="B1053" s="5">
        <f>IFERROR(__xludf.DUMMYFUNCTION("""COMPUTED_VALUE"""),1861.0)</f>
        <v>1861</v>
      </c>
      <c r="C1053" s="6">
        <f>IFERROR(__xludf.DUMMYFUNCTION("""COMPUTED_VALUE"""),0.4864)</f>
        <v>0.4864</v>
      </c>
      <c r="D1053" s="2">
        <f>IFERROR(__xludf.DUMMYFUNCTION("""COMPUTED_VALUE"""),0.001724537037037037)</f>
        <v>0.001724537037</v>
      </c>
      <c r="E1053" s="1">
        <f>IFERROR(__xludf.DUMMYFUNCTION("""COMPUTED_VALUE"""),1.09)</f>
        <v>1.09</v>
      </c>
      <c r="F1053" s="1">
        <f>IFERROR(__xludf.DUMMYFUNCTION("""COMPUTED_VALUE"""),3.81)</f>
        <v>3.81</v>
      </c>
      <c r="G1053" s="5">
        <f>IFERROR(__xludf.DUMMYFUNCTION("""COMPUTED_VALUE"""),7720.0)</f>
        <v>7720</v>
      </c>
      <c r="H1053" s="5">
        <f>IFERROR(__xludf.DUMMYFUNCTION("""COMPUTED_VALUE"""),2027.0)</f>
        <v>2027</v>
      </c>
    </row>
    <row r="1054">
      <c r="A1054" s="4">
        <f>IFERROR(__xludf.DUMMYFUNCTION("""COMPUTED_VALUE"""),43422.0)</f>
        <v>43422</v>
      </c>
      <c r="B1054" s="5">
        <f>IFERROR(__xludf.DUMMYFUNCTION("""COMPUTED_VALUE"""),1875.0)</f>
        <v>1875</v>
      </c>
      <c r="C1054" s="6">
        <f>IFERROR(__xludf.DUMMYFUNCTION("""COMPUTED_VALUE"""),0.5033)</f>
        <v>0.5033</v>
      </c>
      <c r="D1054" s="2">
        <f>IFERROR(__xludf.DUMMYFUNCTION("""COMPUTED_VALUE"""),0.001388888888888889)</f>
        <v>0.001388888889</v>
      </c>
      <c r="E1054" s="1">
        <f>IFERROR(__xludf.DUMMYFUNCTION("""COMPUTED_VALUE"""),1.15)</f>
        <v>1.15</v>
      </c>
      <c r="F1054" s="1">
        <f>IFERROR(__xludf.DUMMYFUNCTION("""COMPUTED_VALUE"""),3.74)</f>
        <v>3.74</v>
      </c>
      <c r="G1054" s="5">
        <f>IFERROR(__xludf.DUMMYFUNCTION("""COMPUTED_VALUE"""),8040.0)</f>
        <v>8040</v>
      </c>
      <c r="H1054" s="5">
        <f>IFERROR(__xludf.DUMMYFUNCTION("""COMPUTED_VALUE"""),2152.0)</f>
        <v>2152</v>
      </c>
    </row>
    <row r="1055">
      <c r="A1055" s="4">
        <f>IFERROR(__xludf.DUMMYFUNCTION("""COMPUTED_VALUE"""),43423.0)</f>
        <v>43423</v>
      </c>
      <c r="B1055" s="5">
        <f>IFERROR(__xludf.DUMMYFUNCTION("""COMPUTED_VALUE"""),3096.0)</f>
        <v>3096</v>
      </c>
      <c r="C1055" s="6">
        <f>IFERROR(__xludf.DUMMYFUNCTION("""COMPUTED_VALUE"""),0.425)</f>
        <v>0.425</v>
      </c>
      <c r="D1055" s="2">
        <f>IFERROR(__xludf.DUMMYFUNCTION("""COMPUTED_VALUE"""),0.0015393518518518519)</f>
        <v>0.001539351852</v>
      </c>
      <c r="E1055" s="1">
        <f>IFERROR(__xludf.DUMMYFUNCTION("""COMPUTED_VALUE"""),1.08)</f>
        <v>1.08</v>
      </c>
      <c r="F1055" s="1">
        <f>IFERROR(__xludf.DUMMYFUNCTION("""COMPUTED_VALUE"""),4.1)</f>
        <v>4.1</v>
      </c>
      <c r="G1055" s="5">
        <f>IFERROR(__xludf.DUMMYFUNCTION("""COMPUTED_VALUE"""),13677.0)</f>
        <v>13677</v>
      </c>
      <c r="H1055" s="5">
        <f>IFERROR(__xludf.DUMMYFUNCTION("""COMPUTED_VALUE"""),3332.0)</f>
        <v>3332</v>
      </c>
    </row>
    <row r="1056">
      <c r="A1056" s="4">
        <f>IFERROR(__xludf.DUMMYFUNCTION("""COMPUTED_VALUE"""),43424.0)</f>
        <v>43424</v>
      </c>
      <c r="B1056" s="5">
        <f>IFERROR(__xludf.DUMMYFUNCTION("""COMPUTED_VALUE"""),2902.0)</f>
        <v>2902</v>
      </c>
      <c r="C1056" s="6">
        <f>IFERROR(__xludf.DUMMYFUNCTION("""COMPUTED_VALUE"""),0.3592)</f>
        <v>0.3592</v>
      </c>
      <c r="D1056" s="2">
        <f>IFERROR(__xludf.DUMMYFUNCTION("""COMPUTED_VALUE"""),0.002025462962962963)</f>
        <v>0.002025462963</v>
      </c>
      <c r="E1056" s="1">
        <f>IFERROR(__xludf.DUMMYFUNCTION("""COMPUTED_VALUE"""),1.17)</f>
        <v>1.17</v>
      </c>
      <c r="F1056" s="1">
        <f>IFERROR(__xludf.DUMMYFUNCTION("""COMPUTED_VALUE"""),4.76)</f>
        <v>4.76</v>
      </c>
      <c r="G1056" s="5">
        <f>IFERROR(__xludf.DUMMYFUNCTION("""COMPUTED_VALUE"""),16190.0)</f>
        <v>16190</v>
      </c>
      <c r="H1056" s="5">
        <f>IFERROR(__xludf.DUMMYFUNCTION("""COMPUTED_VALUE"""),3402.0)</f>
        <v>3402</v>
      </c>
    </row>
    <row r="1057">
      <c r="A1057" s="4">
        <f>IFERROR(__xludf.DUMMYFUNCTION("""COMPUTED_VALUE"""),43425.0)</f>
        <v>43425</v>
      </c>
      <c r="B1057" s="5">
        <f>IFERROR(__xludf.DUMMYFUNCTION("""COMPUTED_VALUE"""),2791.0)</f>
        <v>2791</v>
      </c>
      <c r="C1057" s="6">
        <f>IFERROR(__xludf.DUMMYFUNCTION("""COMPUTED_VALUE"""),0.4221)</f>
        <v>0.4221</v>
      </c>
      <c r="D1057" s="2">
        <f>IFERROR(__xludf.DUMMYFUNCTION("""COMPUTED_VALUE"""),0.0018171296296296297)</f>
        <v>0.00181712963</v>
      </c>
      <c r="E1057" s="1">
        <f>IFERROR(__xludf.DUMMYFUNCTION("""COMPUTED_VALUE"""),1.18)</f>
        <v>1.18</v>
      </c>
      <c r="F1057" s="1">
        <f>IFERROR(__xludf.DUMMYFUNCTION("""COMPUTED_VALUE"""),4.25)</f>
        <v>4.25</v>
      </c>
      <c r="G1057" s="5">
        <f>IFERROR(__xludf.DUMMYFUNCTION("""COMPUTED_VALUE"""),13983.0)</f>
        <v>13983</v>
      </c>
      <c r="H1057" s="5">
        <f>IFERROR(__xludf.DUMMYFUNCTION("""COMPUTED_VALUE"""),3291.0)</f>
        <v>3291</v>
      </c>
    </row>
    <row r="1058">
      <c r="A1058" s="4">
        <f>IFERROR(__xludf.DUMMYFUNCTION("""COMPUTED_VALUE"""),43426.0)</f>
        <v>43426</v>
      </c>
      <c r="B1058" s="5">
        <f>IFERROR(__xludf.DUMMYFUNCTION("""COMPUTED_VALUE"""),2499.0)</f>
        <v>2499</v>
      </c>
      <c r="C1058" s="6">
        <f>IFERROR(__xludf.DUMMYFUNCTION("""COMPUTED_VALUE"""),0.3497)</f>
        <v>0.3497</v>
      </c>
      <c r="D1058" s="2">
        <f>IFERROR(__xludf.DUMMYFUNCTION("""COMPUTED_VALUE"""),0.002638888888888889)</f>
        <v>0.002638888889</v>
      </c>
      <c r="E1058" s="1">
        <f>IFERROR(__xludf.DUMMYFUNCTION("""COMPUTED_VALUE"""),1.14)</f>
        <v>1.14</v>
      </c>
      <c r="F1058" s="1">
        <f>IFERROR(__xludf.DUMMYFUNCTION("""COMPUTED_VALUE"""),5.19)</f>
        <v>5.19</v>
      </c>
      <c r="G1058" s="5">
        <f>IFERROR(__xludf.DUMMYFUNCTION("""COMPUTED_VALUE"""),14857.0)</f>
        <v>14857</v>
      </c>
      <c r="H1058" s="5">
        <f>IFERROR(__xludf.DUMMYFUNCTION("""COMPUTED_VALUE"""),2860.0)</f>
        <v>2860</v>
      </c>
    </row>
    <row r="1059">
      <c r="A1059" s="4">
        <f>IFERROR(__xludf.DUMMYFUNCTION("""COMPUTED_VALUE"""),43427.0)</f>
        <v>43427</v>
      </c>
      <c r="B1059" s="5">
        <f>IFERROR(__xludf.DUMMYFUNCTION("""COMPUTED_VALUE"""),2833.0)</f>
        <v>2833</v>
      </c>
      <c r="C1059" s="6">
        <f>IFERROR(__xludf.DUMMYFUNCTION("""COMPUTED_VALUE"""),0.3694)</f>
        <v>0.3694</v>
      </c>
      <c r="D1059" s="2">
        <f>IFERROR(__xludf.DUMMYFUNCTION("""COMPUTED_VALUE"""),0.0024189814814814816)</f>
        <v>0.002418981481</v>
      </c>
      <c r="E1059" s="1">
        <f>IFERROR(__xludf.DUMMYFUNCTION("""COMPUTED_VALUE"""),1.09)</f>
        <v>1.09</v>
      </c>
      <c r="F1059" s="1">
        <f>IFERROR(__xludf.DUMMYFUNCTION("""COMPUTED_VALUE"""),4.74)</f>
        <v>4.74</v>
      </c>
      <c r="G1059" s="5">
        <f>IFERROR(__xludf.DUMMYFUNCTION("""COMPUTED_VALUE"""),14607.0)</f>
        <v>14607</v>
      </c>
      <c r="H1059" s="5">
        <f>IFERROR(__xludf.DUMMYFUNCTION("""COMPUTED_VALUE"""),3083.0)</f>
        <v>3083</v>
      </c>
    </row>
    <row r="1060">
      <c r="A1060" s="4">
        <f>IFERROR(__xludf.DUMMYFUNCTION("""COMPUTED_VALUE"""),43428.0)</f>
        <v>43428</v>
      </c>
      <c r="B1060" s="5">
        <f>IFERROR(__xludf.DUMMYFUNCTION("""COMPUTED_VALUE"""),1847.0)</f>
        <v>1847</v>
      </c>
      <c r="C1060" s="6">
        <f>IFERROR(__xludf.DUMMYFUNCTION("""COMPUTED_VALUE"""),0.419)</f>
        <v>0.419</v>
      </c>
      <c r="D1060" s="2">
        <f>IFERROR(__xludf.DUMMYFUNCTION("""COMPUTED_VALUE"""),0.0016435185185185185)</f>
        <v>0.001643518519</v>
      </c>
      <c r="E1060" s="1">
        <f>IFERROR(__xludf.DUMMYFUNCTION("""COMPUTED_VALUE"""),1.11)</f>
        <v>1.11</v>
      </c>
      <c r="F1060" s="1">
        <f>IFERROR(__xludf.DUMMYFUNCTION("""COMPUTED_VALUE"""),3.62)</f>
        <v>3.62</v>
      </c>
      <c r="G1060" s="5">
        <f>IFERROR(__xludf.DUMMYFUNCTION("""COMPUTED_VALUE"""),7443.0)</f>
        <v>7443</v>
      </c>
      <c r="H1060" s="5">
        <f>IFERROR(__xludf.DUMMYFUNCTION("""COMPUTED_VALUE"""),2055.0)</f>
        <v>2055</v>
      </c>
    </row>
    <row r="1061">
      <c r="A1061" s="4">
        <f>IFERROR(__xludf.DUMMYFUNCTION("""COMPUTED_VALUE"""),43429.0)</f>
        <v>43429</v>
      </c>
      <c r="B1061" s="5">
        <f>IFERROR(__xludf.DUMMYFUNCTION("""COMPUTED_VALUE"""),1999.0)</f>
        <v>1999</v>
      </c>
      <c r="C1061" s="6">
        <f>IFERROR(__xludf.DUMMYFUNCTION("""COMPUTED_VALUE"""),0.4338)</f>
        <v>0.4338</v>
      </c>
      <c r="D1061" s="2">
        <f>IFERROR(__xludf.DUMMYFUNCTION("""COMPUTED_VALUE"""),0.0019328703703703704)</f>
        <v>0.00193287037</v>
      </c>
      <c r="E1061" s="1">
        <f>IFERROR(__xludf.DUMMYFUNCTION("""COMPUTED_VALUE"""),1.15)</f>
        <v>1.15</v>
      </c>
      <c r="F1061" s="1">
        <f>IFERROR(__xludf.DUMMYFUNCTION("""COMPUTED_VALUE"""),4.58)</f>
        <v>4.58</v>
      </c>
      <c r="G1061" s="5">
        <f>IFERROR(__xludf.DUMMYFUNCTION("""COMPUTED_VALUE"""),10553.0)</f>
        <v>10553</v>
      </c>
      <c r="H1061" s="5">
        <f>IFERROR(__xludf.DUMMYFUNCTION("""COMPUTED_VALUE"""),2305.0)</f>
        <v>2305</v>
      </c>
    </row>
    <row r="1062">
      <c r="A1062" s="4">
        <f>IFERROR(__xludf.DUMMYFUNCTION("""COMPUTED_VALUE"""),43430.0)</f>
        <v>43430</v>
      </c>
      <c r="B1062" s="5">
        <f>IFERROR(__xludf.DUMMYFUNCTION("""COMPUTED_VALUE"""),3930.0)</f>
        <v>3930</v>
      </c>
      <c r="C1062" s="6">
        <f>IFERROR(__xludf.DUMMYFUNCTION("""COMPUTED_VALUE"""),0.3851)</f>
        <v>0.3851</v>
      </c>
      <c r="D1062" s="2">
        <f>IFERROR(__xludf.DUMMYFUNCTION("""COMPUTED_VALUE"""),0.0018865740740740742)</f>
        <v>0.001886574074</v>
      </c>
      <c r="E1062" s="1">
        <f>IFERROR(__xludf.DUMMYFUNCTION("""COMPUTED_VALUE"""),1.14)</f>
        <v>1.14</v>
      </c>
      <c r="F1062" s="1">
        <f>IFERROR(__xludf.DUMMYFUNCTION("""COMPUTED_VALUE"""),4.03)</f>
        <v>4.03</v>
      </c>
      <c r="G1062" s="5">
        <f>IFERROR(__xludf.DUMMYFUNCTION("""COMPUTED_VALUE"""),18009.0)</f>
        <v>18009</v>
      </c>
      <c r="H1062" s="5">
        <f>IFERROR(__xludf.DUMMYFUNCTION("""COMPUTED_VALUE"""),4471.0)</f>
        <v>4471</v>
      </c>
    </row>
    <row r="1063">
      <c r="A1063" s="4">
        <f>IFERROR(__xludf.DUMMYFUNCTION("""COMPUTED_VALUE"""),43431.0)</f>
        <v>43431</v>
      </c>
      <c r="B1063" s="5">
        <f>IFERROR(__xludf.DUMMYFUNCTION("""COMPUTED_VALUE"""),2916.0)</f>
        <v>2916</v>
      </c>
      <c r="C1063" s="6">
        <f>IFERROR(__xludf.DUMMYFUNCTION("""COMPUTED_VALUE"""),0.425)</f>
        <v>0.425</v>
      </c>
      <c r="D1063" s="2">
        <f>IFERROR(__xludf.DUMMYFUNCTION("""COMPUTED_VALUE"""),0.001990740740740741)</f>
        <v>0.001990740741</v>
      </c>
      <c r="E1063" s="1">
        <f>IFERROR(__xludf.DUMMYFUNCTION("""COMPUTED_VALUE"""),1.14)</f>
        <v>1.14</v>
      </c>
      <c r="F1063" s="1">
        <f>IFERROR(__xludf.DUMMYFUNCTION("""COMPUTED_VALUE"""),3.79)</f>
        <v>3.79</v>
      </c>
      <c r="G1063" s="5">
        <f>IFERROR(__xludf.DUMMYFUNCTION("""COMPUTED_VALUE"""),12636.0)</f>
        <v>12636</v>
      </c>
      <c r="H1063" s="5">
        <f>IFERROR(__xludf.DUMMYFUNCTION("""COMPUTED_VALUE"""),3332.0)</f>
        <v>3332</v>
      </c>
    </row>
    <row r="1064">
      <c r="A1064" s="4">
        <f>IFERROR(__xludf.DUMMYFUNCTION("""COMPUTED_VALUE"""),43432.0)</f>
        <v>43432</v>
      </c>
      <c r="B1064" s="5">
        <f>IFERROR(__xludf.DUMMYFUNCTION("""COMPUTED_VALUE"""),2763.0)</f>
        <v>2763</v>
      </c>
      <c r="C1064" s="6">
        <f>IFERROR(__xludf.DUMMYFUNCTION("""COMPUTED_VALUE"""),0.4488)</f>
        <v>0.4488</v>
      </c>
      <c r="D1064" s="2">
        <f>IFERROR(__xludf.DUMMYFUNCTION("""COMPUTED_VALUE"""),0.0017013888888888888)</f>
        <v>0.001701388889</v>
      </c>
      <c r="E1064" s="1">
        <f>IFERROR(__xludf.DUMMYFUNCTION("""COMPUTED_VALUE"""),1.13)</f>
        <v>1.13</v>
      </c>
      <c r="F1064" s="1">
        <f>IFERROR(__xludf.DUMMYFUNCTION("""COMPUTED_VALUE"""),4.26)</f>
        <v>4.26</v>
      </c>
      <c r="G1064" s="5">
        <f>IFERROR(__xludf.DUMMYFUNCTION("""COMPUTED_VALUE"""),13316.0)</f>
        <v>13316</v>
      </c>
      <c r="H1064" s="5">
        <f>IFERROR(__xludf.DUMMYFUNCTION("""COMPUTED_VALUE"""),3124.0)</f>
        <v>3124</v>
      </c>
    </row>
    <row r="1065">
      <c r="A1065" s="4">
        <f>IFERROR(__xludf.DUMMYFUNCTION("""COMPUTED_VALUE"""),43433.0)</f>
        <v>43433</v>
      </c>
      <c r="B1065" s="5">
        <f>IFERROR(__xludf.DUMMYFUNCTION("""COMPUTED_VALUE"""),2569.0)</f>
        <v>2569</v>
      </c>
      <c r="C1065" s="6">
        <f>IFERROR(__xludf.DUMMYFUNCTION("""COMPUTED_VALUE"""),0.3947)</f>
        <v>0.3947</v>
      </c>
      <c r="D1065" s="2">
        <f>IFERROR(__xludf.DUMMYFUNCTION("""COMPUTED_VALUE"""),0.0020717592592592593)</f>
        <v>0.002071759259</v>
      </c>
      <c r="E1065" s="1">
        <f>IFERROR(__xludf.DUMMYFUNCTION("""COMPUTED_VALUE"""),1.21)</f>
        <v>1.21</v>
      </c>
      <c r="F1065" s="1">
        <f>IFERROR(__xludf.DUMMYFUNCTION("""COMPUTED_VALUE"""),4.45)</f>
        <v>4.45</v>
      </c>
      <c r="G1065" s="5">
        <f>IFERROR(__xludf.DUMMYFUNCTION("""COMPUTED_VALUE"""),13774.0)</f>
        <v>13774</v>
      </c>
      <c r="H1065" s="5">
        <f>IFERROR(__xludf.DUMMYFUNCTION("""COMPUTED_VALUE"""),3096.0)</f>
        <v>3096</v>
      </c>
    </row>
    <row r="1066">
      <c r="A1066" s="4">
        <f>IFERROR(__xludf.DUMMYFUNCTION("""COMPUTED_VALUE"""),43434.0)</f>
        <v>43434</v>
      </c>
      <c r="B1066" s="5">
        <f>IFERROR(__xludf.DUMMYFUNCTION("""COMPUTED_VALUE"""),2333.0)</f>
        <v>2333</v>
      </c>
      <c r="C1066" s="6">
        <f>IFERROR(__xludf.DUMMYFUNCTION("""COMPUTED_VALUE"""),0.3893)</f>
        <v>0.3893</v>
      </c>
      <c r="D1066" s="2">
        <f>IFERROR(__xludf.DUMMYFUNCTION("""COMPUTED_VALUE"""),0.0019444444444444444)</f>
        <v>0.001944444444</v>
      </c>
      <c r="E1066" s="1">
        <f>IFERROR(__xludf.DUMMYFUNCTION("""COMPUTED_VALUE"""),1.1)</f>
        <v>1.1</v>
      </c>
      <c r="F1066" s="1">
        <f>IFERROR(__xludf.DUMMYFUNCTION("""COMPUTED_VALUE"""),4.58)</f>
        <v>4.58</v>
      </c>
      <c r="G1066" s="5">
        <f>IFERROR(__xludf.DUMMYFUNCTION("""COMPUTED_VALUE"""),11775.0)</f>
        <v>11775</v>
      </c>
      <c r="H1066" s="5">
        <f>IFERROR(__xludf.DUMMYFUNCTION("""COMPUTED_VALUE"""),2569.0)</f>
        <v>2569</v>
      </c>
    </row>
    <row r="1067">
      <c r="A1067" s="4">
        <f>IFERROR(__xludf.DUMMYFUNCTION("""COMPUTED_VALUE"""),43435.0)</f>
        <v>43435</v>
      </c>
      <c r="B1067" s="5">
        <f>IFERROR(__xludf.DUMMYFUNCTION("""COMPUTED_VALUE"""),1694.0)</f>
        <v>1694</v>
      </c>
      <c r="C1067" s="6">
        <f>IFERROR(__xludf.DUMMYFUNCTION("""COMPUTED_VALUE"""),0.4586)</f>
        <v>0.4586</v>
      </c>
      <c r="D1067" s="2">
        <f>IFERROR(__xludf.DUMMYFUNCTION("""COMPUTED_VALUE"""),0.0020717592592592593)</f>
        <v>0.002071759259</v>
      </c>
      <c r="E1067" s="1">
        <f>IFERROR(__xludf.DUMMYFUNCTION("""COMPUTED_VALUE"""),1.09)</f>
        <v>1.09</v>
      </c>
      <c r="F1067" s="1">
        <f>IFERROR(__xludf.DUMMYFUNCTION("""COMPUTED_VALUE"""),4.66)</f>
        <v>4.66</v>
      </c>
      <c r="G1067" s="5">
        <f>IFERROR(__xludf.DUMMYFUNCTION("""COMPUTED_VALUE"""),8609.0)</f>
        <v>8609</v>
      </c>
      <c r="H1067" s="5">
        <f>IFERROR(__xludf.DUMMYFUNCTION("""COMPUTED_VALUE"""),1847.0)</f>
        <v>1847</v>
      </c>
    </row>
    <row r="1068">
      <c r="A1068" s="4">
        <f>IFERROR(__xludf.DUMMYFUNCTION("""COMPUTED_VALUE"""),43436.0)</f>
        <v>43436</v>
      </c>
      <c r="B1068" s="5">
        <f>IFERROR(__xludf.DUMMYFUNCTION("""COMPUTED_VALUE"""),1736.0)</f>
        <v>1736</v>
      </c>
      <c r="C1068" s="6">
        <f>IFERROR(__xludf.DUMMYFUNCTION("""COMPUTED_VALUE"""),0.4153)</f>
        <v>0.4153</v>
      </c>
      <c r="D1068" s="2">
        <f>IFERROR(__xludf.DUMMYFUNCTION("""COMPUTED_VALUE"""),0.0023032407407407407)</f>
        <v>0.002303240741</v>
      </c>
      <c r="E1068" s="1">
        <f>IFERROR(__xludf.DUMMYFUNCTION("""COMPUTED_VALUE"""),1.14)</f>
        <v>1.14</v>
      </c>
      <c r="F1068" s="1">
        <f>IFERROR(__xludf.DUMMYFUNCTION("""COMPUTED_VALUE"""),4.41)</f>
        <v>4.41</v>
      </c>
      <c r="G1068" s="5">
        <f>IFERROR(__xludf.DUMMYFUNCTION("""COMPUTED_VALUE"""),8692.0)</f>
        <v>8692</v>
      </c>
      <c r="H1068" s="5">
        <f>IFERROR(__xludf.DUMMYFUNCTION("""COMPUTED_VALUE"""),1972.0)</f>
        <v>1972</v>
      </c>
    </row>
    <row r="1069">
      <c r="A1069" s="4">
        <f>IFERROR(__xludf.DUMMYFUNCTION("""COMPUTED_VALUE"""),43437.0)</f>
        <v>43437</v>
      </c>
      <c r="B1069" s="5">
        <f>IFERROR(__xludf.DUMMYFUNCTION("""COMPUTED_VALUE"""),2999.0)</f>
        <v>2999</v>
      </c>
      <c r="C1069" s="6">
        <f>IFERROR(__xludf.DUMMYFUNCTION("""COMPUTED_VALUE"""),0.3618)</f>
        <v>0.3618</v>
      </c>
      <c r="D1069" s="2">
        <f>IFERROR(__xludf.DUMMYFUNCTION("""COMPUTED_VALUE"""),0.002349537037037037)</f>
        <v>0.002349537037</v>
      </c>
      <c r="E1069" s="1">
        <f>IFERROR(__xludf.DUMMYFUNCTION("""COMPUTED_VALUE"""),1.14)</f>
        <v>1.14</v>
      </c>
      <c r="F1069" s="1">
        <f>IFERROR(__xludf.DUMMYFUNCTION("""COMPUTED_VALUE"""),4.76)</f>
        <v>4.76</v>
      </c>
      <c r="G1069" s="5">
        <f>IFERROR(__xludf.DUMMYFUNCTION("""COMPUTED_VALUE"""),16260.0)</f>
        <v>16260</v>
      </c>
      <c r="H1069" s="5">
        <f>IFERROR(__xludf.DUMMYFUNCTION("""COMPUTED_VALUE"""),3416.0)</f>
        <v>3416</v>
      </c>
    </row>
    <row r="1070">
      <c r="A1070" s="4">
        <f>IFERROR(__xludf.DUMMYFUNCTION("""COMPUTED_VALUE"""),43438.0)</f>
        <v>43438</v>
      </c>
      <c r="B1070" s="5">
        <f>IFERROR(__xludf.DUMMYFUNCTION("""COMPUTED_VALUE"""),2860.0)</f>
        <v>2860</v>
      </c>
      <c r="C1070" s="6">
        <f>IFERROR(__xludf.DUMMYFUNCTION("""COMPUTED_VALUE"""),0.4574)</f>
        <v>0.4574</v>
      </c>
      <c r="D1070" s="2">
        <f>IFERROR(__xludf.DUMMYFUNCTION("""COMPUTED_VALUE"""),0.0021527777777777778)</f>
        <v>0.002152777778</v>
      </c>
      <c r="E1070" s="1">
        <f>IFERROR(__xludf.DUMMYFUNCTION("""COMPUTED_VALUE"""),1.14)</f>
        <v>1.14</v>
      </c>
      <c r="F1070" s="1">
        <f>IFERROR(__xludf.DUMMYFUNCTION("""COMPUTED_VALUE"""),4.47)</f>
        <v>4.47</v>
      </c>
      <c r="G1070" s="5">
        <f>IFERROR(__xludf.DUMMYFUNCTION("""COMPUTED_VALUE"""),14538.0)</f>
        <v>14538</v>
      </c>
      <c r="H1070" s="5">
        <f>IFERROR(__xludf.DUMMYFUNCTION("""COMPUTED_VALUE"""),3249.0)</f>
        <v>3249</v>
      </c>
    </row>
    <row r="1071">
      <c r="A1071" s="4">
        <f>IFERROR(__xludf.DUMMYFUNCTION("""COMPUTED_VALUE"""),43439.0)</f>
        <v>43439</v>
      </c>
      <c r="B1071" s="5">
        <f>IFERROR(__xludf.DUMMYFUNCTION("""COMPUTED_VALUE"""),2680.0)</f>
        <v>2680</v>
      </c>
      <c r="C1071" s="6">
        <f>IFERROR(__xludf.DUMMYFUNCTION("""COMPUTED_VALUE"""),0.3864)</f>
        <v>0.3864</v>
      </c>
      <c r="D1071" s="2">
        <f>IFERROR(__xludf.DUMMYFUNCTION("""COMPUTED_VALUE"""),0.0020486111111111113)</f>
        <v>0.002048611111</v>
      </c>
      <c r="E1071" s="1">
        <f>IFERROR(__xludf.DUMMYFUNCTION("""COMPUTED_VALUE"""),1.21)</f>
        <v>1.21</v>
      </c>
      <c r="F1071" s="1">
        <f>IFERROR(__xludf.DUMMYFUNCTION("""COMPUTED_VALUE"""),4.67)</f>
        <v>4.67</v>
      </c>
      <c r="G1071" s="5">
        <f>IFERROR(__xludf.DUMMYFUNCTION("""COMPUTED_VALUE"""),15121.0)</f>
        <v>15121</v>
      </c>
      <c r="H1071" s="5">
        <f>IFERROR(__xludf.DUMMYFUNCTION("""COMPUTED_VALUE"""),3235.0)</f>
        <v>3235</v>
      </c>
    </row>
    <row r="1072">
      <c r="A1072" s="4">
        <f>IFERROR(__xludf.DUMMYFUNCTION("""COMPUTED_VALUE"""),43440.0)</f>
        <v>43440</v>
      </c>
      <c r="B1072" s="5">
        <f>IFERROR(__xludf.DUMMYFUNCTION("""COMPUTED_VALUE"""),2541.0)</f>
        <v>2541</v>
      </c>
      <c r="C1072" s="6">
        <f>IFERROR(__xludf.DUMMYFUNCTION("""COMPUTED_VALUE"""),0.414)</f>
        <v>0.414</v>
      </c>
      <c r="D1072" s="2">
        <f>IFERROR(__xludf.DUMMYFUNCTION("""COMPUTED_VALUE"""),0.0025925925925925925)</f>
        <v>0.002592592593</v>
      </c>
      <c r="E1072" s="1">
        <f>IFERROR(__xludf.DUMMYFUNCTION("""COMPUTED_VALUE"""),1.24)</f>
        <v>1.24</v>
      </c>
      <c r="F1072" s="1">
        <f>IFERROR(__xludf.DUMMYFUNCTION("""COMPUTED_VALUE"""),4.89)</f>
        <v>4.89</v>
      </c>
      <c r="G1072" s="5">
        <f>IFERROR(__xludf.DUMMYFUNCTION("""COMPUTED_VALUE"""),15427.0)</f>
        <v>15427</v>
      </c>
      <c r="H1072" s="5">
        <f>IFERROR(__xludf.DUMMYFUNCTION("""COMPUTED_VALUE"""),3152.0)</f>
        <v>3152</v>
      </c>
    </row>
    <row r="1073">
      <c r="A1073" s="4">
        <f>IFERROR(__xludf.DUMMYFUNCTION("""COMPUTED_VALUE"""),43441.0)</f>
        <v>43441</v>
      </c>
      <c r="B1073" s="5">
        <f>IFERROR(__xludf.DUMMYFUNCTION("""COMPUTED_VALUE"""),2249.0)</f>
        <v>2249</v>
      </c>
      <c r="C1073" s="6">
        <f>IFERROR(__xludf.DUMMYFUNCTION("""COMPUTED_VALUE"""),0.3617)</f>
        <v>0.3617</v>
      </c>
      <c r="D1073" s="2">
        <f>IFERROR(__xludf.DUMMYFUNCTION("""COMPUTED_VALUE"""),0.0028935185185185184)</f>
        <v>0.002893518519</v>
      </c>
      <c r="E1073" s="1">
        <f>IFERROR(__xludf.DUMMYFUNCTION("""COMPUTED_VALUE"""),1.09)</f>
        <v>1.09</v>
      </c>
      <c r="F1073" s="1">
        <f>IFERROR(__xludf.DUMMYFUNCTION("""COMPUTED_VALUE"""),5.62)</f>
        <v>5.62</v>
      </c>
      <c r="G1073" s="5">
        <f>IFERROR(__xludf.DUMMYFUNCTION("""COMPUTED_VALUE"""),13816.0)</f>
        <v>13816</v>
      </c>
      <c r="H1073" s="5">
        <f>IFERROR(__xludf.DUMMYFUNCTION("""COMPUTED_VALUE"""),2458.0)</f>
        <v>2458</v>
      </c>
    </row>
    <row r="1074">
      <c r="A1074" s="4">
        <f>IFERROR(__xludf.DUMMYFUNCTION("""COMPUTED_VALUE"""),43442.0)</f>
        <v>43442</v>
      </c>
      <c r="B1074" s="5">
        <f>IFERROR(__xludf.DUMMYFUNCTION("""COMPUTED_VALUE"""),1444.0)</f>
        <v>1444</v>
      </c>
      <c r="C1074" s="6">
        <f>IFERROR(__xludf.DUMMYFUNCTION("""COMPUTED_VALUE"""),0.3499)</f>
        <v>0.3499</v>
      </c>
      <c r="D1074" s="2">
        <f>IFERROR(__xludf.DUMMYFUNCTION("""COMPUTED_VALUE"""),0.0020717592592592593)</f>
        <v>0.002071759259</v>
      </c>
      <c r="E1074" s="1">
        <f>IFERROR(__xludf.DUMMYFUNCTION("""COMPUTED_VALUE"""),1.15)</f>
        <v>1.15</v>
      </c>
      <c r="F1074" s="1">
        <f>IFERROR(__xludf.DUMMYFUNCTION("""COMPUTED_VALUE"""),5.43)</f>
        <v>5.43</v>
      </c>
      <c r="G1074" s="5">
        <f>IFERROR(__xludf.DUMMYFUNCTION("""COMPUTED_VALUE"""),9039.0)</f>
        <v>9039</v>
      </c>
      <c r="H1074" s="5">
        <f>IFERROR(__xludf.DUMMYFUNCTION("""COMPUTED_VALUE"""),1666.0)</f>
        <v>1666</v>
      </c>
    </row>
    <row r="1075">
      <c r="A1075" s="4">
        <f>IFERROR(__xludf.DUMMYFUNCTION("""COMPUTED_VALUE"""),43443.0)</f>
        <v>43443</v>
      </c>
      <c r="B1075" s="5">
        <f>IFERROR(__xludf.DUMMYFUNCTION("""COMPUTED_VALUE"""),1416.0)</f>
        <v>1416</v>
      </c>
      <c r="C1075" s="6">
        <f>IFERROR(__xludf.DUMMYFUNCTION("""COMPUTED_VALUE"""),0.3309)</f>
        <v>0.3309</v>
      </c>
      <c r="D1075" s="2">
        <f>IFERROR(__xludf.DUMMYFUNCTION("""COMPUTED_VALUE"""),0.002372685185185185)</f>
        <v>0.002372685185</v>
      </c>
      <c r="E1075" s="1">
        <f>IFERROR(__xludf.DUMMYFUNCTION("""COMPUTED_VALUE"""),1.16)</f>
        <v>1.16</v>
      </c>
      <c r="F1075" s="1">
        <f>IFERROR(__xludf.DUMMYFUNCTION("""COMPUTED_VALUE"""),5.35)</f>
        <v>5.35</v>
      </c>
      <c r="G1075" s="5">
        <f>IFERROR(__xludf.DUMMYFUNCTION("""COMPUTED_VALUE"""),8762.0)</f>
        <v>8762</v>
      </c>
      <c r="H1075" s="5">
        <f>IFERROR(__xludf.DUMMYFUNCTION("""COMPUTED_VALUE"""),1638.0)</f>
        <v>1638</v>
      </c>
    </row>
    <row r="1076">
      <c r="A1076" s="4">
        <f>IFERROR(__xludf.DUMMYFUNCTION("""COMPUTED_VALUE"""),43444.0)</f>
        <v>43444</v>
      </c>
      <c r="B1076" s="5">
        <f>IFERROR(__xludf.DUMMYFUNCTION("""COMPUTED_VALUE"""),2180.0)</f>
        <v>2180</v>
      </c>
      <c r="C1076" s="6">
        <f>IFERROR(__xludf.DUMMYFUNCTION("""COMPUTED_VALUE"""),0.2849)</f>
        <v>0.2849</v>
      </c>
      <c r="D1076" s="2">
        <f>IFERROR(__xludf.DUMMYFUNCTION("""COMPUTED_VALUE"""),0.002013888888888889)</f>
        <v>0.002013888889</v>
      </c>
      <c r="E1076" s="1">
        <f>IFERROR(__xludf.DUMMYFUNCTION("""COMPUTED_VALUE"""),1.14)</f>
        <v>1.14</v>
      </c>
      <c r="F1076" s="1">
        <f>IFERROR(__xludf.DUMMYFUNCTION("""COMPUTED_VALUE"""),5.1)</f>
        <v>5.1</v>
      </c>
      <c r="G1076" s="5">
        <f>IFERROR(__xludf.DUMMYFUNCTION("""COMPUTED_VALUE"""),12663.0)</f>
        <v>12663</v>
      </c>
      <c r="H1076" s="5">
        <f>IFERROR(__xludf.DUMMYFUNCTION("""COMPUTED_VALUE"""),2485.0)</f>
        <v>2485</v>
      </c>
    </row>
    <row r="1077">
      <c r="A1077" s="4">
        <f>IFERROR(__xludf.DUMMYFUNCTION("""COMPUTED_VALUE"""),43445.0)</f>
        <v>43445</v>
      </c>
      <c r="B1077" s="5">
        <f>IFERROR(__xludf.DUMMYFUNCTION("""COMPUTED_VALUE"""),1972.0)</f>
        <v>1972</v>
      </c>
      <c r="C1077" s="6">
        <f>IFERROR(__xludf.DUMMYFUNCTION("""COMPUTED_VALUE"""),0.3885)</f>
        <v>0.3885</v>
      </c>
      <c r="D1077" s="2">
        <f>IFERROR(__xludf.DUMMYFUNCTION("""COMPUTED_VALUE"""),0.002766203703703704)</f>
        <v>0.002766203704</v>
      </c>
      <c r="E1077" s="1">
        <f>IFERROR(__xludf.DUMMYFUNCTION("""COMPUTED_VALUE"""),1.11)</f>
        <v>1.11</v>
      </c>
      <c r="F1077" s="1">
        <f>IFERROR(__xludf.DUMMYFUNCTION("""COMPUTED_VALUE"""),5.43)</f>
        <v>5.43</v>
      </c>
      <c r="G1077" s="5">
        <f>IFERROR(__xludf.DUMMYFUNCTION("""COMPUTED_VALUE"""),11844.0)</f>
        <v>11844</v>
      </c>
      <c r="H1077" s="5">
        <f>IFERROR(__xludf.DUMMYFUNCTION("""COMPUTED_VALUE"""),2180.0)</f>
        <v>2180</v>
      </c>
    </row>
    <row r="1078">
      <c r="A1078" s="4">
        <f>IFERROR(__xludf.DUMMYFUNCTION("""COMPUTED_VALUE"""),43446.0)</f>
        <v>43446</v>
      </c>
      <c r="B1078" s="5">
        <f>IFERROR(__xludf.DUMMYFUNCTION("""COMPUTED_VALUE"""),2277.0)</f>
        <v>2277</v>
      </c>
      <c r="C1078" s="6">
        <f>IFERROR(__xludf.DUMMYFUNCTION("""COMPUTED_VALUE"""),0.4051)</f>
        <v>0.4051</v>
      </c>
      <c r="D1078" s="2">
        <f>IFERROR(__xludf.DUMMYFUNCTION("""COMPUTED_VALUE"""),0.0026157407407407405)</f>
        <v>0.002615740741</v>
      </c>
      <c r="E1078" s="1">
        <f>IFERROR(__xludf.DUMMYFUNCTION("""COMPUTED_VALUE"""),1.19)</f>
        <v>1.19</v>
      </c>
      <c r="F1078" s="1">
        <f>IFERROR(__xludf.DUMMYFUNCTION("""COMPUTED_VALUE"""),4.47)</f>
        <v>4.47</v>
      </c>
      <c r="G1078" s="5">
        <f>IFERROR(__xludf.DUMMYFUNCTION("""COMPUTED_VALUE"""),12108.0)</f>
        <v>12108</v>
      </c>
      <c r="H1078" s="5">
        <f>IFERROR(__xludf.DUMMYFUNCTION("""COMPUTED_VALUE"""),2708.0)</f>
        <v>2708</v>
      </c>
    </row>
    <row r="1079">
      <c r="A1079" s="4">
        <f>IFERROR(__xludf.DUMMYFUNCTION("""COMPUTED_VALUE"""),43447.0)</f>
        <v>43447</v>
      </c>
      <c r="B1079" s="5">
        <f>IFERROR(__xludf.DUMMYFUNCTION("""COMPUTED_VALUE"""),2055.0)</f>
        <v>2055</v>
      </c>
      <c r="C1079" s="6">
        <f>IFERROR(__xludf.DUMMYFUNCTION("""COMPUTED_VALUE"""),0.2647)</f>
        <v>0.2647</v>
      </c>
      <c r="D1079" s="2">
        <f>IFERROR(__xludf.DUMMYFUNCTION("""COMPUTED_VALUE"""),0.0031944444444444446)</f>
        <v>0.003194444444</v>
      </c>
      <c r="E1079" s="1">
        <f>IFERROR(__xludf.DUMMYFUNCTION("""COMPUTED_VALUE"""),1.15)</f>
        <v>1.15</v>
      </c>
      <c r="F1079" s="1">
        <f>IFERROR(__xludf.DUMMYFUNCTION("""COMPUTED_VALUE"""),5.79)</f>
        <v>5.79</v>
      </c>
      <c r="G1079" s="5">
        <f>IFERROR(__xludf.DUMMYFUNCTION("""COMPUTED_VALUE"""),13677.0)</f>
        <v>13677</v>
      </c>
      <c r="H1079" s="5">
        <f>IFERROR(__xludf.DUMMYFUNCTION("""COMPUTED_VALUE"""),2361.0)</f>
        <v>2361</v>
      </c>
    </row>
    <row r="1080">
      <c r="A1080" s="4">
        <f>IFERROR(__xludf.DUMMYFUNCTION("""COMPUTED_VALUE"""),43448.0)</f>
        <v>43448</v>
      </c>
      <c r="B1080" s="5">
        <f>IFERROR(__xludf.DUMMYFUNCTION("""COMPUTED_VALUE"""),1916.0)</f>
        <v>1916</v>
      </c>
      <c r="C1080" s="6">
        <f>IFERROR(__xludf.DUMMYFUNCTION("""COMPUTED_VALUE"""),0.2849)</f>
        <v>0.2849</v>
      </c>
      <c r="D1080" s="2">
        <f>IFERROR(__xludf.DUMMYFUNCTION("""COMPUTED_VALUE"""),0.0028935185185185184)</f>
        <v>0.002893518519</v>
      </c>
      <c r="E1080" s="1">
        <f>IFERROR(__xludf.DUMMYFUNCTION("""COMPUTED_VALUE"""),1.15)</f>
        <v>1.15</v>
      </c>
      <c r="F1080" s="1">
        <f>IFERROR(__xludf.DUMMYFUNCTION("""COMPUTED_VALUE"""),5.91)</f>
        <v>5.91</v>
      </c>
      <c r="G1080" s="5">
        <f>IFERROR(__xludf.DUMMYFUNCTION("""COMPUTED_VALUE"""),12969.0)</f>
        <v>12969</v>
      </c>
      <c r="H1080" s="5">
        <f>IFERROR(__xludf.DUMMYFUNCTION("""COMPUTED_VALUE"""),2194.0)</f>
        <v>2194</v>
      </c>
    </row>
    <row r="1081">
      <c r="A1081" s="4">
        <f>IFERROR(__xludf.DUMMYFUNCTION("""COMPUTED_VALUE"""),43449.0)</f>
        <v>43449</v>
      </c>
      <c r="B1081" s="5">
        <f>IFERROR(__xludf.DUMMYFUNCTION("""COMPUTED_VALUE"""),1222.0)</f>
        <v>1222</v>
      </c>
      <c r="C1081" s="6">
        <f>IFERROR(__xludf.DUMMYFUNCTION("""COMPUTED_VALUE"""),0.3801)</f>
        <v>0.3801</v>
      </c>
      <c r="D1081" s="2">
        <f>IFERROR(__xludf.DUMMYFUNCTION("""COMPUTED_VALUE"""),0.002395833333333333)</f>
        <v>0.002395833333</v>
      </c>
      <c r="E1081" s="1">
        <f>IFERROR(__xludf.DUMMYFUNCTION("""COMPUTED_VALUE"""),1.14)</f>
        <v>1.14</v>
      </c>
      <c r="F1081" s="1">
        <f>IFERROR(__xludf.DUMMYFUNCTION("""COMPUTED_VALUE"""),5.25)</f>
        <v>5.25</v>
      </c>
      <c r="G1081" s="5">
        <f>IFERROR(__xludf.DUMMYFUNCTION("""COMPUTED_VALUE"""),7290.0)</f>
        <v>7290</v>
      </c>
      <c r="H1081" s="5">
        <f>IFERROR(__xludf.DUMMYFUNCTION("""COMPUTED_VALUE"""),1389.0)</f>
        <v>1389</v>
      </c>
    </row>
    <row r="1082">
      <c r="A1082" s="4">
        <f>IFERROR(__xludf.DUMMYFUNCTION("""COMPUTED_VALUE"""),43450.0)</f>
        <v>43450</v>
      </c>
      <c r="B1082" s="5">
        <f>IFERROR(__xludf.DUMMYFUNCTION("""COMPUTED_VALUE"""),1375.0)</f>
        <v>1375</v>
      </c>
      <c r="C1082" s="6">
        <f>IFERROR(__xludf.DUMMYFUNCTION("""COMPUTED_VALUE"""),0.3517)</f>
        <v>0.3517</v>
      </c>
      <c r="D1082" s="2">
        <f>IFERROR(__xludf.DUMMYFUNCTION("""COMPUTED_VALUE"""),0.002210648148148148)</f>
        <v>0.002210648148</v>
      </c>
      <c r="E1082" s="1">
        <f>IFERROR(__xludf.DUMMYFUNCTION("""COMPUTED_VALUE"""),1.12)</f>
        <v>1.12</v>
      </c>
      <c r="F1082" s="1">
        <f>IFERROR(__xludf.DUMMYFUNCTION("""COMPUTED_VALUE"""),5.5)</f>
        <v>5.5</v>
      </c>
      <c r="G1082" s="5">
        <f>IFERROR(__xludf.DUMMYFUNCTION("""COMPUTED_VALUE"""),8470.0)</f>
        <v>8470</v>
      </c>
      <c r="H1082" s="5">
        <f>IFERROR(__xludf.DUMMYFUNCTION("""COMPUTED_VALUE"""),1541.0)</f>
        <v>1541</v>
      </c>
    </row>
    <row r="1083">
      <c r="A1083" s="4">
        <f>IFERROR(__xludf.DUMMYFUNCTION("""COMPUTED_VALUE"""),43451.0)</f>
        <v>43451</v>
      </c>
      <c r="B1083" s="5">
        <f>IFERROR(__xludf.DUMMYFUNCTION("""COMPUTED_VALUE"""),1958.0)</f>
        <v>1958</v>
      </c>
      <c r="C1083" s="6">
        <f>IFERROR(__xludf.DUMMYFUNCTION("""COMPUTED_VALUE"""),0.345)</f>
        <v>0.345</v>
      </c>
      <c r="D1083" s="2">
        <f>IFERROR(__xludf.DUMMYFUNCTION("""COMPUTED_VALUE"""),0.0030092592592592593)</f>
        <v>0.003009259259</v>
      </c>
      <c r="E1083" s="1">
        <f>IFERROR(__xludf.DUMMYFUNCTION("""COMPUTED_VALUE"""),1.19)</f>
        <v>1.19</v>
      </c>
      <c r="F1083" s="1">
        <f>IFERROR(__xludf.DUMMYFUNCTION("""COMPUTED_VALUE"""),6.11)</f>
        <v>6.11</v>
      </c>
      <c r="G1083" s="5">
        <f>IFERROR(__xludf.DUMMYFUNCTION("""COMPUTED_VALUE"""),14246.0)</f>
        <v>14246</v>
      </c>
      <c r="H1083" s="5">
        <f>IFERROR(__xludf.DUMMYFUNCTION("""COMPUTED_VALUE"""),2333.0)</f>
        <v>2333</v>
      </c>
    </row>
    <row r="1084">
      <c r="A1084" s="4">
        <f>IFERROR(__xludf.DUMMYFUNCTION("""COMPUTED_VALUE"""),43452.0)</f>
        <v>43452</v>
      </c>
      <c r="B1084" s="5">
        <f>IFERROR(__xludf.DUMMYFUNCTION("""COMPUTED_VALUE"""),2055.0)</f>
        <v>2055</v>
      </c>
      <c r="C1084" s="6">
        <f>IFERROR(__xludf.DUMMYFUNCTION("""COMPUTED_VALUE"""),0.3255)</f>
        <v>0.3255</v>
      </c>
      <c r="D1084" s="2">
        <f>IFERROR(__xludf.DUMMYFUNCTION("""COMPUTED_VALUE"""),0.002673611111111111)</f>
        <v>0.002673611111</v>
      </c>
      <c r="E1084" s="1">
        <f>IFERROR(__xludf.DUMMYFUNCTION("""COMPUTED_VALUE"""),1.14)</f>
        <v>1.14</v>
      </c>
      <c r="F1084" s="1">
        <f>IFERROR(__xludf.DUMMYFUNCTION("""COMPUTED_VALUE"""),5.28)</f>
        <v>5.28</v>
      </c>
      <c r="G1084" s="5">
        <f>IFERROR(__xludf.DUMMYFUNCTION("""COMPUTED_VALUE"""),12386.0)</f>
        <v>12386</v>
      </c>
      <c r="H1084" s="5">
        <f>IFERROR(__xludf.DUMMYFUNCTION("""COMPUTED_VALUE"""),2347.0)</f>
        <v>2347</v>
      </c>
    </row>
    <row r="1085">
      <c r="A1085" s="4">
        <f>IFERROR(__xludf.DUMMYFUNCTION("""COMPUTED_VALUE"""),43453.0)</f>
        <v>43453</v>
      </c>
      <c r="B1085" s="5">
        <f>IFERROR(__xludf.DUMMYFUNCTION("""COMPUTED_VALUE"""),2194.0)</f>
        <v>2194</v>
      </c>
      <c r="C1085" s="6">
        <f>IFERROR(__xludf.DUMMYFUNCTION("""COMPUTED_VALUE"""),0.3675)</f>
        <v>0.3675</v>
      </c>
      <c r="D1085" s="2">
        <f>IFERROR(__xludf.DUMMYFUNCTION("""COMPUTED_VALUE"""),0.003564814814814815)</f>
        <v>0.003564814815</v>
      </c>
      <c r="E1085" s="1">
        <f>IFERROR(__xludf.DUMMYFUNCTION("""COMPUTED_VALUE"""),1.17)</f>
        <v>1.17</v>
      </c>
      <c r="F1085" s="1">
        <f>IFERROR(__xludf.DUMMYFUNCTION("""COMPUTED_VALUE"""),5.79)</f>
        <v>5.79</v>
      </c>
      <c r="G1085" s="5">
        <f>IFERROR(__xludf.DUMMYFUNCTION("""COMPUTED_VALUE"""),14885.0)</f>
        <v>14885</v>
      </c>
      <c r="H1085" s="5">
        <f>IFERROR(__xludf.DUMMYFUNCTION("""COMPUTED_VALUE"""),2569.0)</f>
        <v>2569</v>
      </c>
    </row>
    <row r="1086">
      <c r="A1086" s="4">
        <f>IFERROR(__xludf.DUMMYFUNCTION("""COMPUTED_VALUE"""),43454.0)</f>
        <v>43454</v>
      </c>
      <c r="B1086" s="5">
        <f>IFERROR(__xludf.DUMMYFUNCTION("""COMPUTED_VALUE"""),1958.0)</f>
        <v>1958</v>
      </c>
      <c r="C1086" s="6">
        <f>IFERROR(__xludf.DUMMYFUNCTION("""COMPUTED_VALUE"""),0.2704)</f>
        <v>0.2704</v>
      </c>
      <c r="D1086" s="2">
        <f>IFERROR(__xludf.DUMMYFUNCTION("""COMPUTED_VALUE"""),0.0039004629629629628)</f>
        <v>0.003900462963</v>
      </c>
      <c r="E1086" s="1">
        <f>IFERROR(__xludf.DUMMYFUNCTION("""COMPUTED_VALUE"""),1.13)</f>
        <v>1.13</v>
      </c>
      <c r="F1086" s="1">
        <f>IFERROR(__xludf.DUMMYFUNCTION("""COMPUTED_VALUE"""),7.12)</f>
        <v>7.12</v>
      </c>
      <c r="G1086" s="5">
        <f>IFERROR(__xludf.DUMMYFUNCTION("""COMPUTED_VALUE"""),15732.0)</f>
        <v>15732</v>
      </c>
      <c r="H1086" s="5">
        <f>IFERROR(__xludf.DUMMYFUNCTION("""COMPUTED_VALUE"""),2208.0)</f>
        <v>2208</v>
      </c>
    </row>
    <row r="1087">
      <c r="A1087" s="4">
        <f>IFERROR(__xludf.DUMMYFUNCTION("""COMPUTED_VALUE"""),43455.0)</f>
        <v>43455</v>
      </c>
      <c r="B1087" s="5">
        <f>IFERROR(__xludf.DUMMYFUNCTION("""COMPUTED_VALUE"""),2069.0)</f>
        <v>2069</v>
      </c>
      <c r="C1087" s="6">
        <f>IFERROR(__xludf.DUMMYFUNCTION("""COMPUTED_VALUE"""),0.2663)</f>
        <v>0.2663</v>
      </c>
      <c r="D1087" s="2">
        <f>IFERROR(__xludf.DUMMYFUNCTION("""COMPUTED_VALUE"""),0.0028356481481481483)</f>
        <v>0.002835648148</v>
      </c>
      <c r="E1087" s="1">
        <f>IFERROR(__xludf.DUMMYFUNCTION("""COMPUTED_VALUE"""),1.13)</f>
        <v>1.13</v>
      </c>
      <c r="F1087" s="1">
        <f>IFERROR(__xludf.DUMMYFUNCTION("""COMPUTED_VALUE"""),6.43)</f>
        <v>6.43</v>
      </c>
      <c r="G1087" s="5">
        <f>IFERROR(__xludf.DUMMYFUNCTION("""COMPUTED_VALUE"""),15080.0)</f>
        <v>15080</v>
      </c>
      <c r="H1087" s="5">
        <f>IFERROR(__xludf.DUMMYFUNCTION("""COMPUTED_VALUE"""),2347.0)</f>
        <v>2347</v>
      </c>
    </row>
    <row r="1088">
      <c r="A1088" s="4">
        <f>IFERROR(__xludf.DUMMYFUNCTION("""COMPUTED_VALUE"""),43456.0)</f>
        <v>43456</v>
      </c>
      <c r="B1088" s="1">
        <f>IFERROR(__xludf.DUMMYFUNCTION("""COMPUTED_VALUE"""),986.0)</f>
        <v>986</v>
      </c>
      <c r="C1088" s="6">
        <f>IFERROR(__xludf.DUMMYFUNCTION("""COMPUTED_VALUE"""),0.4056)</f>
        <v>0.4056</v>
      </c>
      <c r="D1088" s="2">
        <f>IFERROR(__xludf.DUMMYFUNCTION("""COMPUTED_VALUE"""),0.003287037037037037)</f>
        <v>0.003287037037</v>
      </c>
      <c r="E1088" s="1">
        <f>IFERROR(__xludf.DUMMYFUNCTION("""COMPUTED_VALUE"""),1.04)</f>
        <v>1.04</v>
      </c>
      <c r="F1088" s="1">
        <f>IFERROR(__xludf.DUMMYFUNCTION("""COMPUTED_VALUE"""),6.98)</f>
        <v>6.98</v>
      </c>
      <c r="G1088" s="5">
        <f>IFERROR(__xludf.DUMMYFUNCTION("""COMPUTED_VALUE"""),7179.0)</f>
        <v>7179</v>
      </c>
      <c r="H1088" s="5">
        <f>IFERROR(__xludf.DUMMYFUNCTION("""COMPUTED_VALUE"""),1028.0)</f>
        <v>1028</v>
      </c>
    </row>
    <row r="1089">
      <c r="A1089" s="4">
        <f>IFERROR(__xludf.DUMMYFUNCTION("""COMPUTED_VALUE"""),43457.0)</f>
        <v>43457</v>
      </c>
      <c r="B1089" s="1">
        <f>IFERROR(__xludf.DUMMYFUNCTION("""COMPUTED_VALUE"""),972.0)</f>
        <v>972</v>
      </c>
      <c r="C1089" s="6">
        <f>IFERROR(__xludf.DUMMYFUNCTION("""COMPUTED_VALUE"""),0.44)</f>
        <v>0.44</v>
      </c>
      <c r="D1089" s="2">
        <f>IFERROR(__xludf.DUMMYFUNCTION("""COMPUTED_VALUE"""),0.002372685185185185)</f>
        <v>0.002372685185</v>
      </c>
      <c r="E1089" s="1">
        <f>IFERROR(__xludf.DUMMYFUNCTION("""COMPUTED_VALUE"""),1.07)</f>
        <v>1.07</v>
      </c>
      <c r="F1089" s="1">
        <f>IFERROR(__xludf.DUMMYFUNCTION("""COMPUTED_VALUE"""),4.64)</f>
        <v>4.64</v>
      </c>
      <c r="G1089" s="5">
        <f>IFERROR(__xludf.DUMMYFUNCTION("""COMPUTED_VALUE"""),4832.0)</f>
        <v>4832</v>
      </c>
      <c r="H1089" s="5">
        <f>IFERROR(__xludf.DUMMYFUNCTION("""COMPUTED_VALUE"""),1041.0)</f>
        <v>1041</v>
      </c>
    </row>
    <row r="1090">
      <c r="A1090" s="4">
        <f>IFERROR(__xludf.DUMMYFUNCTION("""COMPUTED_VALUE"""),43458.0)</f>
        <v>43458</v>
      </c>
      <c r="B1090" s="1">
        <f>IFERROR(__xludf.DUMMYFUNCTION("""COMPUTED_VALUE"""),889.0)</f>
        <v>889</v>
      </c>
      <c r="C1090" s="6">
        <f>IFERROR(__xludf.DUMMYFUNCTION("""COMPUTED_VALUE"""),0.4489)</f>
        <v>0.4489</v>
      </c>
      <c r="D1090" s="2">
        <f>IFERROR(__xludf.DUMMYFUNCTION("""COMPUTED_VALUE"""),0.0015972222222222223)</f>
        <v>0.001597222222</v>
      </c>
      <c r="E1090" s="1">
        <f>IFERROR(__xludf.DUMMYFUNCTION("""COMPUTED_VALUE"""),1.08)</f>
        <v>1.08</v>
      </c>
      <c r="F1090" s="1">
        <f>IFERROR(__xludf.DUMMYFUNCTION("""COMPUTED_VALUE"""),4.46)</f>
        <v>4.46</v>
      </c>
      <c r="G1090" s="5">
        <f>IFERROR(__xludf.DUMMYFUNCTION("""COMPUTED_VALUE"""),4277.0)</f>
        <v>4277</v>
      </c>
      <c r="H1090" s="1">
        <f>IFERROR(__xludf.DUMMYFUNCTION("""COMPUTED_VALUE"""),958.0)</f>
        <v>958</v>
      </c>
    </row>
    <row r="1091">
      <c r="A1091" s="4">
        <f>IFERROR(__xludf.DUMMYFUNCTION("""COMPUTED_VALUE"""),43459.0)</f>
        <v>43459</v>
      </c>
      <c r="B1091" s="1">
        <f>IFERROR(__xludf.DUMMYFUNCTION("""COMPUTED_VALUE"""),875.0)</f>
        <v>875</v>
      </c>
      <c r="C1091" s="6">
        <f>IFERROR(__xludf.DUMMYFUNCTION("""COMPUTED_VALUE"""),0.3901)</f>
        <v>0.3901</v>
      </c>
      <c r="D1091" s="2">
        <f>IFERROR(__xludf.DUMMYFUNCTION("""COMPUTED_VALUE"""),0.0023263888888888887)</f>
        <v>0.002326388889</v>
      </c>
      <c r="E1091" s="1">
        <f>IFERROR(__xludf.DUMMYFUNCTION("""COMPUTED_VALUE"""),1.22)</f>
        <v>1.22</v>
      </c>
      <c r="F1091" s="1">
        <f>IFERROR(__xludf.DUMMYFUNCTION("""COMPUTED_VALUE"""),6.59)</f>
        <v>6.59</v>
      </c>
      <c r="G1091" s="5">
        <f>IFERROR(__xludf.DUMMYFUNCTION("""COMPUTED_VALUE"""),7040.0)</f>
        <v>7040</v>
      </c>
      <c r="H1091" s="5">
        <f>IFERROR(__xludf.DUMMYFUNCTION("""COMPUTED_VALUE"""),1069.0)</f>
        <v>1069</v>
      </c>
    </row>
    <row r="1092">
      <c r="A1092" s="4">
        <f>IFERROR(__xludf.DUMMYFUNCTION("""COMPUTED_VALUE"""),43460.0)</f>
        <v>43460</v>
      </c>
      <c r="B1092" s="5">
        <f>IFERROR(__xludf.DUMMYFUNCTION("""COMPUTED_VALUE"""),1541.0)</f>
        <v>1541</v>
      </c>
      <c r="C1092" s="6">
        <f>IFERROR(__xludf.DUMMYFUNCTION("""COMPUTED_VALUE"""),0.281)</f>
        <v>0.281</v>
      </c>
      <c r="D1092" s="2">
        <f>IFERROR(__xludf.DUMMYFUNCTION("""COMPUTED_VALUE"""),0.0028587962962962963)</f>
        <v>0.002858796296</v>
      </c>
      <c r="E1092" s="1">
        <f>IFERROR(__xludf.DUMMYFUNCTION("""COMPUTED_VALUE"""),1.09)</f>
        <v>1.09</v>
      </c>
      <c r="F1092" s="1">
        <f>IFERROR(__xludf.DUMMYFUNCTION("""COMPUTED_VALUE"""),5.66)</f>
        <v>5.66</v>
      </c>
      <c r="G1092" s="5">
        <f>IFERROR(__xludf.DUMMYFUNCTION("""COMPUTED_VALUE"""),9511.0)</f>
        <v>9511</v>
      </c>
      <c r="H1092" s="5">
        <f>IFERROR(__xludf.DUMMYFUNCTION("""COMPUTED_VALUE"""),1680.0)</f>
        <v>1680</v>
      </c>
    </row>
    <row r="1093">
      <c r="A1093" s="4">
        <f>IFERROR(__xludf.DUMMYFUNCTION("""COMPUTED_VALUE"""),43461.0)</f>
        <v>43461</v>
      </c>
      <c r="B1093" s="5">
        <f>IFERROR(__xludf.DUMMYFUNCTION("""COMPUTED_VALUE"""),1458.0)</f>
        <v>1458</v>
      </c>
      <c r="C1093" s="6">
        <f>IFERROR(__xludf.DUMMYFUNCTION("""COMPUTED_VALUE"""),0.3524)</f>
        <v>0.3524</v>
      </c>
      <c r="D1093" s="2">
        <f>IFERROR(__xludf.DUMMYFUNCTION("""COMPUTED_VALUE"""),0.0022916666666666667)</f>
        <v>0.002291666667</v>
      </c>
      <c r="E1093" s="1">
        <f>IFERROR(__xludf.DUMMYFUNCTION("""COMPUTED_VALUE"""),1.16)</f>
        <v>1.16</v>
      </c>
      <c r="F1093" s="1">
        <f>IFERROR(__xludf.DUMMYFUNCTION("""COMPUTED_VALUE"""),5.86)</f>
        <v>5.86</v>
      </c>
      <c r="G1093" s="5">
        <f>IFERROR(__xludf.DUMMYFUNCTION("""COMPUTED_VALUE"""),9928.0)</f>
        <v>9928</v>
      </c>
      <c r="H1093" s="5">
        <f>IFERROR(__xludf.DUMMYFUNCTION("""COMPUTED_VALUE"""),1694.0)</f>
        <v>1694</v>
      </c>
    </row>
    <row r="1094">
      <c r="A1094" s="4">
        <f>IFERROR(__xludf.DUMMYFUNCTION("""COMPUTED_VALUE"""),43462.0)</f>
        <v>43462</v>
      </c>
      <c r="B1094" s="5">
        <f>IFERROR(__xludf.DUMMYFUNCTION("""COMPUTED_VALUE"""),1069.0)</f>
        <v>1069</v>
      </c>
      <c r="C1094" s="6">
        <f>IFERROR(__xludf.DUMMYFUNCTION("""COMPUTED_VALUE"""),0.3719)</f>
        <v>0.3719</v>
      </c>
      <c r="D1094" s="2">
        <f>IFERROR(__xludf.DUMMYFUNCTION("""COMPUTED_VALUE"""),0.002013888888888889)</f>
        <v>0.002013888889</v>
      </c>
      <c r="E1094" s="1">
        <f>IFERROR(__xludf.DUMMYFUNCTION("""COMPUTED_VALUE"""),1.12)</f>
        <v>1.12</v>
      </c>
      <c r="F1094" s="1">
        <f>IFERROR(__xludf.DUMMYFUNCTION("""COMPUTED_VALUE"""),4.14)</f>
        <v>4.14</v>
      </c>
      <c r="G1094" s="5">
        <f>IFERROR(__xludf.DUMMYFUNCTION("""COMPUTED_VALUE"""),4943.0)</f>
        <v>4943</v>
      </c>
      <c r="H1094" s="5">
        <f>IFERROR(__xludf.DUMMYFUNCTION("""COMPUTED_VALUE"""),1194.0)</f>
        <v>1194</v>
      </c>
    </row>
    <row r="1095">
      <c r="A1095" s="4">
        <f>IFERROR(__xludf.DUMMYFUNCTION("""COMPUTED_VALUE"""),43463.0)</f>
        <v>43463</v>
      </c>
      <c r="B1095" s="1">
        <f>IFERROR(__xludf.DUMMYFUNCTION("""COMPUTED_VALUE"""),889.0)</f>
        <v>889</v>
      </c>
      <c r="C1095" s="6">
        <f>IFERROR(__xludf.DUMMYFUNCTION("""COMPUTED_VALUE"""),0.4635)</f>
        <v>0.4635</v>
      </c>
      <c r="D1095" s="2">
        <f>IFERROR(__xludf.DUMMYFUNCTION("""COMPUTED_VALUE"""),0.002013888888888889)</f>
        <v>0.002013888889</v>
      </c>
      <c r="E1095" s="1">
        <f>IFERROR(__xludf.DUMMYFUNCTION("""COMPUTED_VALUE"""),1.08)</f>
        <v>1.08</v>
      </c>
      <c r="F1095" s="1">
        <f>IFERROR(__xludf.DUMMYFUNCTION("""COMPUTED_VALUE"""),4.25)</f>
        <v>4.25</v>
      </c>
      <c r="G1095" s="5">
        <f>IFERROR(__xludf.DUMMYFUNCTION("""COMPUTED_VALUE"""),4068.0)</f>
        <v>4068</v>
      </c>
      <c r="H1095" s="1">
        <f>IFERROR(__xludf.DUMMYFUNCTION("""COMPUTED_VALUE"""),958.0)</f>
        <v>958</v>
      </c>
    </row>
    <row r="1096">
      <c r="A1096" s="4">
        <f>IFERROR(__xludf.DUMMYFUNCTION("""COMPUTED_VALUE"""),43464.0)</f>
        <v>43464</v>
      </c>
      <c r="B1096" s="1">
        <f>IFERROR(__xludf.DUMMYFUNCTION("""COMPUTED_VALUE"""),972.0)</f>
        <v>972</v>
      </c>
      <c r="C1096" s="6">
        <f>IFERROR(__xludf.DUMMYFUNCTION("""COMPUTED_VALUE"""),0.3463)</f>
        <v>0.3463</v>
      </c>
      <c r="D1096" s="2">
        <f>IFERROR(__xludf.DUMMYFUNCTION("""COMPUTED_VALUE"""),0.004016203703703704)</f>
        <v>0.004016203704</v>
      </c>
      <c r="E1096" s="1">
        <f>IFERROR(__xludf.DUMMYFUNCTION("""COMPUTED_VALUE"""),1.11)</f>
        <v>1.11</v>
      </c>
      <c r="F1096" s="1">
        <f>IFERROR(__xludf.DUMMYFUNCTION("""COMPUTED_VALUE"""),7.81)</f>
        <v>7.81</v>
      </c>
      <c r="G1096" s="5">
        <f>IFERROR(__xludf.DUMMYFUNCTION("""COMPUTED_VALUE"""),8456.0)</f>
        <v>8456</v>
      </c>
      <c r="H1096" s="5">
        <f>IFERROR(__xludf.DUMMYFUNCTION("""COMPUTED_VALUE"""),1083.0)</f>
        <v>1083</v>
      </c>
    </row>
    <row r="1097">
      <c r="A1097" s="4">
        <f>IFERROR(__xludf.DUMMYFUNCTION("""COMPUTED_VALUE"""),43465.0)</f>
        <v>43465</v>
      </c>
      <c r="B1097" s="1">
        <f>IFERROR(__xludf.DUMMYFUNCTION("""COMPUTED_VALUE"""),750.0)</f>
        <v>750</v>
      </c>
      <c r="C1097" s="6">
        <f>IFERROR(__xludf.DUMMYFUNCTION("""COMPUTED_VALUE"""),0.4606)</f>
        <v>0.4606</v>
      </c>
      <c r="D1097" s="2">
        <f>IFERROR(__xludf.DUMMYFUNCTION("""COMPUTED_VALUE"""),0.0021759259259259258)</f>
        <v>0.002175925926</v>
      </c>
      <c r="E1097" s="1">
        <f>IFERROR(__xludf.DUMMYFUNCTION("""COMPUTED_VALUE"""),1.17)</f>
        <v>1.17</v>
      </c>
      <c r="F1097" s="1">
        <f>IFERROR(__xludf.DUMMYFUNCTION("""COMPUTED_VALUE"""),4.75)</f>
        <v>4.75</v>
      </c>
      <c r="G1097" s="5">
        <f>IFERROR(__xludf.DUMMYFUNCTION("""COMPUTED_VALUE"""),4152.0)</f>
        <v>4152</v>
      </c>
      <c r="H1097" s="1">
        <f>IFERROR(__xludf.DUMMYFUNCTION("""COMPUTED_VALUE"""),875.0)</f>
        <v>875</v>
      </c>
    </row>
    <row r="1098">
      <c r="A1098" s="4">
        <f>IFERROR(__xludf.DUMMYFUNCTION("""COMPUTED_VALUE"""),43466.0)</f>
        <v>43466</v>
      </c>
      <c r="B1098" s="1">
        <f>IFERROR(__xludf.DUMMYFUNCTION("""COMPUTED_VALUE"""),903.0)</f>
        <v>903</v>
      </c>
      <c r="C1098" s="6">
        <f>IFERROR(__xludf.DUMMYFUNCTION("""COMPUTED_VALUE"""),0.4061)</f>
        <v>0.4061</v>
      </c>
      <c r="D1098" s="2">
        <f>IFERROR(__xludf.DUMMYFUNCTION("""COMPUTED_VALUE"""),0.0021759259259259258)</f>
        <v>0.002175925926</v>
      </c>
      <c r="E1098" s="1">
        <f>IFERROR(__xludf.DUMMYFUNCTION("""COMPUTED_VALUE"""),1.06)</f>
        <v>1.06</v>
      </c>
      <c r="F1098" s="1">
        <f>IFERROR(__xludf.DUMMYFUNCTION("""COMPUTED_VALUE"""),5.58)</f>
        <v>5.58</v>
      </c>
      <c r="G1098" s="5">
        <f>IFERROR(__xludf.DUMMYFUNCTION("""COMPUTED_VALUE"""),5346.0)</f>
        <v>5346</v>
      </c>
      <c r="H1098" s="1">
        <f>IFERROR(__xludf.DUMMYFUNCTION("""COMPUTED_VALUE"""),958.0)</f>
        <v>958</v>
      </c>
    </row>
    <row r="1099">
      <c r="A1099" s="4">
        <f>IFERROR(__xludf.DUMMYFUNCTION("""COMPUTED_VALUE"""),43467.0)</f>
        <v>43467</v>
      </c>
      <c r="B1099" s="5">
        <f>IFERROR(__xludf.DUMMYFUNCTION("""COMPUTED_VALUE"""),1625.0)</f>
        <v>1625</v>
      </c>
      <c r="C1099" s="6">
        <f>IFERROR(__xludf.DUMMYFUNCTION("""COMPUTED_VALUE"""),0.3502)</f>
        <v>0.3502</v>
      </c>
      <c r="D1099" s="2">
        <f>IFERROR(__xludf.DUMMYFUNCTION("""COMPUTED_VALUE"""),0.002824074074074074)</f>
        <v>0.002824074074</v>
      </c>
      <c r="E1099" s="1">
        <f>IFERROR(__xludf.DUMMYFUNCTION("""COMPUTED_VALUE"""),1.17)</f>
        <v>1.17</v>
      </c>
      <c r="F1099" s="1">
        <f>IFERROR(__xludf.DUMMYFUNCTION("""COMPUTED_VALUE"""),5.8)</f>
        <v>5.8</v>
      </c>
      <c r="G1099" s="5">
        <f>IFERROR(__xludf.DUMMYFUNCTION("""COMPUTED_VALUE"""),11025.0)</f>
        <v>11025</v>
      </c>
      <c r="H1099" s="5">
        <f>IFERROR(__xludf.DUMMYFUNCTION("""COMPUTED_VALUE"""),1902.0)</f>
        <v>1902</v>
      </c>
    </row>
    <row r="1100">
      <c r="A1100" s="4">
        <f>IFERROR(__xludf.DUMMYFUNCTION("""COMPUTED_VALUE"""),43468.0)</f>
        <v>43468</v>
      </c>
      <c r="B1100" s="5">
        <f>IFERROR(__xludf.DUMMYFUNCTION("""COMPUTED_VALUE"""),1514.0)</f>
        <v>1514</v>
      </c>
      <c r="C1100" s="6">
        <f>IFERROR(__xludf.DUMMYFUNCTION("""COMPUTED_VALUE"""),0.3278)</f>
        <v>0.3278</v>
      </c>
      <c r="D1100" s="2">
        <f>IFERROR(__xludf.DUMMYFUNCTION("""COMPUTED_VALUE"""),0.002824074074074074)</f>
        <v>0.002824074074</v>
      </c>
      <c r="E1100" s="1">
        <f>IFERROR(__xludf.DUMMYFUNCTION("""COMPUTED_VALUE"""),1.15)</f>
        <v>1.15</v>
      </c>
      <c r="F1100" s="1">
        <f>IFERROR(__xludf.DUMMYFUNCTION("""COMPUTED_VALUE"""),5.67)</f>
        <v>5.67</v>
      </c>
      <c r="G1100" s="5">
        <f>IFERROR(__xludf.DUMMYFUNCTION("""COMPUTED_VALUE"""),9845.0)</f>
        <v>9845</v>
      </c>
      <c r="H1100" s="5">
        <f>IFERROR(__xludf.DUMMYFUNCTION("""COMPUTED_VALUE"""),1736.0)</f>
        <v>1736</v>
      </c>
    </row>
    <row r="1101">
      <c r="A1101" s="4">
        <f>IFERROR(__xludf.DUMMYFUNCTION("""COMPUTED_VALUE"""),43469.0)</f>
        <v>43469</v>
      </c>
      <c r="B1101" s="5">
        <f>IFERROR(__xludf.DUMMYFUNCTION("""COMPUTED_VALUE"""),1347.0)</f>
        <v>1347</v>
      </c>
      <c r="C1101" s="6">
        <f>IFERROR(__xludf.DUMMYFUNCTION("""COMPUTED_VALUE"""),0.3818)</f>
        <v>0.3818</v>
      </c>
      <c r="D1101" s="2">
        <f>IFERROR(__xludf.DUMMYFUNCTION("""COMPUTED_VALUE"""),0.0022453703703703702)</f>
        <v>0.00224537037</v>
      </c>
      <c r="E1101" s="1">
        <f>IFERROR(__xludf.DUMMYFUNCTION("""COMPUTED_VALUE"""),1.13)</f>
        <v>1.13</v>
      </c>
      <c r="F1101" s="1">
        <f>IFERROR(__xludf.DUMMYFUNCTION("""COMPUTED_VALUE"""),5.46)</f>
        <v>5.46</v>
      </c>
      <c r="G1101" s="5">
        <f>IFERROR(__xludf.DUMMYFUNCTION("""COMPUTED_VALUE"""),8345.0)</f>
        <v>8345</v>
      </c>
      <c r="H1101" s="5">
        <f>IFERROR(__xludf.DUMMYFUNCTION("""COMPUTED_VALUE"""),1527.0)</f>
        <v>1527</v>
      </c>
    </row>
    <row r="1102">
      <c r="A1102" s="4">
        <f>IFERROR(__xludf.DUMMYFUNCTION("""COMPUTED_VALUE"""),43470.0)</f>
        <v>43470</v>
      </c>
      <c r="B1102" s="1">
        <f>IFERROR(__xludf.DUMMYFUNCTION("""COMPUTED_VALUE"""),916.0)</f>
        <v>916</v>
      </c>
      <c r="C1102" s="6">
        <f>IFERROR(__xludf.DUMMYFUNCTION("""COMPUTED_VALUE"""),0.3974)</f>
        <v>0.3974</v>
      </c>
      <c r="D1102" s="2">
        <f>IFERROR(__xludf.DUMMYFUNCTION("""COMPUTED_VALUE"""),0.0021064814814814813)</f>
        <v>0.002106481481</v>
      </c>
      <c r="E1102" s="1">
        <f>IFERROR(__xludf.DUMMYFUNCTION("""COMPUTED_VALUE"""),1.11)</f>
        <v>1.11</v>
      </c>
      <c r="F1102" s="1">
        <f>IFERROR(__xludf.DUMMYFUNCTION("""COMPUTED_VALUE"""),3.92)</f>
        <v>3.92</v>
      </c>
      <c r="G1102" s="5">
        <f>IFERROR(__xludf.DUMMYFUNCTION("""COMPUTED_VALUE"""),3971.0)</f>
        <v>3971</v>
      </c>
      <c r="H1102" s="5">
        <f>IFERROR(__xludf.DUMMYFUNCTION("""COMPUTED_VALUE"""),1014.0)</f>
        <v>1014</v>
      </c>
    </row>
    <row r="1103">
      <c r="A1103" s="4">
        <f>IFERROR(__xludf.DUMMYFUNCTION("""COMPUTED_VALUE"""),43471.0)</f>
        <v>43471</v>
      </c>
      <c r="B1103" s="5">
        <f>IFERROR(__xludf.DUMMYFUNCTION("""COMPUTED_VALUE"""),1083.0)</f>
        <v>1083</v>
      </c>
      <c r="C1103" s="6">
        <f>IFERROR(__xludf.DUMMYFUNCTION("""COMPUTED_VALUE"""),0.3707)</f>
        <v>0.3707</v>
      </c>
      <c r="D1103" s="2">
        <f>IFERROR(__xludf.DUMMYFUNCTION("""COMPUTED_VALUE"""),0.0014236111111111112)</f>
        <v>0.001423611111</v>
      </c>
      <c r="E1103" s="1">
        <f>IFERROR(__xludf.DUMMYFUNCTION("""COMPUTED_VALUE"""),1.04)</f>
        <v>1.04</v>
      </c>
      <c r="F1103" s="1">
        <f>IFERROR(__xludf.DUMMYFUNCTION("""COMPUTED_VALUE"""),4.54)</f>
        <v>4.54</v>
      </c>
      <c r="G1103" s="5">
        <f>IFERROR(__xludf.DUMMYFUNCTION("""COMPUTED_VALUE"""),5110.0)</f>
        <v>5110</v>
      </c>
      <c r="H1103" s="5">
        <f>IFERROR(__xludf.DUMMYFUNCTION("""COMPUTED_VALUE"""),1125.0)</f>
        <v>1125</v>
      </c>
    </row>
    <row r="1104">
      <c r="A1104" s="4">
        <f>IFERROR(__xludf.DUMMYFUNCTION("""COMPUTED_VALUE"""),43472.0)</f>
        <v>43472</v>
      </c>
      <c r="B1104" s="5">
        <f>IFERROR(__xludf.DUMMYFUNCTION("""COMPUTED_VALUE"""),1569.0)</f>
        <v>1569</v>
      </c>
      <c r="C1104" s="6">
        <f>IFERROR(__xludf.DUMMYFUNCTION("""COMPUTED_VALUE"""),0.3091)</f>
        <v>0.3091</v>
      </c>
      <c r="D1104" s="2">
        <f>IFERROR(__xludf.DUMMYFUNCTION("""COMPUTED_VALUE"""),0.0018402777777777777)</f>
        <v>0.001840277778</v>
      </c>
      <c r="E1104" s="1">
        <f>IFERROR(__xludf.DUMMYFUNCTION("""COMPUTED_VALUE"""),1.09)</f>
        <v>1.09</v>
      </c>
      <c r="F1104" s="1">
        <f>IFERROR(__xludf.DUMMYFUNCTION("""COMPUTED_VALUE"""),5.1)</f>
        <v>5.1</v>
      </c>
      <c r="G1104" s="5">
        <f>IFERROR(__xludf.DUMMYFUNCTION("""COMPUTED_VALUE"""),8706.0)</f>
        <v>8706</v>
      </c>
      <c r="H1104" s="5">
        <f>IFERROR(__xludf.DUMMYFUNCTION("""COMPUTED_VALUE"""),1708.0)</f>
        <v>1708</v>
      </c>
    </row>
    <row r="1105">
      <c r="A1105" s="4">
        <f>IFERROR(__xludf.DUMMYFUNCTION("""COMPUTED_VALUE"""),43473.0)</f>
        <v>43473</v>
      </c>
      <c r="B1105" s="5">
        <f>IFERROR(__xludf.DUMMYFUNCTION("""COMPUTED_VALUE"""),1833.0)</f>
        <v>1833</v>
      </c>
      <c r="C1105" s="6">
        <f>IFERROR(__xludf.DUMMYFUNCTION("""COMPUTED_VALUE"""),0.3397)</f>
        <v>0.3397</v>
      </c>
      <c r="D1105" s="2">
        <f>IFERROR(__xludf.DUMMYFUNCTION("""COMPUTED_VALUE"""),0.0022569444444444442)</f>
        <v>0.002256944444</v>
      </c>
      <c r="E1105" s="1">
        <f>IFERROR(__xludf.DUMMYFUNCTION("""COMPUTED_VALUE"""),1.2)</f>
        <v>1.2</v>
      </c>
      <c r="F1105" s="1">
        <f>IFERROR(__xludf.DUMMYFUNCTION("""COMPUTED_VALUE"""),5.22)</f>
        <v>5.22</v>
      </c>
      <c r="G1105" s="5">
        <f>IFERROR(__xludf.DUMMYFUNCTION("""COMPUTED_VALUE"""),11525.0)</f>
        <v>11525</v>
      </c>
      <c r="H1105" s="5">
        <f>IFERROR(__xludf.DUMMYFUNCTION("""COMPUTED_VALUE"""),2208.0)</f>
        <v>2208</v>
      </c>
    </row>
    <row r="1106">
      <c r="A1106" s="4">
        <f>IFERROR(__xludf.DUMMYFUNCTION("""COMPUTED_VALUE"""),43474.0)</f>
        <v>43474</v>
      </c>
      <c r="B1106" s="5">
        <f>IFERROR(__xludf.DUMMYFUNCTION("""COMPUTED_VALUE"""),1833.0)</f>
        <v>1833</v>
      </c>
      <c r="C1106" s="6">
        <f>IFERROR(__xludf.DUMMYFUNCTION("""COMPUTED_VALUE"""),0.3219)</f>
        <v>0.3219</v>
      </c>
      <c r="D1106" s="2">
        <f>IFERROR(__xludf.DUMMYFUNCTION("""COMPUTED_VALUE"""),0.0026967592592592594)</f>
        <v>0.002696759259</v>
      </c>
      <c r="E1106" s="1">
        <f>IFERROR(__xludf.DUMMYFUNCTION("""COMPUTED_VALUE"""),1.13)</f>
        <v>1.13</v>
      </c>
      <c r="F1106" s="1">
        <f>IFERROR(__xludf.DUMMYFUNCTION("""COMPUTED_VALUE"""),5.16)</f>
        <v>5.16</v>
      </c>
      <c r="G1106" s="5">
        <f>IFERROR(__xludf.DUMMYFUNCTION("""COMPUTED_VALUE"""),10678.0)</f>
        <v>10678</v>
      </c>
      <c r="H1106" s="5">
        <f>IFERROR(__xludf.DUMMYFUNCTION("""COMPUTED_VALUE"""),2069.0)</f>
        <v>2069</v>
      </c>
    </row>
    <row r="1107">
      <c r="A1107" s="4">
        <f>IFERROR(__xludf.DUMMYFUNCTION("""COMPUTED_VALUE"""),43475.0)</f>
        <v>43475</v>
      </c>
      <c r="B1107" s="5">
        <f>IFERROR(__xludf.DUMMYFUNCTION("""COMPUTED_VALUE"""),1763.0)</f>
        <v>1763</v>
      </c>
      <c r="C1107" s="6">
        <f>IFERROR(__xludf.DUMMYFUNCTION("""COMPUTED_VALUE"""),0.388)</f>
        <v>0.388</v>
      </c>
      <c r="D1107" s="2">
        <f>IFERROR(__xludf.DUMMYFUNCTION("""COMPUTED_VALUE"""),0.0022916666666666667)</f>
        <v>0.002291666667</v>
      </c>
      <c r="E1107" s="1">
        <f>IFERROR(__xludf.DUMMYFUNCTION("""COMPUTED_VALUE"""),1.06)</f>
        <v>1.06</v>
      </c>
      <c r="F1107" s="1">
        <f>IFERROR(__xludf.DUMMYFUNCTION("""COMPUTED_VALUE"""),4.42)</f>
        <v>4.42</v>
      </c>
      <c r="G1107" s="5">
        <f>IFERROR(__xludf.DUMMYFUNCTION("""COMPUTED_VALUE"""),8234.0)</f>
        <v>8234</v>
      </c>
      <c r="H1107" s="5">
        <f>IFERROR(__xludf.DUMMYFUNCTION("""COMPUTED_VALUE"""),1861.0)</f>
        <v>1861</v>
      </c>
    </row>
    <row r="1108">
      <c r="A1108" s="4">
        <f>IFERROR(__xludf.DUMMYFUNCTION("""COMPUTED_VALUE"""),43476.0)</f>
        <v>43476</v>
      </c>
      <c r="B1108" s="5">
        <f>IFERROR(__xludf.DUMMYFUNCTION("""COMPUTED_VALUE"""),1541.0)</f>
        <v>1541</v>
      </c>
      <c r="C1108" s="6">
        <f>IFERROR(__xludf.DUMMYFUNCTION("""COMPUTED_VALUE"""),0.3358)</f>
        <v>0.3358</v>
      </c>
      <c r="D1108" s="2">
        <f>IFERROR(__xludf.DUMMYFUNCTION("""COMPUTED_VALUE"""),0.0022222222222222222)</f>
        <v>0.002222222222</v>
      </c>
      <c r="E1108" s="1">
        <f>IFERROR(__xludf.DUMMYFUNCTION("""COMPUTED_VALUE"""),1.13)</f>
        <v>1.13</v>
      </c>
      <c r="F1108" s="1">
        <f>IFERROR(__xludf.DUMMYFUNCTION("""COMPUTED_VALUE"""),4.42)</f>
        <v>4.42</v>
      </c>
      <c r="G1108" s="5">
        <f>IFERROR(__xludf.DUMMYFUNCTION("""COMPUTED_VALUE"""),7679.0)</f>
        <v>7679</v>
      </c>
      <c r="H1108" s="5">
        <f>IFERROR(__xludf.DUMMYFUNCTION("""COMPUTED_VALUE"""),1736.0)</f>
        <v>1736</v>
      </c>
    </row>
    <row r="1109">
      <c r="A1109" s="4">
        <f>IFERROR(__xludf.DUMMYFUNCTION("""COMPUTED_VALUE"""),43477.0)</f>
        <v>43477</v>
      </c>
      <c r="B1109" s="5">
        <f>IFERROR(__xludf.DUMMYFUNCTION("""COMPUTED_VALUE"""),1055.0)</f>
        <v>1055</v>
      </c>
      <c r="C1109" s="6">
        <f>IFERROR(__xludf.DUMMYFUNCTION("""COMPUTED_VALUE"""),0.3977)</f>
        <v>0.3977</v>
      </c>
      <c r="D1109" s="2">
        <f>IFERROR(__xludf.DUMMYFUNCTION("""COMPUTED_VALUE"""),0.0027546296296296294)</f>
        <v>0.00275462963</v>
      </c>
      <c r="E1109" s="1">
        <f>IFERROR(__xludf.DUMMYFUNCTION("""COMPUTED_VALUE"""),1.16)</f>
        <v>1.16</v>
      </c>
      <c r="F1109" s="1">
        <f>IFERROR(__xludf.DUMMYFUNCTION("""COMPUTED_VALUE"""),5.47)</f>
        <v>5.47</v>
      </c>
      <c r="G1109" s="5">
        <f>IFERROR(__xludf.DUMMYFUNCTION("""COMPUTED_VALUE"""),6679.0)</f>
        <v>6679</v>
      </c>
      <c r="H1109" s="5">
        <f>IFERROR(__xludf.DUMMYFUNCTION("""COMPUTED_VALUE"""),1222.0)</f>
        <v>1222</v>
      </c>
    </row>
    <row r="1110">
      <c r="A1110" s="4">
        <f>IFERROR(__xludf.DUMMYFUNCTION("""COMPUTED_VALUE"""),43478.0)</f>
        <v>43478</v>
      </c>
      <c r="B1110" s="5">
        <f>IFERROR(__xludf.DUMMYFUNCTION("""COMPUTED_VALUE"""),1014.0)</f>
        <v>1014</v>
      </c>
      <c r="C1110" s="6">
        <f>IFERROR(__xludf.DUMMYFUNCTION("""COMPUTED_VALUE"""),0.434)</f>
        <v>0.434</v>
      </c>
      <c r="D1110" s="2">
        <f>IFERROR(__xludf.DUMMYFUNCTION("""COMPUTED_VALUE"""),0.0021180555555555558)</f>
        <v>0.002118055556</v>
      </c>
      <c r="E1110" s="1">
        <f>IFERROR(__xludf.DUMMYFUNCTION("""COMPUTED_VALUE"""),1.14)</f>
        <v>1.14</v>
      </c>
      <c r="F1110" s="1">
        <f>IFERROR(__xludf.DUMMYFUNCTION("""COMPUTED_VALUE"""),4.72)</f>
        <v>4.72</v>
      </c>
      <c r="G1110" s="5">
        <f>IFERROR(__xludf.DUMMYFUNCTION("""COMPUTED_VALUE"""),5443.0)</f>
        <v>5443</v>
      </c>
      <c r="H1110" s="5">
        <f>IFERROR(__xludf.DUMMYFUNCTION("""COMPUTED_VALUE"""),1152.0)</f>
        <v>1152</v>
      </c>
    </row>
    <row r="1111">
      <c r="A1111" s="4">
        <f>IFERROR(__xludf.DUMMYFUNCTION("""COMPUTED_VALUE"""),43479.0)</f>
        <v>43479</v>
      </c>
      <c r="B1111" s="5">
        <f>IFERROR(__xludf.DUMMYFUNCTION("""COMPUTED_VALUE"""),2194.0)</f>
        <v>2194</v>
      </c>
      <c r="C1111" s="6">
        <f>IFERROR(__xludf.DUMMYFUNCTION("""COMPUTED_VALUE"""),0.4141)</f>
        <v>0.4141</v>
      </c>
      <c r="D1111" s="2">
        <f>IFERROR(__xludf.DUMMYFUNCTION("""COMPUTED_VALUE"""),0.0021759259259259258)</f>
        <v>0.002175925926</v>
      </c>
      <c r="E1111" s="1">
        <f>IFERROR(__xludf.DUMMYFUNCTION("""COMPUTED_VALUE"""),1.07)</f>
        <v>1.07</v>
      </c>
      <c r="F1111" s="1">
        <f>IFERROR(__xludf.DUMMYFUNCTION("""COMPUTED_VALUE"""),4.68)</f>
        <v>4.68</v>
      </c>
      <c r="G1111" s="5">
        <f>IFERROR(__xludf.DUMMYFUNCTION("""COMPUTED_VALUE"""),10983.0)</f>
        <v>10983</v>
      </c>
      <c r="H1111" s="5">
        <f>IFERROR(__xludf.DUMMYFUNCTION("""COMPUTED_VALUE"""),2347.0)</f>
        <v>2347</v>
      </c>
    </row>
    <row r="1112">
      <c r="A1112" s="4">
        <f>IFERROR(__xludf.DUMMYFUNCTION("""COMPUTED_VALUE"""),43480.0)</f>
        <v>43480</v>
      </c>
      <c r="B1112" s="5">
        <f>IFERROR(__xludf.DUMMYFUNCTION("""COMPUTED_VALUE"""),1583.0)</f>
        <v>1583</v>
      </c>
      <c r="C1112" s="6">
        <f>IFERROR(__xludf.DUMMYFUNCTION("""COMPUTED_VALUE"""),0.3824)</f>
        <v>0.3824</v>
      </c>
      <c r="D1112" s="2">
        <f>IFERROR(__xludf.DUMMYFUNCTION("""COMPUTED_VALUE"""),0.002638888888888889)</f>
        <v>0.002638888889</v>
      </c>
      <c r="E1112" s="1">
        <f>IFERROR(__xludf.DUMMYFUNCTION("""COMPUTED_VALUE"""),1.19)</f>
        <v>1.19</v>
      </c>
      <c r="F1112" s="1">
        <f>IFERROR(__xludf.DUMMYFUNCTION("""COMPUTED_VALUE"""),4.56)</f>
        <v>4.56</v>
      </c>
      <c r="G1112" s="5">
        <f>IFERROR(__xludf.DUMMYFUNCTION("""COMPUTED_VALUE"""),8609.0)</f>
        <v>8609</v>
      </c>
      <c r="H1112" s="5">
        <f>IFERROR(__xludf.DUMMYFUNCTION("""COMPUTED_VALUE"""),1888.0)</f>
        <v>1888</v>
      </c>
    </row>
    <row r="1113">
      <c r="A1113" s="4">
        <f>IFERROR(__xludf.DUMMYFUNCTION("""COMPUTED_VALUE"""),43481.0)</f>
        <v>43481</v>
      </c>
      <c r="B1113" s="5">
        <f>IFERROR(__xludf.DUMMYFUNCTION("""COMPUTED_VALUE"""),1638.0)</f>
        <v>1638</v>
      </c>
      <c r="C1113" s="6">
        <f>IFERROR(__xludf.DUMMYFUNCTION("""COMPUTED_VALUE"""),0.3156)</f>
        <v>0.3156</v>
      </c>
      <c r="D1113" s="2">
        <f>IFERROR(__xludf.DUMMYFUNCTION("""COMPUTED_VALUE"""),0.0026157407407407405)</f>
        <v>0.002615740741</v>
      </c>
      <c r="E1113" s="1">
        <f>IFERROR(__xludf.DUMMYFUNCTION("""COMPUTED_VALUE"""),1.13)</f>
        <v>1.13</v>
      </c>
      <c r="F1113" s="1">
        <f>IFERROR(__xludf.DUMMYFUNCTION("""COMPUTED_VALUE"""),5.74)</f>
        <v>5.74</v>
      </c>
      <c r="G1113" s="5">
        <f>IFERROR(__xludf.DUMMYFUNCTION("""COMPUTED_VALUE"""),10595.0)</f>
        <v>10595</v>
      </c>
      <c r="H1113" s="5">
        <f>IFERROR(__xludf.DUMMYFUNCTION("""COMPUTED_VALUE"""),1847.0)</f>
        <v>1847</v>
      </c>
    </row>
    <row r="1114">
      <c r="A1114" s="4">
        <f>IFERROR(__xludf.DUMMYFUNCTION("""COMPUTED_VALUE"""),43482.0)</f>
        <v>43482</v>
      </c>
      <c r="B1114" s="5">
        <f>IFERROR(__xludf.DUMMYFUNCTION("""COMPUTED_VALUE"""),1555.0)</f>
        <v>1555</v>
      </c>
      <c r="C1114" s="6">
        <f>IFERROR(__xludf.DUMMYFUNCTION("""COMPUTED_VALUE"""),0.3562)</f>
        <v>0.3562</v>
      </c>
      <c r="D1114" s="2">
        <f>IFERROR(__xludf.DUMMYFUNCTION("""COMPUTED_VALUE"""),0.001979166666666667)</f>
        <v>0.001979166667</v>
      </c>
      <c r="E1114" s="1">
        <f>IFERROR(__xludf.DUMMYFUNCTION("""COMPUTED_VALUE"""),1.18)</f>
        <v>1.18</v>
      </c>
      <c r="F1114" s="1">
        <f>IFERROR(__xludf.DUMMYFUNCTION("""COMPUTED_VALUE"""),4.99)</f>
        <v>4.99</v>
      </c>
      <c r="G1114" s="5">
        <f>IFERROR(__xludf.DUMMYFUNCTION("""COMPUTED_VALUE"""),9150.0)</f>
        <v>9150</v>
      </c>
      <c r="H1114" s="5">
        <f>IFERROR(__xludf.DUMMYFUNCTION("""COMPUTED_VALUE"""),1833.0)</f>
        <v>1833</v>
      </c>
    </row>
    <row r="1115">
      <c r="A1115" s="4">
        <f>IFERROR(__xludf.DUMMYFUNCTION("""COMPUTED_VALUE"""),43483.0)</f>
        <v>43483</v>
      </c>
      <c r="B1115" s="5">
        <f>IFERROR(__xludf.DUMMYFUNCTION("""COMPUTED_VALUE"""),1389.0)</f>
        <v>1389</v>
      </c>
      <c r="C1115" s="6">
        <f>IFERROR(__xludf.DUMMYFUNCTION("""COMPUTED_VALUE"""),0.3659)</f>
        <v>0.3659</v>
      </c>
      <c r="D1115" s="2">
        <f>IFERROR(__xludf.DUMMYFUNCTION("""COMPUTED_VALUE"""),0.002534722222222222)</f>
        <v>0.002534722222</v>
      </c>
      <c r="E1115" s="1">
        <f>IFERROR(__xludf.DUMMYFUNCTION("""COMPUTED_VALUE"""),1.12)</f>
        <v>1.12</v>
      </c>
      <c r="F1115" s="1">
        <f>IFERROR(__xludf.DUMMYFUNCTION("""COMPUTED_VALUE"""),4.0)</f>
        <v>4</v>
      </c>
      <c r="G1115" s="5">
        <f>IFERROR(__xludf.DUMMYFUNCTION("""COMPUTED_VALUE"""),6221.0)</f>
        <v>6221</v>
      </c>
      <c r="H1115" s="5">
        <f>IFERROR(__xludf.DUMMYFUNCTION("""COMPUTED_VALUE"""),1555.0)</f>
        <v>1555</v>
      </c>
    </row>
    <row r="1116">
      <c r="A1116" s="4">
        <f>IFERROR(__xludf.DUMMYFUNCTION("""COMPUTED_VALUE"""),43484.0)</f>
        <v>43484</v>
      </c>
      <c r="B1116" s="5">
        <f>IFERROR(__xludf.DUMMYFUNCTION("""COMPUTED_VALUE"""),1097.0)</f>
        <v>1097</v>
      </c>
      <c r="C1116" s="6">
        <f>IFERROR(__xludf.DUMMYFUNCTION("""COMPUTED_VALUE"""),0.4206)</f>
        <v>0.4206</v>
      </c>
      <c r="D1116" s="2">
        <f>IFERROR(__xludf.DUMMYFUNCTION("""COMPUTED_VALUE"""),0.001736111111111111)</f>
        <v>0.001736111111</v>
      </c>
      <c r="E1116" s="1">
        <f>IFERROR(__xludf.DUMMYFUNCTION("""COMPUTED_VALUE"""),1.11)</f>
        <v>1.11</v>
      </c>
      <c r="F1116" s="1">
        <f>IFERROR(__xludf.DUMMYFUNCTION("""COMPUTED_VALUE"""),4.89)</f>
        <v>4.89</v>
      </c>
      <c r="G1116" s="5">
        <f>IFERROR(__xludf.DUMMYFUNCTION("""COMPUTED_VALUE"""),5971.0)</f>
        <v>5971</v>
      </c>
      <c r="H1116" s="5">
        <f>IFERROR(__xludf.DUMMYFUNCTION("""COMPUTED_VALUE"""),1222.0)</f>
        <v>1222</v>
      </c>
    </row>
    <row r="1117">
      <c r="A1117" s="4">
        <f>IFERROR(__xludf.DUMMYFUNCTION("""COMPUTED_VALUE"""),43485.0)</f>
        <v>43485</v>
      </c>
      <c r="B1117" s="5">
        <f>IFERROR(__xludf.DUMMYFUNCTION("""COMPUTED_VALUE"""),1139.0)</f>
        <v>1139</v>
      </c>
      <c r="C1117" s="6">
        <f>IFERROR(__xludf.DUMMYFUNCTION("""COMPUTED_VALUE"""),0.3819)</f>
        <v>0.3819</v>
      </c>
      <c r="D1117" s="2">
        <f>IFERROR(__xludf.DUMMYFUNCTION("""COMPUTED_VALUE"""),0.002939814814814815)</f>
        <v>0.002939814815</v>
      </c>
      <c r="E1117" s="1">
        <f>IFERROR(__xludf.DUMMYFUNCTION("""COMPUTED_VALUE"""),1.09)</f>
        <v>1.09</v>
      </c>
      <c r="F1117" s="1">
        <f>IFERROR(__xludf.DUMMYFUNCTION("""COMPUTED_VALUE"""),6.19)</f>
        <v>6.19</v>
      </c>
      <c r="G1117" s="5">
        <f>IFERROR(__xludf.DUMMYFUNCTION("""COMPUTED_VALUE"""),7651.0)</f>
        <v>7651</v>
      </c>
      <c r="H1117" s="5">
        <f>IFERROR(__xludf.DUMMYFUNCTION("""COMPUTED_VALUE"""),1236.0)</f>
        <v>1236</v>
      </c>
    </row>
    <row r="1118">
      <c r="A1118" s="4">
        <f>IFERROR(__xludf.DUMMYFUNCTION("""COMPUTED_VALUE"""),43486.0)</f>
        <v>43486</v>
      </c>
      <c r="B1118" s="5">
        <f>IFERROR(__xludf.DUMMYFUNCTION("""COMPUTED_VALUE"""),1416.0)</f>
        <v>1416</v>
      </c>
      <c r="C1118" s="6">
        <f>IFERROR(__xludf.DUMMYFUNCTION("""COMPUTED_VALUE"""),0.4037)</f>
        <v>0.4037</v>
      </c>
      <c r="D1118" s="2">
        <f>IFERROR(__xludf.DUMMYFUNCTION("""COMPUTED_VALUE"""),0.0022800925925925927)</f>
        <v>0.002280092593</v>
      </c>
      <c r="E1118" s="1">
        <f>IFERROR(__xludf.DUMMYFUNCTION("""COMPUTED_VALUE"""),1.12)</f>
        <v>1.12</v>
      </c>
      <c r="F1118" s="1">
        <f>IFERROR(__xludf.DUMMYFUNCTION("""COMPUTED_VALUE"""),5.08)</f>
        <v>5.08</v>
      </c>
      <c r="G1118" s="5">
        <f>IFERROR(__xludf.DUMMYFUNCTION("""COMPUTED_VALUE"""),8040.0)</f>
        <v>8040</v>
      </c>
      <c r="H1118" s="5">
        <f>IFERROR(__xludf.DUMMYFUNCTION("""COMPUTED_VALUE"""),1583.0)</f>
        <v>1583</v>
      </c>
    </row>
    <row r="1119">
      <c r="A1119" s="4">
        <f>IFERROR(__xludf.DUMMYFUNCTION("""COMPUTED_VALUE"""),43487.0)</f>
        <v>43487</v>
      </c>
      <c r="B1119" s="5">
        <f>IFERROR(__xludf.DUMMYFUNCTION("""COMPUTED_VALUE"""),1583.0)</f>
        <v>1583</v>
      </c>
      <c r="C1119" s="6">
        <f>IFERROR(__xludf.DUMMYFUNCTION("""COMPUTED_VALUE"""),0.3804)</f>
        <v>0.3804</v>
      </c>
      <c r="D1119" s="2">
        <f>IFERROR(__xludf.DUMMYFUNCTION("""COMPUTED_VALUE"""),0.0023263888888888887)</f>
        <v>0.002326388889</v>
      </c>
      <c r="E1119" s="1">
        <f>IFERROR(__xludf.DUMMYFUNCTION("""COMPUTED_VALUE"""),1.18)</f>
        <v>1.18</v>
      </c>
      <c r="F1119" s="1">
        <f>IFERROR(__xludf.DUMMYFUNCTION("""COMPUTED_VALUE"""),5.33)</f>
        <v>5.33</v>
      </c>
      <c r="G1119" s="5">
        <f>IFERROR(__xludf.DUMMYFUNCTION("""COMPUTED_VALUE"""),9928.0)</f>
        <v>9928</v>
      </c>
      <c r="H1119" s="5">
        <f>IFERROR(__xludf.DUMMYFUNCTION("""COMPUTED_VALUE"""),1861.0)</f>
        <v>1861</v>
      </c>
    </row>
    <row r="1120">
      <c r="A1120" s="4">
        <f>IFERROR(__xludf.DUMMYFUNCTION("""COMPUTED_VALUE"""),43488.0)</f>
        <v>43488</v>
      </c>
      <c r="B1120" s="5">
        <f>IFERROR(__xludf.DUMMYFUNCTION("""COMPUTED_VALUE"""),1736.0)</f>
        <v>1736</v>
      </c>
      <c r="C1120" s="6">
        <f>IFERROR(__xludf.DUMMYFUNCTION("""COMPUTED_VALUE"""),0.3109)</f>
        <v>0.3109</v>
      </c>
      <c r="D1120" s="2">
        <f>IFERROR(__xludf.DUMMYFUNCTION("""COMPUTED_VALUE"""),0.0021875)</f>
        <v>0.0021875</v>
      </c>
      <c r="E1120" s="1">
        <f>IFERROR(__xludf.DUMMYFUNCTION("""COMPUTED_VALUE"""),1.08)</f>
        <v>1.08</v>
      </c>
      <c r="F1120" s="1">
        <f>IFERROR(__xludf.DUMMYFUNCTION("""COMPUTED_VALUE"""),4.67)</f>
        <v>4.67</v>
      </c>
      <c r="G1120" s="5">
        <f>IFERROR(__xludf.DUMMYFUNCTION("""COMPUTED_VALUE"""),8748.0)</f>
        <v>8748</v>
      </c>
      <c r="H1120" s="5">
        <f>IFERROR(__xludf.DUMMYFUNCTION("""COMPUTED_VALUE"""),1875.0)</f>
        <v>1875</v>
      </c>
    </row>
    <row r="1121">
      <c r="A1121" s="4">
        <f>IFERROR(__xludf.DUMMYFUNCTION("""COMPUTED_VALUE"""),43489.0)</f>
        <v>43489</v>
      </c>
      <c r="B1121" s="5">
        <f>IFERROR(__xludf.DUMMYFUNCTION("""COMPUTED_VALUE"""),1555.0)</f>
        <v>1555</v>
      </c>
      <c r="C1121" s="6">
        <f>IFERROR(__xludf.DUMMYFUNCTION("""COMPUTED_VALUE"""),0.369)</f>
        <v>0.369</v>
      </c>
      <c r="D1121" s="2">
        <f>IFERROR(__xludf.DUMMYFUNCTION("""COMPUTED_VALUE"""),0.002025462962962963)</f>
        <v>0.002025462963</v>
      </c>
      <c r="E1121" s="1">
        <f>IFERROR(__xludf.DUMMYFUNCTION("""COMPUTED_VALUE"""),1.16)</f>
        <v>1.16</v>
      </c>
      <c r="F1121" s="1">
        <f>IFERROR(__xludf.DUMMYFUNCTION("""COMPUTED_VALUE"""),4.82)</f>
        <v>4.82</v>
      </c>
      <c r="G1121" s="5">
        <f>IFERROR(__xludf.DUMMYFUNCTION("""COMPUTED_VALUE"""),8692.0)</f>
        <v>8692</v>
      </c>
      <c r="H1121" s="5">
        <f>IFERROR(__xludf.DUMMYFUNCTION("""COMPUTED_VALUE"""),1805.0)</f>
        <v>1805</v>
      </c>
    </row>
    <row r="1122">
      <c r="A1122" s="4">
        <f>IFERROR(__xludf.DUMMYFUNCTION("""COMPUTED_VALUE"""),43490.0)</f>
        <v>43490</v>
      </c>
      <c r="B1122" s="5">
        <f>IFERROR(__xludf.DUMMYFUNCTION("""COMPUTED_VALUE"""),1611.0)</f>
        <v>1611</v>
      </c>
      <c r="C1122" s="6">
        <f>IFERROR(__xludf.DUMMYFUNCTION("""COMPUTED_VALUE"""),0.3778)</f>
        <v>0.3778</v>
      </c>
      <c r="D1122" s="2">
        <f>IFERROR(__xludf.DUMMYFUNCTION("""COMPUTED_VALUE"""),0.002013888888888889)</f>
        <v>0.002013888889</v>
      </c>
      <c r="E1122" s="1">
        <f>IFERROR(__xludf.DUMMYFUNCTION("""COMPUTED_VALUE"""),1.09)</f>
        <v>1.09</v>
      </c>
      <c r="F1122" s="1">
        <f>IFERROR(__xludf.DUMMYFUNCTION("""COMPUTED_VALUE"""),4.44)</f>
        <v>4.44</v>
      </c>
      <c r="G1122" s="5">
        <f>IFERROR(__xludf.DUMMYFUNCTION("""COMPUTED_VALUE"""),7831.0)</f>
        <v>7831</v>
      </c>
      <c r="H1122" s="5">
        <f>IFERROR(__xludf.DUMMYFUNCTION("""COMPUTED_VALUE"""),1763.0)</f>
        <v>1763</v>
      </c>
    </row>
    <row r="1123">
      <c r="A1123" s="4">
        <f>IFERROR(__xludf.DUMMYFUNCTION("""COMPUTED_VALUE"""),43491.0)</f>
        <v>43491</v>
      </c>
      <c r="B1123" s="5">
        <f>IFERROR(__xludf.DUMMYFUNCTION("""COMPUTED_VALUE"""),1069.0)</f>
        <v>1069</v>
      </c>
      <c r="C1123" s="6">
        <f>IFERROR(__xludf.DUMMYFUNCTION("""COMPUTED_VALUE"""),0.3748)</f>
        <v>0.3748</v>
      </c>
      <c r="D1123" s="2">
        <f>IFERROR(__xludf.DUMMYFUNCTION("""COMPUTED_VALUE"""),0.003275462962962963)</f>
        <v>0.003275462963</v>
      </c>
      <c r="E1123" s="1">
        <f>IFERROR(__xludf.DUMMYFUNCTION("""COMPUTED_VALUE"""),1.14)</f>
        <v>1.14</v>
      </c>
      <c r="F1123" s="1">
        <f>IFERROR(__xludf.DUMMYFUNCTION("""COMPUTED_VALUE"""),6.06)</f>
        <v>6.06</v>
      </c>
      <c r="G1123" s="5">
        <f>IFERROR(__xludf.DUMMYFUNCTION("""COMPUTED_VALUE"""),7401.0)</f>
        <v>7401</v>
      </c>
      <c r="H1123" s="5">
        <f>IFERROR(__xludf.DUMMYFUNCTION("""COMPUTED_VALUE"""),1222.0)</f>
        <v>1222</v>
      </c>
    </row>
    <row r="1124">
      <c r="A1124" s="4">
        <f>IFERROR(__xludf.DUMMYFUNCTION("""COMPUTED_VALUE"""),43492.0)</f>
        <v>43492</v>
      </c>
      <c r="B1124" s="5">
        <f>IFERROR(__xludf.DUMMYFUNCTION("""COMPUTED_VALUE"""),1194.0)</f>
        <v>1194</v>
      </c>
      <c r="C1124" s="6">
        <f>IFERROR(__xludf.DUMMYFUNCTION("""COMPUTED_VALUE"""),0.4479)</f>
        <v>0.4479</v>
      </c>
      <c r="D1124" s="2">
        <f>IFERROR(__xludf.DUMMYFUNCTION("""COMPUTED_VALUE"""),0.0011689814814814816)</f>
        <v>0.001168981481</v>
      </c>
      <c r="E1124" s="1">
        <f>IFERROR(__xludf.DUMMYFUNCTION("""COMPUTED_VALUE"""),1.12)</f>
        <v>1.12</v>
      </c>
      <c r="F1124" s="1">
        <f>IFERROR(__xludf.DUMMYFUNCTION("""COMPUTED_VALUE"""),3.95)</f>
        <v>3.95</v>
      </c>
      <c r="G1124" s="5">
        <f>IFERROR(__xludf.DUMMYFUNCTION("""COMPUTED_VALUE"""),5263.0)</f>
        <v>5263</v>
      </c>
      <c r="H1124" s="5">
        <f>IFERROR(__xludf.DUMMYFUNCTION("""COMPUTED_VALUE"""),1333.0)</f>
        <v>1333</v>
      </c>
    </row>
    <row r="1125">
      <c r="A1125" s="4">
        <f>IFERROR(__xludf.DUMMYFUNCTION("""COMPUTED_VALUE"""),43493.0)</f>
        <v>43493</v>
      </c>
      <c r="B1125" s="5">
        <f>IFERROR(__xludf.DUMMYFUNCTION("""COMPUTED_VALUE"""),1611.0)</f>
        <v>1611</v>
      </c>
      <c r="C1125" s="6">
        <f>IFERROR(__xludf.DUMMYFUNCTION("""COMPUTED_VALUE"""),0.3833)</f>
        <v>0.3833</v>
      </c>
      <c r="D1125" s="2">
        <f>IFERROR(__xludf.DUMMYFUNCTION("""COMPUTED_VALUE"""),0.0022453703703703702)</f>
        <v>0.00224537037</v>
      </c>
      <c r="E1125" s="1">
        <f>IFERROR(__xludf.DUMMYFUNCTION("""COMPUTED_VALUE"""),1.15)</f>
        <v>1.15</v>
      </c>
      <c r="F1125" s="1">
        <f>IFERROR(__xludf.DUMMYFUNCTION("""COMPUTED_VALUE"""),4.56)</f>
        <v>4.56</v>
      </c>
      <c r="G1125" s="5">
        <f>IFERROR(__xludf.DUMMYFUNCTION("""COMPUTED_VALUE"""),8415.0)</f>
        <v>8415</v>
      </c>
      <c r="H1125" s="5">
        <f>IFERROR(__xludf.DUMMYFUNCTION("""COMPUTED_VALUE"""),1847.0)</f>
        <v>1847</v>
      </c>
    </row>
    <row r="1126">
      <c r="A1126" s="4">
        <f>IFERROR(__xludf.DUMMYFUNCTION("""COMPUTED_VALUE"""),43494.0)</f>
        <v>43494</v>
      </c>
      <c r="B1126" s="5">
        <f>IFERROR(__xludf.DUMMYFUNCTION("""COMPUTED_VALUE"""),1805.0)</f>
        <v>1805</v>
      </c>
      <c r="C1126" s="6">
        <f>IFERROR(__xludf.DUMMYFUNCTION("""COMPUTED_VALUE"""),0.4011)</f>
        <v>0.4011</v>
      </c>
      <c r="D1126" s="2">
        <f>IFERROR(__xludf.DUMMYFUNCTION("""COMPUTED_VALUE"""),0.0020601851851851853)</f>
        <v>0.002060185185</v>
      </c>
      <c r="E1126" s="1">
        <f>IFERROR(__xludf.DUMMYFUNCTION("""COMPUTED_VALUE"""),1.09)</f>
        <v>1.09</v>
      </c>
      <c r="F1126" s="1">
        <f>IFERROR(__xludf.DUMMYFUNCTION("""COMPUTED_VALUE"""),4.79)</f>
        <v>4.79</v>
      </c>
      <c r="G1126" s="5">
        <f>IFERROR(__xludf.DUMMYFUNCTION("""COMPUTED_VALUE"""),9442.0)</f>
        <v>9442</v>
      </c>
      <c r="H1126" s="5">
        <f>IFERROR(__xludf.DUMMYFUNCTION("""COMPUTED_VALUE"""),1972.0)</f>
        <v>1972</v>
      </c>
    </row>
    <row r="1127">
      <c r="A1127" s="4">
        <f>IFERROR(__xludf.DUMMYFUNCTION("""COMPUTED_VALUE"""),43495.0)</f>
        <v>43495</v>
      </c>
      <c r="B1127" s="5">
        <f>IFERROR(__xludf.DUMMYFUNCTION("""COMPUTED_VALUE"""),1722.0)</f>
        <v>1722</v>
      </c>
      <c r="C1127" s="6">
        <f>IFERROR(__xludf.DUMMYFUNCTION("""COMPUTED_VALUE"""),0.4316)</f>
        <v>0.4316</v>
      </c>
      <c r="D1127" s="2">
        <f>IFERROR(__xludf.DUMMYFUNCTION("""COMPUTED_VALUE"""),0.0017013888888888888)</f>
        <v>0.001701388889</v>
      </c>
      <c r="E1127" s="1">
        <f>IFERROR(__xludf.DUMMYFUNCTION("""COMPUTED_VALUE"""),1.12)</f>
        <v>1.12</v>
      </c>
      <c r="F1127" s="1">
        <f>IFERROR(__xludf.DUMMYFUNCTION("""COMPUTED_VALUE"""),3.89)</f>
        <v>3.89</v>
      </c>
      <c r="G1127" s="5">
        <f>IFERROR(__xludf.DUMMYFUNCTION("""COMPUTED_VALUE"""),7512.0)</f>
        <v>7512</v>
      </c>
      <c r="H1127" s="5">
        <f>IFERROR(__xludf.DUMMYFUNCTION("""COMPUTED_VALUE"""),1930.0)</f>
        <v>1930</v>
      </c>
    </row>
    <row r="1128">
      <c r="A1128" s="4">
        <f>IFERROR(__xludf.DUMMYFUNCTION("""COMPUTED_VALUE"""),43496.0)</f>
        <v>43496</v>
      </c>
      <c r="B1128" s="5">
        <f>IFERROR(__xludf.DUMMYFUNCTION("""COMPUTED_VALUE"""),1750.0)</f>
        <v>1750</v>
      </c>
      <c r="C1128" s="6">
        <f>IFERROR(__xludf.DUMMYFUNCTION("""COMPUTED_VALUE"""),0.3575)</f>
        <v>0.3575</v>
      </c>
      <c r="D1128" s="2">
        <f>IFERROR(__xludf.DUMMYFUNCTION("""COMPUTED_VALUE"""),0.0024537037037037036)</f>
        <v>0.002453703704</v>
      </c>
      <c r="E1128" s="1">
        <f>IFERROR(__xludf.DUMMYFUNCTION("""COMPUTED_VALUE"""),1.09)</f>
        <v>1.09</v>
      </c>
      <c r="F1128" s="1">
        <f>IFERROR(__xludf.DUMMYFUNCTION("""COMPUTED_VALUE"""),4.94)</f>
        <v>4.94</v>
      </c>
      <c r="G1128" s="5">
        <f>IFERROR(__xludf.DUMMYFUNCTION("""COMPUTED_VALUE"""),9387.0)</f>
        <v>9387</v>
      </c>
      <c r="H1128" s="5">
        <f>IFERROR(__xludf.DUMMYFUNCTION("""COMPUTED_VALUE"""),1902.0)</f>
        <v>1902</v>
      </c>
    </row>
    <row r="1129">
      <c r="A1129" s="4">
        <f>IFERROR(__xludf.DUMMYFUNCTION("""COMPUTED_VALUE"""),43497.0)</f>
        <v>43497</v>
      </c>
      <c r="B1129" s="5">
        <f>IFERROR(__xludf.DUMMYFUNCTION("""COMPUTED_VALUE"""),1305.0)</f>
        <v>1305</v>
      </c>
      <c r="C1129" s="6">
        <f>IFERROR(__xludf.DUMMYFUNCTION("""COMPUTED_VALUE"""),0.3532)</f>
        <v>0.3532</v>
      </c>
      <c r="D1129" s="2">
        <f>IFERROR(__xludf.DUMMYFUNCTION("""COMPUTED_VALUE"""),0.001736111111111111)</f>
        <v>0.001736111111</v>
      </c>
      <c r="E1129" s="1">
        <f>IFERROR(__xludf.DUMMYFUNCTION("""COMPUTED_VALUE"""),1.23)</f>
        <v>1.23</v>
      </c>
      <c r="F1129" s="1">
        <f>IFERROR(__xludf.DUMMYFUNCTION("""COMPUTED_VALUE"""),4.54)</f>
        <v>4.54</v>
      </c>
      <c r="G1129" s="5">
        <f>IFERROR(__xludf.DUMMYFUNCTION("""COMPUTED_VALUE"""),7318.0)</f>
        <v>7318</v>
      </c>
      <c r="H1129" s="5">
        <f>IFERROR(__xludf.DUMMYFUNCTION("""COMPUTED_VALUE"""),1611.0)</f>
        <v>1611</v>
      </c>
    </row>
    <row r="1130">
      <c r="A1130" s="4">
        <f>IFERROR(__xludf.DUMMYFUNCTION("""COMPUTED_VALUE"""),43498.0)</f>
        <v>43498</v>
      </c>
      <c r="B1130" s="5">
        <f>IFERROR(__xludf.DUMMYFUNCTION("""COMPUTED_VALUE"""),1194.0)</f>
        <v>1194</v>
      </c>
      <c r="C1130" s="6">
        <f>IFERROR(__xludf.DUMMYFUNCTION("""COMPUTED_VALUE"""),0.3402)</f>
        <v>0.3402</v>
      </c>
      <c r="D1130" s="2">
        <f>IFERROR(__xludf.DUMMYFUNCTION("""COMPUTED_VALUE"""),0.0021875)</f>
        <v>0.0021875</v>
      </c>
      <c r="E1130" s="1">
        <f>IFERROR(__xludf.DUMMYFUNCTION("""COMPUTED_VALUE"""),1.09)</f>
        <v>1.09</v>
      </c>
      <c r="F1130" s="1">
        <f>IFERROR(__xludf.DUMMYFUNCTION("""COMPUTED_VALUE"""),4.26)</f>
        <v>4.26</v>
      </c>
      <c r="G1130" s="5">
        <f>IFERROR(__xludf.DUMMYFUNCTION("""COMPUTED_VALUE"""),5554.0)</f>
        <v>5554</v>
      </c>
      <c r="H1130" s="5">
        <f>IFERROR(__xludf.DUMMYFUNCTION("""COMPUTED_VALUE"""),1305.0)</f>
        <v>1305</v>
      </c>
    </row>
    <row r="1131">
      <c r="A1131" s="4">
        <f>IFERROR(__xludf.DUMMYFUNCTION("""COMPUTED_VALUE"""),43499.0)</f>
        <v>43499</v>
      </c>
      <c r="B1131" s="5">
        <f>IFERROR(__xludf.DUMMYFUNCTION("""COMPUTED_VALUE"""),1041.0)</f>
        <v>1041</v>
      </c>
      <c r="C1131" s="6">
        <f>IFERROR(__xludf.DUMMYFUNCTION("""COMPUTED_VALUE"""),0.3907)</f>
        <v>0.3907</v>
      </c>
      <c r="D1131" s="2">
        <f>IFERROR(__xludf.DUMMYFUNCTION("""COMPUTED_VALUE"""),0.0016203703703703703)</f>
        <v>0.00162037037</v>
      </c>
      <c r="E1131" s="1">
        <f>IFERROR(__xludf.DUMMYFUNCTION("""COMPUTED_VALUE"""),1.16)</f>
        <v>1.16</v>
      </c>
      <c r="F1131" s="1">
        <f>IFERROR(__xludf.DUMMYFUNCTION("""COMPUTED_VALUE"""),4.21)</f>
        <v>4.21</v>
      </c>
      <c r="G1131" s="5">
        <f>IFERROR(__xludf.DUMMYFUNCTION("""COMPUTED_VALUE"""),5082.0)</f>
        <v>5082</v>
      </c>
      <c r="H1131" s="5">
        <f>IFERROR(__xludf.DUMMYFUNCTION("""COMPUTED_VALUE"""),1208.0)</f>
        <v>1208</v>
      </c>
    </row>
    <row r="1132">
      <c r="A1132" s="4">
        <f>IFERROR(__xludf.DUMMYFUNCTION("""COMPUTED_VALUE"""),43500.0)</f>
        <v>43500</v>
      </c>
      <c r="B1132" s="5">
        <f>IFERROR(__xludf.DUMMYFUNCTION("""COMPUTED_VALUE"""),2055.0)</f>
        <v>2055</v>
      </c>
      <c r="C1132" s="6">
        <f>IFERROR(__xludf.DUMMYFUNCTION("""COMPUTED_VALUE"""),0.4269)</f>
        <v>0.4269</v>
      </c>
      <c r="D1132" s="2">
        <f>IFERROR(__xludf.DUMMYFUNCTION("""COMPUTED_VALUE"""),0.0024537037037037036)</f>
        <v>0.002453703704</v>
      </c>
      <c r="E1132" s="1">
        <f>IFERROR(__xludf.DUMMYFUNCTION("""COMPUTED_VALUE"""),1.11)</f>
        <v>1.11</v>
      </c>
      <c r="F1132" s="1">
        <f>IFERROR(__xludf.DUMMYFUNCTION("""COMPUTED_VALUE"""),4.45)</f>
        <v>4.45</v>
      </c>
      <c r="G1132" s="5">
        <f>IFERROR(__xludf.DUMMYFUNCTION("""COMPUTED_VALUE"""),10136.0)</f>
        <v>10136</v>
      </c>
      <c r="H1132" s="5">
        <f>IFERROR(__xludf.DUMMYFUNCTION("""COMPUTED_VALUE"""),2277.0)</f>
        <v>2277</v>
      </c>
    </row>
    <row r="1133">
      <c r="A1133" s="4">
        <f>IFERROR(__xludf.DUMMYFUNCTION("""COMPUTED_VALUE"""),43501.0)</f>
        <v>43501</v>
      </c>
      <c r="B1133" s="5">
        <f>IFERROR(__xludf.DUMMYFUNCTION("""COMPUTED_VALUE"""),1736.0)</f>
        <v>1736</v>
      </c>
      <c r="C1133" s="6">
        <f>IFERROR(__xludf.DUMMYFUNCTION("""COMPUTED_VALUE"""),0.4254)</f>
        <v>0.4254</v>
      </c>
      <c r="D1133" s="2">
        <f>IFERROR(__xludf.DUMMYFUNCTION("""COMPUTED_VALUE"""),0.0021180555555555558)</f>
        <v>0.002118055556</v>
      </c>
      <c r="E1133" s="1">
        <f>IFERROR(__xludf.DUMMYFUNCTION("""COMPUTED_VALUE"""),1.13)</f>
        <v>1.13</v>
      </c>
      <c r="F1133" s="1">
        <f>IFERROR(__xludf.DUMMYFUNCTION("""COMPUTED_VALUE"""),4.33)</f>
        <v>4.33</v>
      </c>
      <c r="G1133" s="5">
        <f>IFERROR(__xludf.DUMMYFUNCTION("""COMPUTED_VALUE"""),8470.0)</f>
        <v>8470</v>
      </c>
      <c r="H1133" s="5">
        <f>IFERROR(__xludf.DUMMYFUNCTION("""COMPUTED_VALUE"""),1958.0)</f>
        <v>1958</v>
      </c>
    </row>
    <row r="1134">
      <c r="A1134" s="4">
        <f>IFERROR(__xludf.DUMMYFUNCTION("""COMPUTED_VALUE"""),43502.0)</f>
        <v>43502</v>
      </c>
      <c r="B1134" s="5">
        <f>IFERROR(__xludf.DUMMYFUNCTION("""COMPUTED_VALUE"""),1916.0)</f>
        <v>1916</v>
      </c>
      <c r="C1134" s="6">
        <f>IFERROR(__xludf.DUMMYFUNCTION("""COMPUTED_VALUE"""),0.4211)</f>
        <v>0.4211</v>
      </c>
      <c r="D1134" s="2">
        <f>IFERROR(__xludf.DUMMYFUNCTION("""COMPUTED_VALUE"""),0.0017013888888888888)</f>
        <v>0.001701388889</v>
      </c>
      <c r="E1134" s="1">
        <f>IFERROR(__xludf.DUMMYFUNCTION("""COMPUTED_VALUE"""),1.1)</f>
        <v>1.1</v>
      </c>
      <c r="F1134" s="1">
        <f>IFERROR(__xludf.DUMMYFUNCTION("""COMPUTED_VALUE"""),4.2)</f>
        <v>4.2</v>
      </c>
      <c r="G1134" s="5">
        <f>IFERROR(__xludf.DUMMYFUNCTION("""COMPUTED_VALUE"""),8859.0)</f>
        <v>8859</v>
      </c>
      <c r="H1134" s="5">
        <f>IFERROR(__xludf.DUMMYFUNCTION("""COMPUTED_VALUE"""),2111.0)</f>
        <v>2111</v>
      </c>
    </row>
    <row r="1135">
      <c r="A1135" s="4">
        <f>IFERROR(__xludf.DUMMYFUNCTION("""COMPUTED_VALUE"""),43503.0)</f>
        <v>43503</v>
      </c>
      <c r="B1135" s="5">
        <f>IFERROR(__xludf.DUMMYFUNCTION("""COMPUTED_VALUE"""),2249.0)</f>
        <v>2249</v>
      </c>
      <c r="C1135" s="6">
        <f>IFERROR(__xludf.DUMMYFUNCTION("""COMPUTED_VALUE"""),0.3315)</f>
        <v>0.3315</v>
      </c>
      <c r="D1135" s="2">
        <f>IFERROR(__xludf.DUMMYFUNCTION("""COMPUTED_VALUE"""),0.0017939814814814815)</f>
        <v>0.001793981481</v>
      </c>
      <c r="E1135" s="1">
        <f>IFERROR(__xludf.DUMMYFUNCTION("""COMPUTED_VALUE"""),1.15)</f>
        <v>1.15</v>
      </c>
      <c r="F1135" s="1">
        <f>IFERROR(__xludf.DUMMYFUNCTION("""COMPUTED_VALUE"""),4.46)</f>
        <v>4.46</v>
      </c>
      <c r="G1135" s="5">
        <f>IFERROR(__xludf.DUMMYFUNCTION("""COMPUTED_VALUE"""),11580.0)</f>
        <v>11580</v>
      </c>
      <c r="H1135" s="5">
        <f>IFERROR(__xludf.DUMMYFUNCTION("""COMPUTED_VALUE"""),2597.0)</f>
        <v>2597</v>
      </c>
    </row>
    <row r="1136">
      <c r="A1136" s="4">
        <f>IFERROR(__xludf.DUMMYFUNCTION("""COMPUTED_VALUE"""),43504.0)</f>
        <v>43504</v>
      </c>
      <c r="B1136" s="5">
        <f>IFERROR(__xludf.DUMMYFUNCTION("""COMPUTED_VALUE"""),1444.0)</f>
        <v>1444</v>
      </c>
      <c r="C1136" s="6">
        <f>IFERROR(__xludf.DUMMYFUNCTION("""COMPUTED_VALUE"""),0.372)</f>
        <v>0.372</v>
      </c>
      <c r="D1136" s="2">
        <f>IFERROR(__xludf.DUMMYFUNCTION("""COMPUTED_VALUE"""),0.001875)</f>
        <v>0.001875</v>
      </c>
      <c r="E1136" s="1">
        <f>IFERROR(__xludf.DUMMYFUNCTION("""COMPUTED_VALUE"""),1.16)</f>
        <v>1.16</v>
      </c>
      <c r="F1136" s="1">
        <f>IFERROR(__xludf.DUMMYFUNCTION("""COMPUTED_VALUE"""),3.88)</f>
        <v>3.88</v>
      </c>
      <c r="G1136" s="5">
        <f>IFERROR(__xludf.DUMMYFUNCTION("""COMPUTED_VALUE"""),6512.0)</f>
        <v>6512</v>
      </c>
      <c r="H1136" s="5">
        <f>IFERROR(__xludf.DUMMYFUNCTION("""COMPUTED_VALUE"""),1680.0)</f>
        <v>1680</v>
      </c>
    </row>
    <row r="1137">
      <c r="A1137" s="4">
        <f>IFERROR(__xludf.DUMMYFUNCTION("""COMPUTED_VALUE"""),43505.0)</f>
        <v>43505</v>
      </c>
      <c r="B1137" s="5">
        <f>IFERROR(__xludf.DUMMYFUNCTION("""COMPUTED_VALUE"""),1180.0)</f>
        <v>1180</v>
      </c>
      <c r="C1137" s="6">
        <f>IFERROR(__xludf.DUMMYFUNCTION("""COMPUTED_VALUE"""),0.3623)</f>
        <v>0.3623</v>
      </c>
      <c r="D1137" s="2">
        <f>IFERROR(__xludf.DUMMYFUNCTION("""COMPUTED_VALUE"""),0.0014814814814814814)</f>
        <v>0.001481481481</v>
      </c>
      <c r="E1137" s="1">
        <f>IFERROR(__xludf.DUMMYFUNCTION("""COMPUTED_VALUE"""),1.07)</f>
        <v>1.07</v>
      </c>
      <c r="F1137" s="1">
        <f>IFERROR(__xludf.DUMMYFUNCTION("""COMPUTED_VALUE"""),4.55)</f>
        <v>4.55</v>
      </c>
      <c r="G1137" s="5">
        <f>IFERROR(__xludf.DUMMYFUNCTION("""COMPUTED_VALUE"""),5749.0)</f>
        <v>5749</v>
      </c>
      <c r="H1137" s="5">
        <f>IFERROR(__xludf.DUMMYFUNCTION("""COMPUTED_VALUE"""),1264.0)</f>
        <v>1264</v>
      </c>
    </row>
    <row r="1138">
      <c r="A1138" s="4">
        <f>IFERROR(__xludf.DUMMYFUNCTION("""COMPUTED_VALUE"""),43506.0)</f>
        <v>43506</v>
      </c>
      <c r="B1138" s="5">
        <f>IFERROR(__xludf.DUMMYFUNCTION("""COMPUTED_VALUE"""),1291.0)</f>
        <v>1291</v>
      </c>
      <c r="C1138" s="6">
        <f>IFERROR(__xludf.DUMMYFUNCTION("""COMPUTED_VALUE"""),0.3943)</f>
        <v>0.3943</v>
      </c>
      <c r="D1138" s="2">
        <f>IFERROR(__xludf.DUMMYFUNCTION("""COMPUTED_VALUE"""),0.0013078703703703703)</f>
        <v>0.00130787037</v>
      </c>
      <c r="E1138" s="1">
        <f>IFERROR(__xludf.DUMMYFUNCTION("""COMPUTED_VALUE"""),1.17)</f>
        <v>1.17</v>
      </c>
      <c r="F1138" s="1">
        <f>IFERROR(__xludf.DUMMYFUNCTION("""COMPUTED_VALUE"""),3.77)</f>
        <v>3.77</v>
      </c>
      <c r="G1138" s="5">
        <f>IFERROR(__xludf.DUMMYFUNCTION("""COMPUTED_VALUE"""),5707.0)</f>
        <v>5707</v>
      </c>
      <c r="H1138" s="5">
        <f>IFERROR(__xludf.DUMMYFUNCTION("""COMPUTED_VALUE"""),1514.0)</f>
        <v>1514</v>
      </c>
    </row>
    <row r="1139">
      <c r="A1139" s="4">
        <f>IFERROR(__xludf.DUMMYFUNCTION("""COMPUTED_VALUE"""),43507.0)</f>
        <v>43507</v>
      </c>
      <c r="B1139" s="5">
        <f>IFERROR(__xludf.DUMMYFUNCTION("""COMPUTED_VALUE"""),1625.0)</f>
        <v>1625</v>
      </c>
      <c r="C1139" s="6">
        <f>IFERROR(__xludf.DUMMYFUNCTION("""COMPUTED_VALUE"""),0.3786)</f>
        <v>0.3786</v>
      </c>
      <c r="D1139" s="2">
        <f>IFERROR(__xludf.DUMMYFUNCTION("""COMPUTED_VALUE"""),0.0029745370370370373)</f>
        <v>0.002974537037</v>
      </c>
      <c r="E1139" s="1">
        <f>IFERROR(__xludf.DUMMYFUNCTION("""COMPUTED_VALUE"""),1.13)</f>
        <v>1.13</v>
      </c>
      <c r="F1139" s="1">
        <f>IFERROR(__xludf.DUMMYFUNCTION("""COMPUTED_VALUE"""),5.79)</f>
        <v>5.79</v>
      </c>
      <c r="G1139" s="5">
        <f>IFERROR(__xludf.DUMMYFUNCTION("""COMPUTED_VALUE"""),10608.0)</f>
        <v>10608</v>
      </c>
      <c r="H1139" s="5">
        <f>IFERROR(__xludf.DUMMYFUNCTION("""COMPUTED_VALUE"""),1833.0)</f>
        <v>1833</v>
      </c>
    </row>
    <row r="1140">
      <c r="A1140" s="4">
        <f>IFERROR(__xludf.DUMMYFUNCTION("""COMPUTED_VALUE"""),43508.0)</f>
        <v>43508</v>
      </c>
      <c r="B1140" s="5">
        <f>IFERROR(__xludf.DUMMYFUNCTION("""COMPUTED_VALUE"""),1888.0)</f>
        <v>1888</v>
      </c>
      <c r="C1140" s="6">
        <f>IFERROR(__xludf.DUMMYFUNCTION("""COMPUTED_VALUE"""),0.4229)</f>
        <v>0.4229</v>
      </c>
      <c r="D1140" s="2">
        <f>IFERROR(__xludf.DUMMYFUNCTION("""COMPUTED_VALUE"""),0.0018055555555555555)</f>
        <v>0.001805555556</v>
      </c>
      <c r="E1140" s="1">
        <f>IFERROR(__xludf.DUMMYFUNCTION("""COMPUTED_VALUE"""),1.1)</f>
        <v>1.1</v>
      </c>
      <c r="F1140" s="1">
        <f>IFERROR(__xludf.DUMMYFUNCTION("""COMPUTED_VALUE"""),4.4)</f>
        <v>4.4</v>
      </c>
      <c r="G1140" s="5">
        <f>IFERROR(__xludf.DUMMYFUNCTION("""COMPUTED_VALUE"""),9109.0)</f>
        <v>9109</v>
      </c>
      <c r="H1140" s="5">
        <f>IFERROR(__xludf.DUMMYFUNCTION("""COMPUTED_VALUE"""),2069.0)</f>
        <v>2069</v>
      </c>
    </row>
    <row r="1141">
      <c r="A1141" s="4">
        <f>IFERROR(__xludf.DUMMYFUNCTION("""COMPUTED_VALUE"""),43509.0)</f>
        <v>43509</v>
      </c>
      <c r="B1141" s="5">
        <f>IFERROR(__xludf.DUMMYFUNCTION("""COMPUTED_VALUE"""),1583.0)</f>
        <v>1583</v>
      </c>
      <c r="C1141" s="6">
        <f>IFERROR(__xludf.DUMMYFUNCTION("""COMPUTED_VALUE"""),0.3596)</f>
        <v>0.3596</v>
      </c>
      <c r="D1141" s="2">
        <f>IFERROR(__xludf.DUMMYFUNCTION("""COMPUTED_VALUE"""),0.002638888888888889)</f>
        <v>0.002638888889</v>
      </c>
      <c r="E1141" s="1">
        <f>IFERROR(__xludf.DUMMYFUNCTION("""COMPUTED_VALUE"""),1.22)</f>
        <v>1.22</v>
      </c>
      <c r="F1141" s="1">
        <f>IFERROR(__xludf.DUMMYFUNCTION("""COMPUTED_VALUE"""),4.54)</f>
        <v>4.54</v>
      </c>
      <c r="G1141" s="5">
        <f>IFERROR(__xludf.DUMMYFUNCTION("""COMPUTED_VALUE"""),8762.0)</f>
        <v>8762</v>
      </c>
      <c r="H1141" s="5">
        <f>IFERROR(__xludf.DUMMYFUNCTION("""COMPUTED_VALUE"""),1930.0)</f>
        <v>1930</v>
      </c>
    </row>
    <row r="1142">
      <c r="A1142" s="4">
        <f>IFERROR(__xludf.DUMMYFUNCTION("""COMPUTED_VALUE"""),43510.0)</f>
        <v>43510</v>
      </c>
      <c r="B1142" s="5">
        <f>IFERROR(__xludf.DUMMYFUNCTION("""COMPUTED_VALUE"""),1819.0)</f>
        <v>1819</v>
      </c>
      <c r="C1142" s="6">
        <f>IFERROR(__xludf.DUMMYFUNCTION("""COMPUTED_VALUE"""),0.2936)</f>
        <v>0.2936</v>
      </c>
      <c r="D1142" s="2">
        <f>IFERROR(__xludf.DUMMYFUNCTION("""COMPUTED_VALUE"""),0.0022222222222222222)</f>
        <v>0.002222222222</v>
      </c>
      <c r="E1142" s="1">
        <f>IFERROR(__xludf.DUMMYFUNCTION("""COMPUTED_VALUE"""),1.09)</f>
        <v>1.09</v>
      </c>
      <c r="F1142" s="1">
        <f>IFERROR(__xludf.DUMMYFUNCTION("""COMPUTED_VALUE"""),5.19)</f>
        <v>5.19</v>
      </c>
      <c r="G1142" s="5">
        <f>IFERROR(__xludf.DUMMYFUNCTION("""COMPUTED_VALUE"""),10317.0)</f>
        <v>10317</v>
      </c>
      <c r="H1142" s="5">
        <f>IFERROR(__xludf.DUMMYFUNCTION("""COMPUTED_VALUE"""),1986.0)</f>
        <v>1986</v>
      </c>
    </row>
    <row r="1143">
      <c r="A1143" s="4">
        <f>IFERROR(__xludf.DUMMYFUNCTION("""COMPUTED_VALUE"""),43511.0)</f>
        <v>43511</v>
      </c>
      <c r="B1143" s="5">
        <f>IFERROR(__xludf.DUMMYFUNCTION("""COMPUTED_VALUE"""),1944.0)</f>
        <v>1944</v>
      </c>
      <c r="C1143" s="6">
        <f>IFERROR(__xludf.DUMMYFUNCTION("""COMPUTED_VALUE"""),0.3643)</f>
        <v>0.3643</v>
      </c>
      <c r="D1143" s="2">
        <f>IFERROR(__xludf.DUMMYFUNCTION("""COMPUTED_VALUE"""),0.0016435185185185185)</f>
        <v>0.001643518519</v>
      </c>
      <c r="E1143" s="1">
        <f>IFERROR(__xludf.DUMMYFUNCTION("""COMPUTED_VALUE"""),1.08)</f>
        <v>1.08</v>
      </c>
      <c r="F1143" s="1">
        <f>IFERROR(__xludf.DUMMYFUNCTION("""COMPUTED_VALUE"""),4.14)</f>
        <v>4.14</v>
      </c>
      <c r="G1143" s="5">
        <f>IFERROR(__xludf.DUMMYFUNCTION("""COMPUTED_VALUE"""),8692.0)</f>
        <v>8692</v>
      </c>
      <c r="H1143" s="5">
        <f>IFERROR(__xludf.DUMMYFUNCTION("""COMPUTED_VALUE"""),2097.0)</f>
        <v>2097</v>
      </c>
    </row>
    <row r="1144">
      <c r="A1144" s="4">
        <f>IFERROR(__xludf.DUMMYFUNCTION("""COMPUTED_VALUE"""),43512.0)</f>
        <v>43512</v>
      </c>
      <c r="B1144" s="5">
        <f>IFERROR(__xludf.DUMMYFUNCTION("""COMPUTED_VALUE"""),1361.0)</f>
        <v>1361</v>
      </c>
      <c r="C1144" s="6">
        <f>IFERROR(__xludf.DUMMYFUNCTION("""COMPUTED_VALUE"""),0.4128)</f>
        <v>0.4128</v>
      </c>
      <c r="D1144" s="2">
        <f>IFERROR(__xludf.DUMMYFUNCTION("""COMPUTED_VALUE"""),0.0017476851851851852)</f>
        <v>0.001747685185</v>
      </c>
      <c r="E1144" s="1">
        <f>IFERROR(__xludf.DUMMYFUNCTION("""COMPUTED_VALUE"""),1.11)</f>
        <v>1.11</v>
      </c>
      <c r="F1144" s="1">
        <f>IFERROR(__xludf.DUMMYFUNCTION("""COMPUTED_VALUE"""),3.65)</f>
        <v>3.65</v>
      </c>
      <c r="G1144" s="5">
        <f>IFERROR(__xludf.DUMMYFUNCTION("""COMPUTED_VALUE"""),5526.0)</f>
        <v>5526</v>
      </c>
      <c r="H1144" s="5">
        <f>IFERROR(__xludf.DUMMYFUNCTION("""COMPUTED_VALUE"""),1514.0)</f>
        <v>1514</v>
      </c>
    </row>
    <row r="1145">
      <c r="A1145" s="4">
        <f>IFERROR(__xludf.DUMMYFUNCTION("""COMPUTED_VALUE"""),43513.0)</f>
        <v>43513</v>
      </c>
      <c r="B1145" s="5">
        <f>IFERROR(__xludf.DUMMYFUNCTION("""COMPUTED_VALUE"""),1375.0)</f>
        <v>1375</v>
      </c>
      <c r="C1145" s="6">
        <f>IFERROR(__xludf.DUMMYFUNCTION("""COMPUTED_VALUE"""),0.3887)</f>
        <v>0.3887</v>
      </c>
      <c r="D1145" s="2">
        <f>IFERROR(__xludf.DUMMYFUNCTION("""COMPUTED_VALUE"""),0.0022916666666666667)</f>
        <v>0.002291666667</v>
      </c>
      <c r="E1145" s="1">
        <f>IFERROR(__xludf.DUMMYFUNCTION("""COMPUTED_VALUE"""),1.09)</f>
        <v>1.09</v>
      </c>
      <c r="F1145" s="1">
        <f>IFERROR(__xludf.DUMMYFUNCTION("""COMPUTED_VALUE"""),4.67)</f>
        <v>4.67</v>
      </c>
      <c r="G1145" s="5">
        <f>IFERROR(__xludf.DUMMYFUNCTION("""COMPUTED_VALUE"""),6998.0)</f>
        <v>6998</v>
      </c>
      <c r="H1145" s="5">
        <f>IFERROR(__xludf.DUMMYFUNCTION("""COMPUTED_VALUE"""),1500.0)</f>
        <v>1500</v>
      </c>
    </row>
    <row r="1146">
      <c r="A1146" s="4">
        <f>IFERROR(__xludf.DUMMYFUNCTION("""COMPUTED_VALUE"""),43514.0)</f>
        <v>43514</v>
      </c>
      <c r="B1146" s="5">
        <f>IFERROR(__xludf.DUMMYFUNCTION("""COMPUTED_VALUE"""),1875.0)</f>
        <v>1875</v>
      </c>
      <c r="C1146" s="6">
        <f>IFERROR(__xludf.DUMMYFUNCTION("""COMPUTED_VALUE"""),0.5196)</f>
        <v>0.5196</v>
      </c>
      <c r="D1146" s="2">
        <f>IFERROR(__xludf.DUMMYFUNCTION("""COMPUTED_VALUE"""),0.0022453703703703702)</f>
        <v>0.00224537037</v>
      </c>
      <c r="E1146" s="1">
        <f>IFERROR(__xludf.DUMMYFUNCTION("""COMPUTED_VALUE"""),1.14)</f>
        <v>1.14</v>
      </c>
      <c r="F1146" s="1">
        <f>IFERROR(__xludf.DUMMYFUNCTION("""COMPUTED_VALUE"""),4.01)</f>
        <v>4.01</v>
      </c>
      <c r="G1146" s="5">
        <f>IFERROR(__xludf.DUMMYFUNCTION("""COMPUTED_VALUE"""),8567.0)</f>
        <v>8567</v>
      </c>
      <c r="H1146" s="5">
        <f>IFERROR(__xludf.DUMMYFUNCTION("""COMPUTED_VALUE"""),2138.0)</f>
        <v>2138</v>
      </c>
    </row>
    <row r="1147">
      <c r="A1147" s="4">
        <f>IFERROR(__xludf.DUMMYFUNCTION("""COMPUTED_VALUE"""),43515.0)</f>
        <v>43515</v>
      </c>
      <c r="B1147" s="5">
        <f>IFERROR(__xludf.DUMMYFUNCTION("""COMPUTED_VALUE"""),2333.0)</f>
        <v>2333</v>
      </c>
      <c r="C1147" s="6">
        <f>IFERROR(__xludf.DUMMYFUNCTION("""COMPUTED_VALUE"""),0.4287)</f>
        <v>0.4287</v>
      </c>
      <c r="D1147" s="2">
        <f>IFERROR(__xludf.DUMMYFUNCTION("""COMPUTED_VALUE"""),0.0017708333333333332)</f>
        <v>0.001770833333</v>
      </c>
      <c r="E1147" s="1">
        <f>IFERROR(__xludf.DUMMYFUNCTION("""COMPUTED_VALUE"""),1.12)</f>
        <v>1.12</v>
      </c>
      <c r="F1147" s="1">
        <f>IFERROR(__xludf.DUMMYFUNCTION("""COMPUTED_VALUE"""),3.73)</f>
        <v>3.73</v>
      </c>
      <c r="G1147" s="5">
        <f>IFERROR(__xludf.DUMMYFUNCTION("""COMPUTED_VALUE"""),9775.0)</f>
        <v>9775</v>
      </c>
      <c r="H1147" s="5">
        <f>IFERROR(__xludf.DUMMYFUNCTION("""COMPUTED_VALUE"""),2624.0)</f>
        <v>2624</v>
      </c>
    </row>
    <row r="1148">
      <c r="A1148" s="4">
        <f>IFERROR(__xludf.DUMMYFUNCTION("""COMPUTED_VALUE"""),43516.0)</f>
        <v>43516</v>
      </c>
      <c r="B1148" s="5">
        <f>IFERROR(__xludf.DUMMYFUNCTION("""COMPUTED_VALUE"""),2735.0)</f>
        <v>2735</v>
      </c>
      <c r="C1148" s="6">
        <f>IFERROR(__xludf.DUMMYFUNCTION("""COMPUTED_VALUE"""),0.4537)</f>
        <v>0.4537</v>
      </c>
      <c r="D1148" s="2">
        <f>IFERROR(__xludf.DUMMYFUNCTION("""COMPUTED_VALUE"""),0.0016087962962962963)</f>
        <v>0.001608796296</v>
      </c>
      <c r="E1148" s="1">
        <f>IFERROR(__xludf.DUMMYFUNCTION("""COMPUTED_VALUE"""),1.15)</f>
        <v>1.15</v>
      </c>
      <c r="F1148" s="1">
        <f>IFERROR(__xludf.DUMMYFUNCTION("""COMPUTED_VALUE"""),3.78)</f>
        <v>3.78</v>
      </c>
      <c r="G1148" s="5">
        <f>IFERROR(__xludf.DUMMYFUNCTION("""COMPUTED_VALUE"""),11914.0)</f>
        <v>11914</v>
      </c>
      <c r="H1148" s="5">
        <f>IFERROR(__xludf.DUMMYFUNCTION("""COMPUTED_VALUE"""),3152.0)</f>
        <v>3152</v>
      </c>
    </row>
    <row r="1149">
      <c r="A1149" s="4">
        <f>IFERROR(__xludf.DUMMYFUNCTION("""COMPUTED_VALUE"""),43517.0)</f>
        <v>43517</v>
      </c>
      <c r="B1149" s="5">
        <f>IFERROR(__xludf.DUMMYFUNCTION("""COMPUTED_VALUE"""),2347.0)</f>
        <v>2347</v>
      </c>
      <c r="C1149" s="6">
        <f>IFERROR(__xludf.DUMMYFUNCTION("""COMPUTED_VALUE"""),0.4284)</f>
        <v>0.4284</v>
      </c>
      <c r="D1149" s="2">
        <f>IFERROR(__xludf.DUMMYFUNCTION("""COMPUTED_VALUE"""),0.001851851851851852)</f>
        <v>0.001851851852</v>
      </c>
      <c r="E1149" s="1">
        <f>IFERROR(__xludf.DUMMYFUNCTION("""COMPUTED_VALUE"""),1.16)</f>
        <v>1.16</v>
      </c>
      <c r="F1149" s="1">
        <f>IFERROR(__xludf.DUMMYFUNCTION("""COMPUTED_VALUE"""),4.39)</f>
        <v>4.39</v>
      </c>
      <c r="G1149" s="5">
        <f>IFERROR(__xludf.DUMMYFUNCTION("""COMPUTED_VALUE"""),11941.0)</f>
        <v>11941</v>
      </c>
      <c r="H1149" s="5">
        <f>IFERROR(__xludf.DUMMYFUNCTION("""COMPUTED_VALUE"""),2722.0)</f>
        <v>2722</v>
      </c>
    </row>
    <row r="1150">
      <c r="A1150" s="4">
        <f>IFERROR(__xludf.DUMMYFUNCTION("""COMPUTED_VALUE"""),43518.0)</f>
        <v>43518</v>
      </c>
      <c r="B1150" s="5">
        <f>IFERROR(__xludf.DUMMYFUNCTION("""COMPUTED_VALUE"""),2069.0)</f>
        <v>2069</v>
      </c>
      <c r="C1150" s="6">
        <f>IFERROR(__xludf.DUMMYFUNCTION("""COMPUTED_VALUE"""),0.4853)</f>
        <v>0.4853</v>
      </c>
      <c r="D1150" s="2">
        <f>IFERROR(__xludf.DUMMYFUNCTION("""COMPUTED_VALUE"""),0.0020601851851851853)</f>
        <v>0.002060185185</v>
      </c>
      <c r="E1150" s="1">
        <f>IFERROR(__xludf.DUMMYFUNCTION("""COMPUTED_VALUE"""),1.13)</f>
        <v>1.13</v>
      </c>
      <c r="F1150" s="1">
        <f>IFERROR(__xludf.DUMMYFUNCTION("""COMPUTED_VALUE"""),4.02)</f>
        <v>4.02</v>
      </c>
      <c r="G1150" s="5">
        <f>IFERROR(__xludf.DUMMYFUNCTION("""COMPUTED_VALUE"""),9428.0)</f>
        <v>9428</v>
      </c>
      <c r="H1150" s="5">
        <f>IFERROR(__xludf.DUMMYFUNCTION("""COMPUTED_VALUE"""),2347.0)</f>
        <v>2347</v>
      </c>
    </row>
    <row r="1151">
      <c r="A1151" s="4">
        <f>IFERROR(__xludf.DUMMYFUNCTION("""COMPUTED_VALUE"""),43519.0)</f>
        <v>43519</v>
      </c>
      <c r="B1151" s="5">
        <f>IFERROR(__xludf.DUMMYFUNCTION("""COMPUTED_VALUE"""),1569.0)</f>
        <v>1569</v>
      </c>
      <c r="C1151" s="6">
        <f>IFERROR(__xludf.DUMMYFUNCTION("""COMPUTED_VALUE"""),0.4437)</f>
        <v>0.4437</v>
      </c>
      <c r="D1151" s="2">
        <f>IFERROR(__xludf.DUMMYFUNCTION("""COMPUTED_VALUE"""),0.0019328703703703704)</f>
        <v>0.00193287037</v>
      </c>
      <c r="E1151" s="1">
        <f>IFERROR(__xludf.DUMMYFUNCTION("""COMPUTED_VALUE"""),1.1)</f>
        <v>1.1</v>
      </c>
      <c r="F1151" s="1">
        <f>IFERROR(__xludf.DUMMYFUNCTION("""COMPUTED_VALUE"""),4.37)</f>
        <v>4.37</v>
      </c>
      <c r="G1151" s="5">
        <f>IFERROR(__xludf.DUMMYFUNCTION("""COMPUTED_VALUE"""),7526.0)</f>
        <v>7526</v>
      </c>
      <c r="H1151" s="5">
        <f>IFERROR(__xludf.DUMMYFUNCTION("""COMPUTED_VALUE"""),1722.0)</f>
        <v>1722</v>
      </c>
    </row>
    <row r="1152">
      <c r="A1152" s="4">
        <f>IFERROR(__xludf.DUMMYFUNCTION("""COMPUTED_VALUE"""),43520.0)</f>
        <v>43520</v>
      </c>
      <c r="B1152" s="5">
        <f>IFERROR(__xludf.DUMMYFUNCTION("""COMPUTED_VALUE"""),1500.0)</f>
        <v>1500</v>
      </c>
      <c r="C1152" s="6">
        <f>IFERROR(__xludf.DUMMYFUNCTION("""COMPUTED_VALUE"""),0.4334)</f>
        <v>0.4334</v>
      </c>
      <c r="D1152" s="2">
        <f>IFERROR(__xludf.DUMMYFUNCTION("""COMPUTED_VALUE"""),0.002210648148148148)</f>
        <v>0.002210648148</v>
      </c>
      <c r="E1152" s="1">
        <f>IFERROR(__xludf.DUMMYFUNCTION("""COMPUTED_VALUE"""),1.18)</f>
        <v>1.18</v>
      </c>
      <c r="F1152" s="1">
        <f>IFERROR(__xludf.DUMMYFUNCTION("""COMPUTED_VALUE"""),4.36)</f>
        <v>4.36</v>
      </c>
      <c r="G1152" s="5">
        <f>IFERROR(__xludf.DUMMYFUNCTION("""COMPUTED_VALUE"""),7693.0)</f>
        <v>7693</v>
      </c>
      <c r="H1152" s="5">
        <f>IFERROR(__xludf.DUMMYFUNCTION("""COMPUTED_VALUE"""),1763.0)</f>
        <v>1763</v>
      </c>
    </row>
    <row r="1153">
      <c r="A1153" s="4">
        <f>IFERROR(__xludf.DUMMYFUNCTION("""COMPUTED_VALUE"""),43521.0)</f>
        <v>43521</v>
      </c>
      <c r="B1153" s="5">
        <f>IFERROR(__xludf.DUMMYFUNCTION("""COMPUTED_VALUE"""),2277.0)</f>
        <v>2277</v>
      </c>
      <c r="C1153" s="6">
        <f>IFERROR(__xludf.DUMMYFUNCTION("""COMPUTED_VALUE"""),0.4677)</f>
        <v>0.4677</v>
      </c>
      <c r="D1153" s="2">
        <f>IFERROR(__xludf.DUMMYFUNCTION("""COMPUTED_VALUE"""),0.0022453703703703702)</f>
        <v>0.00224537037</v>
      </c>
      <c r="E1153" s="1">
        <f>IFERROR(__xludf.DUMMYFUNCTION("""COMPUTED_VALUE"""),1.13)</f>
        <v>1.13</v>
      </c>
      <c r="F1153" s="1">
        <f>IFERROR(__xludf.DUMMYFUNCTION("""COMPUTED_VALUE"""),4.14)</f>
        <v>4.14</v>
      </c>
      <c r="G1153" s="5">
        <f>IFERROR(__xludf.DUMMYFUNCTION("""COMPUTED_VALUE"""),10706.0)</f>
        <v>10706</v>
      </c>
      <c r="H1153" s="5">
        <f>IFERROR(__xludf.DUMMYFUNCTION("""COMPUTED_VALUE"""),2583.0)</f>
        <v>2583</v>
      </c>
    </row>
    <row r="1154">
      <c r="A1154" s="4">
        <f>IFERROR(__xludf.DUMMYFUNCTION("""COMPUTED_VALUE"""),43522.0)</f>
        <v>43522</v>
      </c>
      <c r="B1154" s="5">
        <f>IFERROR(__xludf.DUMMYFUNCTION("""COMPUTED_VALUE"""),2402.0)</f>
        <v>2402</v>
      </c>
      <c r="C1154" s="6">
        <f>IFERROR(__xludf.DUMMYFUNCTION("""COMPUTED_VALUE"""),0.4011)</f>
        <v>0.4011</v>
      </c>
      <c r="D1154" s="2">
        <f>IFERROR(__xludf.DUMMYFUNCTION("""COMPUTED_VALUE"""),0.0021643518518518518)</f>
        <v>0.002164351852</v>
      </c>
      <c r="E1154" s="1">
        <f>IFERROR(__xludf.DUMMYFUNCTION("""COMPUTED_VALUE"""),1.14)</f>
        <v>1.14</v>
      </c>
      <c r="F1154" s="1">
        <f>IFERROR(__xludf.DUMMYFUNCTION("""COMPUTED_VALUE"""),4.29)</f>
        <v>4.29</v>
      </c>
      <c r="G1154" s="5">
        <f>IFERROR(__xludf.DUMMYFUNCTION("""COMPUTED_VALUE"""),11733.0)</f>
        <v>11733</v>
      </c>
      <c r="H1154" s="5">
        <f>IFERROR(__xludf.DUMMYFUNCTION("""COMPUTED_VALUE"""),2735.0)</f>
        <v>2735</v>
      </c>
    </row>
    <row r="1155">
      <c r="A1155" s="4">
        <f>IFERROR(__xludf.DUMMYFUNCTION("""COMPUTED_VALUE"""),43523.0)</f>
        <v>43523</v>
      </c>
      <c r="B1155" s="5">
        <f>IFERROR(__xludf.DUMMYFUNCTION("""COMPUTED_VALUE"""),2194.0)</f>
        <v>2194</v>
      </c>
      <c r="C1155" s="6">
        <f>IFERROR(__xludf.DUMMYFUNCTION("""COMPUTED_VALUE"""),0.4431)</f>
        <v>0.4431</v>
      </c>
      <c r="D1155" s="2">
        <f>IFERROR(__xludf.DUMMYFUNCTION("""COMPUTED_VALUE"""),0.0015393518518518519)</f>
        <v>0.001539351852</v>
      </c>
      <c r="E1155" s="1">
        <f>IFERROR(__xludf.DUMMYFUNCTION("""COMPUTED_VALUE"""),1.11)</f>
        <v>1.11</v>
      </c>
      <c r="F1155" s="1">
        <f>IFERROR(__xludf.DUMMYFUNCTION("""COMPUTED_VALUE"""),3.92)</f>
        <v>3.92</v>
      </c>
      <c r="G1155" s="5">
        <f>IFERROR(__xludf.DUMMYFUNCTION("""COMPUTED_VALUE"""),9581.0)</f>
        <v>9581</v>
      </c>
      <c r="H1155" s="5">
        <f>IFERROR(__xludf.DUMMYFUNCTION("""COMPUTED_VALUE"""),2444.0)</f>
        <v>2444</v>
      </c>
    </row>
    <row r="1156">
      <c r="A1156" s="4">
        <f>IFERROR(__xludf.DUMMYFUNCTION("""COMPUTED_VALUE"""),43524.0)</f>
        <v>43524</v>
      </c>
      <c r="B1156" s="5">
        <f>IFERROR(__xludf.DUMMYFUNCTION("""COMPUTED_VALUE"""),2041.0)</f>
        <v>2041</v>
      </c>
      <c r="C1156" s="6">
        <f>IFERROR(__xludf.DUMMYFUNCTION("""COMPUTED_VALUE"""),0.4702)</f>
        <v>0.4702</v>
      </c>
      <c r="D1156" s="2">
        <f>IFERROR(__xludf.DUMMYFUNCTION("""COMPUTED_VALUE"""),0.001979166666666667)</f>
        <v>0.001979166667</v>
      </c>
      <c r="E1156" s="1">
        <f>IFERROR(__xludf.DUMMYFUNCTION("""COMPUTED_VALUE"""),1.14)</f>
        <v>1.14</v>
      </c>
      <c r="F1156" s="1">
        <f>IFERROR(__xludf.DUMMYFUNCTION("""COMPUTED_VALUE"""),4.02)</f>
        <v>4.02</v>
      </c>
      <c r="G1156" s="5">
        <f>IFERROR(__xludf.DUMMYFUNCTION("""COMPUTED_VALUE"""),9373.0)</f>
        <v>9373</v>
      </c>
      <c r="H1156" s="5">
        <f>IFERROR(__xludf.DUMMYFUNCTION("""COMPUTED_VALUE"""),2333.0)</f>
        <v>2333</v>
      </c>
    </row>
    <row r="1157">
      <c r="A1157" s="4">
        <f>IFERROR(__xludf.DUMMYFUNCTION("""COMPUTED_VALUE"""),43525.0)</f>
        <v>43525</v>
      </c>
      <c r="B1157" s="5">
        <f>IFERROR(__xludf.DUMMYFUNCTION("""COMPUTED_VALUE"""),1861.0)</f>
        <v>1861</v>
      </c>
      <c r="C1157" s="6">
        <f>IFERROR(__xludf.DUMMYFUNCTION("""COMPUTED_VALUE"""),0.4171)</f>
        <v>0.4171</v>
      </c>
      <c r="D1157" s="2">
        <f>IFERROR(__xludf.DUMMYFUNCTION("""COMPUTED_VALUE"""),0.0017592592592592592)</f>
        <v>0.001759259259</v>
      </c>
      <c r="E1157" s="1">
        <f>IFERROR(__xludf.DUMMYFUNCTION("""COMPUTED_VALUE"""),1.22)</f>
        <v>1.22</v>
      </c>
      <c r="F1157" s="1">
        <f>IFERROR(__xludf.DUMMYFUNCTION("""COMPUTED_VALUE"""),3.87)</f>
        <v>3.87</v>
      </c>
      <c r="G1157" s="5">
        <f>IFERROR(__xludf.DUMMYFUNCTION("""COMPUTED_VALUE"""),8762.0)</f>
        <v>8762</v>
      </c>
      <c r="H1157" s="5">
        <f>IFERROR(__xludf.DUMMYFUNCTION("""COMPUTED_VALUE"""),2263.0)</f>
        <v>2263</v>
      </c>
    </row>
    <row r="1158">
      <c r="A1158" s="4">
        <f>IFERROR(__xludf.DUMMYFUNCTION("""COMPUTED_VALUE"""),43526.0)</f>
        <v>43526</v>
      </c>
      <c r="B1158" s="5">
        <f>IFERROR(__xludf.DUMMYFUNCTION("""COMPUTED_VALUE"""),1347.0)</f>
        <v>1347</v>
      </c>
      <c r="C1158" s="6">
        <f>IFERROR(__xludf.DUMMYFUNCTION("""COMPUTED_VALUE"""),0.3444)</f>
        <v>0.3444</v>
      </c>
      <c r="D1158" s="2">
        <f>IFERROR(__xludf.DUMMYFUNCTION("""COMPUTED_VALUE"""),0.002638888888888889)</f>
        <v>0.002638888889</v>
      </c>
      <c r="E1158" s="1">
        <f>IFERROR(__xludf.DUMMYFUNCTION("""COMPUTED_VALUE"""),1.23)</f>
        <v>1.23</v>
      </c>
      <c r="F1158" s="1">
        <f>IFERROR(__xludf.DUMMYFUNCTION("""COMPUTED_VALUE"""),5.1)</f>
        <v>5.1</v>
      </c>
      <c r="G1158" s="5">
        <f>IFERROR(__xludf.DUMMYFUNCTION("""COMPUTED_VALUE"""),8428.0)</f>
        <v>8428</v>
      </c>
      <c r="H1158" s="5">
        <f>IFERROR(__xludf.DUMMYFUNCTION("""COMPUTED_VALUE"""),1652.0)</f>
        <v>1652</v>
      </c>
    </row>
    <row r="1159">
      <c r="A1159" s="4">
        <f>IFERROR(__xludf.DUMMYFUNCTION("""COMPUTED_VALUE"""),43527.0)</f>
        <v>43527</v>
      </c>
      <c r="B1159" s="5">
        <f>IFERROR(__xludf.DUMMYFUNCTION("""COMPUTED_VALUE"""),1736.0)</f>
        <v>1736</v>
      </c>
      <c r="C1159" s="6">
        <f>IFERROR(__xludf.DUMMYFUNCTION("""COMPUTED_VALUE"""),0.387)</f>
        <v>0.387</v>
      </c>
      <c r="D1159" s="2">
        <f>IFERROR(__xludf.DUMMYFUNCTION("""COMPUTED_VALUE"""),0.0018981481481481482)</f>
        <v>0.001898148148</v>
      </c>
      <c r="E1159" s="1">
        <f>IFERROR(__xludf.DUMMYFUNCTION("""COMPUTED_VALUE"""),1.1)</f>
        <v>1.1</v>
      </c>
      <c r="F1159" s="1">
        <f>IFERROR(__xludf.DUMMYFUNCTION("""COMPUTED_VALUE"""),4.25)</f>
        <v>4.25</v>
      </c>
      <c r="G1159" s="5">
        <f>IFERROR(__xludf.DUMMYFUNCTION("""COMPUTED_VALUE"""),8081.0)</f>
        <v>8081</v>
      </c>
      <c r="H1159" s="5">
        <f>IFERROR(__xludf.DUMMYFUNCTION("""COMPUTED_VALUE"""),1902.0)</f>
        <v>1902</v>
      </c>
    </row>
    <row r="1160">
      <c r="A1160" s="4">
        <f>IFERROR(__xludf.DUMMYFUNCTION("""COMPUTED_VALUE"""),43528.0)</f>
        <v>43528</v>
      </c>
      <c r="B1160" s="5">
        <f>IFERROR(__xludf.DUMMYFUNCTION("""COMPUTED_VALUE"""),2430.0)</f>
        <v>2430</v>
      </c>
      <c r="C1160" s="6">
        <f>IFERROR(__xludf.DUMMYFUNCTION("""COMPUTED_VALUE"""),0.4051)</f>
        <v>0.4051</v>
      </c>
      <c r="D1160" s="2">
        <f>IFERROR(__xludf.DUMMYFUNCTION("""COMPUTED_VALUE"""),0.001851851851851852)</f>
        <v>0.001851851852</v>
      </c>
      <c r="E1160" s="1">
        <f>IFERROR(__xludf.DUMMYFUNCTION("""COMPUTED_VALUE"""),1.11)</f>
        <v>1.11</v>
      </c>
      <c r="F1160" s="1">
        <f>IFERROR(__xludf.DUMMYFUNCTION("""COMPUTED_VALUE"""),4.79)</f>
        <v>4.79</v>
      </c>
      <c r="G1160" s="5">
        <f>IFERROR(__xludf.DUMMYFUNCTION("""COMPUTED_VALUE"""),12969.0)</f>
        <v>12969</v>
      </c>
      <c r="H1160" s="5">
        <f>IFERROR(__xludf.DUMMYFUNCTION("""COMPUTED_VALUE"""),2708.0)</f>
        <v>2708</v>
      </c>
    </row>
    <row r="1161">
      <c r="A1161" s="4">
        <f>IFERROR(__xludf.DUMMYFUNCTION("""COMPUTED_VALUE"""),43529.0)</f>
        <v>43529</v>
      </c>
      <c r="B1161" s="5">
        <f>IFERROR(__xludf.DUMMYFUNCTION("""COMPUTED_VALUE"""),2249.0)</f>
        <v>2249</v>
      </c>
      <c r="C1161" s="6">
        <f>IFERROR(__xludf.DUMMYFUNCTION("""COMPUTED_VALUE"""),0.4278)</f>
        <v>0.4278</v>
      </c>
      <c r="D1161" s="2">
        <f>IFERROR(__xludf.DUMMYFUNCTION("""COMPUTED_VALUE"""),0.0018171296296296297)</f>
        <v>0.00181712963</v>
      </c>
      <c r="E1161" s="1">
        <f>IFERROR(__xludf.DUMMYFUNCTION("""COMPUTED_VALUE"""),1.11)</f>
        <v>1.11</v>
      </c>
      <c r="F1161" s="1">
        <f>IFERROR(__xludf.DUMMYFUNCTION("""COMPUTED_VALUE"""),4.27)</f>
        <v>4.27</v>
      </c>
      <c r="G1161" s="5">
        <f>IFERROR(__xludf.DUMMYFUNCTION("""COMPUTED_VALUE"""),10664.0)</f>
        <v>10664</v>
      </c>
      <c r="H1161" s="5">
        <f>IFERROR(__xludf.DUMMYFUNCTION("""COMPUTED_VALUE"""),2499.0)</f>
        <v>2499</v>
      </c>
    </row>
    <row r="1162">
      <c r="A1162" s="4">
        <f>IFERROR(__xludf.DUMMYFUNCTION("""COMPUTED_VALUE"""),43530.0)</f>
        <v>43530</v>
      </c>
      <c r="B1162" s="5">
        <f>IFERROR(__xludf.DUMMYFUNCTION("""COMPUTED_VALUE"""),2291.0)</f>
        <v>2291</v>
      </c>
      <c r="C1162" s="6">
        <f>IFERROR(__xludf.DUMMYFUNCTION("""COMPUTED_VALUE"""),0.3563)</f>
        <v>0.3563</v>
      </c>
      <c r="D1162" s="2">
        <f>IFERROR(__xludf.DUMMYFUNCTION("""COMPUTED_VALUE"""),0.002511574074074074)</f>
        <v>0.002511574074</v>
      </c>
      <c r="E1162" s="1">
        <f>IFERROR(__xludf.DUMMYFUNCTION("""COMPUTED_VALUE"""),1.14)</f>
        <v>1.14</v>
      </c>
      <c r="F1162" s="1">
        <f>IFERROR(__xludf.DUMMYFUNCTION("""COMPUTED_VALUE"""),5.89)</f>
        <v>5.89</v>
      </c>
      <c r="G1162" s="5">
        <f>IFERROR(__xludf.DUMMYFUNCTION("""COMPUTED_VALUE"""),15371.0)</f>
        <v>15371</v>
      </c>
      <c r="H1162" s="5">
        <f>IFERROR(__xludf.DUMMYFUNCTION("""COMPUTED_VALUE"""),2610.0)</f>
        <v>2610</v>
      </c>
    </row>
    <row r="1163">
      <c r="A1163" s="4">
        <f>IFERROR(__xludf.DUMMYFUNCTION("""COMPUTED_VALUE"""),43531.0)</f>
        <v>43531</v>
      </c>
      <c r="B1163" s="5">
        <f>IFERROR(__xludf.DUMMYFUNCTION("""COMPUTED_VALUE"""),2374.0)</f>
        <v>2374</v>
      </c>
      <c r="C1163" s="6">
        <f>IFERROR(__xludf.DUMMYFUNCTION("""COMPUTED_VALUE"""),0.3859)</f>
        <v>0.3859</v>
      </c>
      <c r="D1163" s="2">
        <f>IFERROR(__xludf.DUMMYFUNCTION("""COMPUTED_VALUE"""),0.0020833333333333333)</f>
        <v>0.002083333333</v>
      </c>
      <c r="E1163" s="1">
        <f>IFERROR(__xludf.DUMMYFUNCTION("""COMPUTED_VALUE"""),1.08)</f>
        <v>1.08</v>
      </c>
      <c r="F1163" s="1">
        <f>IFERROR(__xludf.DUMMYFUNCTION("""COMPUTED_VALUE"""),4.51)</f>
        <v>4.51</v>
      </c>
      <c r="G1163" s="5">
        <f>IFERROR(__xludf.DUMMYFUNCTION("""COMPUTED_VALUE"""),11525.0)</f>
        <v>11525</v>
      </c>
      <c r="H1163" s="5">
        <f>IFERROR(__xludf.DUMMYFUNCTION("""COMPUTED_VALUE"""),2555.0)</f>
        <v>2555</v>
      </c>
    </row>
    <row r="1164">
      <c r="A1164" s="4">
        <f>IFERROR(__xludf.DUMMYFUNCTION("""COMPUTED_VALUE"""),43532.0)</f>
        <v>43532</v>
      </c>
      <c r="B1164" s="5">
        <f>IFERROR(__xludf.DUMMYFUNCTION("""COMPUTED_VALUE"""),2069.0)</f>
        <v>2069</v>
      </c>
      <c r="C1164" s="6">
        <f>IFERROR(__xludf.DUMMYFUNCTION("""COMPUTED_VALUE"""),0.4406)</f>
        <v>0.4406</v>
      </c>
      <c r="D1164" s="2">
        <f>IFERROR(__xludf.DUMMYFUNCTION("""COMPUTED_VALUE"""),0.0021643518518518518)</f>
        <v>0.002164351852</v>
      </c>
      <c r="E1164" s="1">
        <f>IFERROR(__xludf.DUMMYFUNCTION("""COMPUTED_VALUE"""),1.13)</f>
        <v>1.13</v>
      </c>
      <c r="F1164" s="1">
        <f>IFERROR(__xludf.DUMMYFUNCTION("""COMPUTED_VALUE"""),4.71)</f>
        <v>4.71</v>
      </c>
      <c r="G1164" s="5">
        <f>IFERROR(__xludf.DUMMYFUNCTION("""COMPUTED_VALUE"""),10983.0)</f>
        <v>10983</v>
      </c>
      <c r="H1164" s="5">
        <f>IFERROR(__xludf.DUMMYFUNCTION("""COMPUTED_VALUE"""),2333.0)</f>
        <v>2333</v>
      </c>
    </row>
    <row r="1165">
      <c r="A1165" s="4">
        <f>IFERROR(__xludf.DUMMYFUNCTION("""COMPUTED_VALUE"""),43533.0)</f>
        <v>43533</v>
      </c>
      <c r="B1165" s="5">
        <f>IFERROR(__xludf.DUMMYFUNCTION("""COMPUTED_VALUE"""),1458.0)</f>
        <v>1458</v>
      </c>
      <c r="C1165" s="6">
        <f>IFERROR(__xludf.DUMMYFUNCTION("""COMPUTED_VALUE"""),0.5208)</f>
        <v>0.5208</v>
      </c>
      <c r="D1165" s="2">
        <f>IFERROR(__xludf.DUMMYFUNCTION("""COMPUTED_VALUE"""),0.0014930555555555556)</f>
        <v>0.001493055556</v>
      </c>
      <c r="E1165" s="1">
        <f>IFERROR(__xludf.DUMMYFUNCTION("""COMPUTED_VALUE"""),1.15)</f>
        <v>1.15</v>
      </c>
      <c r="F1165" s="1">
        <f>IFERROR(__xludf.DUMMYFUNCTION("""COMPUTED_VALUE"""),3.47)</f>
        <v>3.47</v>
      </c>
      <c r="G1165" s="5">
        <f>IFERROR(__xludf.DUMMYFUNCTION("""COMPUTED_VALUE"""),5832.0)</f>
        <v>5832</v>
      </c>
      <c r="H1165" s="5">
        <f>IFERROR(__xludf.DUMMYFUNCTION("""COMPUTED_VALUE"""),1680.0)</f>
        <v>1680</v>
      </c>
    </row>
    <row r="1166">
      <c r="A1166" s="4">
        <f>IFERROR(__xludf.DUMMYFUNCTION("""COMPUTED_VALUE"""),43534.0)</f>
        <v>43534</v>
      </c>
      <c r="B1166" s="5">
        <f>IFERROR(__xludf.DUMMYFUNCTION("""COMPUTED_VALUE"""),1458.0)</f>
        <v>1458</v>
      </c>
      <c r="C1166" s="6">
        <f>IFERROR(__xludf.DUMMYFUNCTION("""COMPUTED_VALUE"""),0.4482)</f>
        <v>0.4482</v>
      </c>
      <c r="D1166" s="2">
        <f>IFERROR(__xludf.DUMMYFUNCTION("""COMPUTED_VALUE"""),0.0011689814814814816)</f>
        <v>0.001168981481</v>
      </c>
      <c r="E1166" s="1">
        <f>IFERROR(__xludf.DUMMYFUNCTION("""COMPUTED_VALUE"""),1.1)</f>
        <v>1.1</v>
      </c>
      <c r="F1166" s="1">
        <f>IFERROR(__xludf.DUMMYFUNCTION("""COMPUTED_VALUE"""),3.57)</f>
        <v>3.57</v>
      </c>
      <c r="G1166" s="5">
        <f>IFERROR(__xludf.DUMMYFUNCTION("""COMPUTED_VALUE"""),5749.0)</f>
        <v>5749</v>
      </c>
      <c r="H1166" s="5">
        <f>IFERROR(__xludf.DUMMYFUNCTION("""COMPUTED_VALUE"""),1611.0)</f>
        <v>1611</v>
      </c>
    </row>
    <row r="1167">
      <c r="A1167" s="4">
        <f>IFERROR(__xludf.DUMMYFUNCTION("""COMPUTED_VALUE"""),43535.0)</f>
        <v>43535</v>
      </c>
      <c r="B1167" s="5">
        <f>IFERROR(__xludf.DUMMYFUNCTION("""COMPUTED_VALUE"""),2555.0)</f>
        <v>2555</v>
      </c>
      <c r="C1167" s="6">
        <f>IFERROR(__xludf.DUMMYFUNCTION("""COMPUTED_VALUE"""),0.4292)</f>
        <v>0.4292</v>
      </c>
      <c r="D1167" s="2">
        <f>IFERROR(__xludf.DUMMYFUNCTION("""COMPUTED_VALUE"""),0.0025694444444444445)</f>
        <v>0.002569444444</v>
      </c>
      <c r="E1167" s="1">
        <f>IFERROR(__xludf.DUMMYFUNCTION("""COMPUTED_VALUE"""),1.08)</f>
        <v>1.08</v>
      </c>
      <c r="F1167" s="1">
        <f>IFERROR(__xludf.DUMMYFUNCTION("""COMPUTED_VALUE"""),4.36)</f>
        <v>4.36</v>
      </c>
      <c r="G1167" s="5">
        <f>IFERROR(__xludf.DUMMYFUNCTION("""COMPUTED_VALUE"""),11997.0)</f>
        <v>11997</v>
      </c>
      <c r="H1167" s="5">
        <f>IFERROR(__xludf.DUMMYFUNCTION("""COMPUTED_VALUE"""),2749.0)</f>
        <v>2749</v>
      </c>
    </row>
    <row r="1168">
      <c r="A1168" s="4">
        <f>IFERROR(__xludf.DUMMYFUNCTION("""COMPUTED_VALUE"""),43536.0)</f>
        <v>43536</v>
      </c>
      <c r="B1168" s="5">
        <f>IFERROR(__xludf.DUMMYFUNCTION("""COMPUTED_VALUE"""),2402.0)</f>
        <v>2402</v>
      </c>
      <c r="C1168" s="6">
        <f>IFERROR(__xludf.DUMMYFUNCTION("""COMPUTED_VALUE"""),0.5106)</f>
        <v>0.5106</v>
      </c>
      <c r="D1168" s="2">
        <f>IFERROR(__xludf.DUMMYFUNCTION("""COMPUTED_VALUE"""),0.0018171296296296297)</f>
        <v>0.00181712963</v>
      </c>
      <c r="E1168" s="1">
        <f>IFERROR(__xludf.DUMMYFUNCTION("""COMPUTED_VALUE"""),1.1)</f>
        <v>1.1</v>
      </c>
      <c r="F1168" s="1">
        <f>IFERROR(__xludf.DUMMYFUNCTION("""COMPUTED_VALUE"""),4.13)</f>
        <v>4.13</v>
      </c>
      <c r="G1168" s="5">
        <f>IFERROR(__xludf.DUMMYFUNCTION("""COMPUTED_VALUE"""),10886.0)</f>
        <v>10886</v>
      </c>
      <c r="H1168" s="5">
        <f>IFERROR(__xludf.DUMMYFUNCTION("""COMPUTED_VALUE"""),2638.0)</f>
        <v>2638</v>
      </c>
    </row>
    <row r="1169">
      <c r="A1169" s="4">
        <f>IFERROR(__xludf.DUMMYFUNCTION("""COMPUTED_VALUE"""),43537.0)</f>
        <v>43537</v>
      </c>
      <c r="B1169" s="5">
        <f>IFERROR(__xludf.DUMMYFUNCTION("""COMPUTED_VALUE"""),2541.0)</f>
        <v>2541</v>
      </c>
      <c r="C1169" s="6">
        <f>IFERROR(__xludf.DUMMYFUNCTION("""COMPUTED_VALUE"""),0.453)</f>
        <v>0.453</v>
      </c>
      <c r="D1169" s="2">
        <f>IFERROR(__xludf.DUMMYFUNCTION("""COMPUTED_VALUE"""),0.0014467592592592592)</f>
        <v>0.001446759259</v>
      </c>
      <c r="E1169" s="1">
        <f>IFERROR(__xludf.DUMMYFUNCTION("""COMPUTED_VALUE"""),1.11)</f>
        <v>1.11</v>
      </c>
      <c r="F1169" s="1">
        <f>IFERROR(__xludf.DUMMYFUNCTION("""COMPUTED_VALUE"""),4.01)</f>
        <v>4.01</v>
      </c>
      <c r="G1169" s="5">
        <f>IFERROR(__xludf.DUMMYFUNCTION("""COMPUTED_VALUE"""),11317.0)</f>
        <v>11317</v>
      </c>
      <c r="H1169" s="5">
        <f>IFERROR(__xludf.DUMMYFUNCTION("""COMPUTED_VALUE"""),2819.0)</f>
        <v>2819</v>
      </c>
    </row>
    <row r="1170">
      <c r="A1170" s="4">
        <f>IFERROR(__xludf.DUMMYFUNCTION("""COMPUTED_VALUE"""),43538.0)</f>
        <v>43538</v>
      </c>
      <c r="B1170" s="5">
        <f>IFERROR(__xludf.DUMMYFUNCTION("""COMPUTED_VALUE"""),2374.0)</f>
        <v>2374</v>
      </c>
      <c r="C1170" s="6">
        <f>IFERROR(__xludf.DUMMYFUNCTION("""COMPUTED_VALUE"""),0.4093)</f>
        <v>0.4093</v>
      </c>
      <c r="D1170" s="2">
        <f>IFERROR(__xludf.DUMMYFUNCTION("""COMPUTED_VALUE"""),0.0024652777777777776)</f>
        <v>0.002465277778</v>
      </c>
      <c r="E1170" s="1">
        <f>IFERROR(__xludf.DUMMYFUNCTION("""COMPUTED_VALUE"""),1.13)</f>
        <v>1.13</v>
      </c>
      <c r="F1170" s="1">
        <f>IFERROR(__xludf.DUMMYFUNCTION("""COMPUTED_VALUE"""),4.58)</f>
        <v>4.58</v>
      </c>
      <c r="G1170" s="5">
        <f>IFERROR(__xludf.DUMMYFUNCTION("""COMPUTED_VALUE"""),12261.0)</f>
        <v>12261</v>
      </c>
      <c r="H1170" s="5">
        <f>IFERROR(__xludf.DUMMYFUNCTION("""COMPUTED_VALUE"""),2680.0)</f>
        <v>2680</v>
      </c>
    </row>
    <row r="1171">
      <c r="A1171" s="4">
        <f>IFERROR(__xludf.DUMMYFUNCTION("""COMPUTED_VALUE"""),43539.0)</f>
        <v>43539</v>
      </c>
      <c r="B1171" s="5">
        <f>IFERROR(__xludf.DUMMYFUNCTION("""COMPUTED_VALUE"""),2097.0)</f>
        <v>2097</v>
      </c>
      <c r="C1171" s="6">
        <f>IFERROR(__xludf.DUMMYFUNCTION("""COMPUTED_VALUE"""),0.439)</f>
        <v>0.439</v>
      </c>
      <c r="D1171" s="2">
        <f>IFERROR(__xludf.DUMMYFUNCTION("""COMPUTED_VALUE"""),0.002037037037037037)</f>
        <v>0.002037037037</v>
      </c>
      <c r="E1171" s="1">
        <f>IFERROR(__xludf.DUMMYFUNCTION("""COMPUTED_VALUE"""),1.19)</f>
        <v>1.19</v>
      </c>
      <c r="F1171" s="1">
        <f>IFERROR(__xludf.DUMMYFUNCTION("""COMPUTED_VALUE"""),4.87)</f>
        <v>4.87</v>
      </c>
      <c r="G1171" s="5">
        <f>IFERROR(__xludf.DUMMYFUNCTION("""COMPUTED_VALUE"""),12164.0)</f>
        <v>12164</v>
      </c>
      <c r="H1171" s="5">
        <f>IFERROR(__xludf.DUMMYFUNCTION("""COMPUTED_VALUE"""),2499.0)</f>
        <v>2499</v>
      </c>
    </row>
    <row r="1172">
      <c r="A1172" s="4">
        <f>IFERROR(__xludf.DUMMYFUNCTION("""COMPUTED_VALUE"""),43540.0)</f>
        <v>43540</v>
      </c>
      <c r="B1172" s="5">
        <f>IFERROR(__xludf.DUMMYFUNCTION("""COMPUTED_VALUE"""),1583.0)</f>
        <v>1583</v>
      </c>
      <c r="C1172" s="6">
        <f>IFERROR(__xludf.DUMMYFUNCTION("""COMPUTED_VALUE"""),0.4283)</f>
        <v>0.4283</v>
      </c>
      <c r="D1172" s="2">
        <f>IFERROR(__xludf.DUMMYFUNCTION("""COMPUTED_VALUE"""),0.0020949074074074073)</f>
        <v>0.002094907407</v>
      </c>
      <c r="E1172" s="1">
        <f>IFERROR(__xludf.DUMMYFUNCTION("""COMPUTED_VALUE"""),1.17)</f>
        <v>1.17</v>
      </c>
      <c r="F1172" s="1">
        <f>IFERROR(__xludf.DUMMYFUNCTION("""COMPUTED_VALUE"""),4.33)</f>
        <v>4.33</v>
      </c>
      <c r="G1172" s="5">
        <f>IFERROR(__xludf.DUMMYFUNCTION("""COMPUTED_VALUE"""),7998.0)</f>
        <v>7998</v>
      </c>
      <c r="H1172" s="5">
        <f>IFERROR(__xludf.DUMMYFUNCTION("""COMPUTED_VALUE"""),1847.0)</f>
        <v>1847</v>
      </c>
    </row>
    <row r="1173">
      <c r="A1173" s="4">
        <f>IFERROR(__xludf.DUMMYFUNCTION("""COMPUTED_VALUE"""),43541.0)</f>
        <v>43541</v>
      </c>
      <c r="B1173" s="5">
        <f>IFERROR(__xludf.DUMMYFUNCTION("""COMPUTED_VALUE"""),1389.0)</f>
        <v>1389</v>
      </c>
      <c r="C1173" s="6">
        <f>IFERROR(__xludf.DUMMYFUNCTION("""COMPUTED_VALUE"""),0.4116)</f>
        <v>0.4116</v>
      </c>
      <c r="D1173" s="2">
        <f>IFERROR(__xludf.DUMMYFUNCTION("""COMPUTED_VALUE"""),0.0023263888888888887)</f>
        <v>0.002326388889</v>
      </c>
      <c r="E1173" s="1">
        <f>IFERROR(__xludf.DUMMYFUNCTION("""COMPUTED_VALUE"""),1.19)</f>
        <v>1.19</v>
      </c>
      <c r="F1173" s="1">
        <f>IFERROR(__xludf.DUMMYFUNCTION("""COMPUTED_VALUE"""),6.03)</f>
        <v>6.03</v>
      </c>
      <c r="G1173" s="5">
        <f>IFERROR(__xludf.DUMMYFUNCTION("""COMPUTED_VALUE"""),9956.0)</f>
        <v>9956</v>
      </c>
      <c r="H1173" s="5">
        <f>IFERROR(__xludf.DUMMYFUNCTION("""COMPUTED_VALUE"""),1652.0)</f>
        <v>1652</v>
      </c>
    </row>
    <row r="1174">
      <c r="A1174" s="4">
        <f>IFERROR(__xludf.DUMMYFUNCTION("""COMPUTED_VALUE"""),43542.0)</f>
        <v>43542</v>
      </c>
      <c r="B1174" s="5">
        <f>IFERROR(__xludf.DUMMYFUNCTION("""COMPUTED_VALUE"""),2333.0)</f>
        <v>2333</v>
      </c>
      <c r="C1174" s="6">
        <f>IFERROR(__xludf.DUMMYFUNCTION("""COMPUTED_VALUE"""),0.4284)</f>
        <v>0.4284</v>
      </c>
      <c r="D1174" s="2">
        <f>IFERROR(__xludf.DUMMYFUNCTION("""COMPUTED_VALUE"""),0.001875)</f>
        <v>0.001875</v>
      </c>
      <c r="E1174" s="1">
        <f>IFERROR(__xludf.DUMMYFUNCTION("""COMPUTED_VALUE"""),1.17)</f>
        <v>1.17</v>
      </c>
      <c r="F1174" s="1">
        <f>IFERROR(__xludf.DUMMYFUNCTION("""COMPUTED_VALUE"""),4.55)</f>
        <v>4.55</v>
      </c>
      <c r="G1174" s="5">
        <f>IFERROR(__xludf.DUMMYFUNCTION("""COMPUTED_VALUE"""),12372.0)</f>
        <v>12372</v>
      </c>
      <c r="H1174" s="5">
        <f>IFERROR(__xludf.DUMMYFUNCTION("""COMPUTED_VALUE"""),2722.0)</f>
        <v>2722</v>
      </c>
    </row>
    <row r="1175">
      <c r="A1175" s="4">
        <f>IFERROR(__xludf.DUMMYFUNCTION("""COMPUTED_VALUE"""),43543.0)</f>
        <v>43543</v>
      </c>
      <c r="B1175" s="5">
        <f>IFERROR(__xludf.DUMMYFUNCTION("""COMPUTED_VALUE"""),2541.0)</f>
        <v>2541</v>
      </c>
      <c r="C1175" s="6">
        <f>IFERROR(__xludf.DUMMYFUNCTION("""COMPUTED_VALUE"""),0.4398)</f>
        <v>0.4398</v>
      </c>
      <c r="D1175" s="2">
        <f>IFERROR(__xludf.DUMMYFUNCTION("""COMPUTED_VALUE"""),0.0028472222222222223)</f>
        <v>0.002847222222</v>
      </c>
      <c r="E1175" s="1">
        <f>IFERROR(__xludf.DUMMYFUNCTION("""COMPUTED_VALUE"""),1.13)</f>
        <v>1.13</v>
      </c>
      <c r="F1175" s="1">
        <f>IFERROR(__xludf.DUMMYFUNCTION("""COMPUTED_VALUE"""),4.97)</f>
        <v>4.97</v>
      </c>
      <c r="G1175" s="5">
        <f>IFERROR(__xludf.DUMMYFUNCTION("""COMPUTED_VALUE"""),14288.0)</f>
        <v>14288</v>
      </c>
      <c r="H1175" s="5">
        <f>IFERROR(__xludf.DUMMYFUNCTION("""COMPUTED_VALUE"""),2874.0)</f>
        <v>2874</v>
      </c>
    </row>
    <row r="1176">
      <c r="A1176" s="4">
        <f>IFERROR(__xludf.DUMMYFUNCTION("""COMPUTED_VALUE"""),43544.0)</f>
        <v>43544</v>
      </c>
      <c r="B1176" s="5">
        <f>IFERROR(__xludf.DUMMYFUNCTION("""COMPUTED_VALUE"""),2430.0)</f>
        <v>2430</v>
      </c>
      <c r="C1176" s="6">
        <f>IFERROR(__xludf.DUMMYFUNCTION("""COMPUTED_VALUE"""),0.4276)</f>
        <v>0.4276</v>
      </c>
      <c r="D1176" s="2">
        <f>IFERROR(__xludf.DUMMYFUNCTION("""COMPUTED_VALUE"""),0.0017592592592592592)</f>
        <v>0.001759259259</v>
      </c>
      <c r="E1176" s="1">
        <f>IFERROR(__xludf.DUMMYFUNCTION("""COMPUTED_VALUE"""),1.11)</f>
        <v>1.11</v>
      </c>
      <c r="F1176" s="1">
        <f>IFERROR(__xludf.DUMMYFUNCTION("""COMPUTED_VALUE"""),4.79)</f>
        <v>4.79</v>
      </c>
      <c r="G1176" s="5">
        <f>IFERROR(__xludf.DUMMYFUNCTION("""COMPUTED_VALUE"""),12900.0)</f>
        <v>12900</v>
      </c>
      <c r="H1176" s="5">
        <f>IFERROR(__xludf.DUMMYFUNCTION("""COMPUTED_VALUE"""),2694.0)</f>
        <v>2694</v>
      </c>
    </row>
    <row r="1177">
      <c r="A1177" s="4">
        <f>IFERROR(__xludf.DUMMYFUNCTION("""COMPUTED_VALUE"""),43545.0)</f>
        <v>43545</v>
      </c>
      <c r="B1177" s="5">
        <f>IFERROR(__xludf.DUMMYFUNCTION("""COMPUTED_VALUE"""),2430.0)</f>
        <v>2430</v>
      </c>
      <c r="C1177" s="6">
        <f>IFERROR(__xludf.DUMMYFUNCTION("""COMPUTED_VALUE"""),0.4011)</f>
        <v>0.4011</v>
      </c>
      <c r="D1177" s="2">
        <f>IFERROR(__xludf.DUMMYFUNCTION("""COMPUTED_VALUE"""),0.002013888888888889)</f>
        <v>0.002013888889</v>
      </c>
      <c r="E1177" s="1">
        <f>IFERROR(__xludf.DUMMYFUNCTION("""COMPUTED_VALUE"""),1.13)</f>
        <v>1.13</v>
      </c>
      <c r="F1177" s="1">
        <f>IFERROR(__xludf.DUMMYFUNCTION("""COMPUTED_VALUE"""),4.1)</f>
        <v>4.1</v>
      </c>
      <c r="G1177" s="5">
        <f>IFERROR(__xludf.DUMMYFUNCTION("""COMPUTED_VALUE"""),11219.0)</f>
        <v>11219</v>
      </c>
      <c r="H1177" s="5">
        <f>IFERROR(__xludf.DUMMYFUNCTION("""COMPUTED_VALUE"""),2735.0)</f>
        <v>2735</v>
      </c>
    </row>
    <row r="1178">
      <c r="A1178" s="4">
        <f>IFERROR(__xludf.DUMMYFUNCTION("""COMPUTED_VALUE"""),43546.0)</f>
        <v>43546</v>
      </c>
      <c r="B1178" s="5">
        <f>IFERROR(__xludf.DUMMYFUNCTION("""COMPUTED_VALUE"""),2124.0)</f>
        <v>2124</v>
      </c>
      <c r="C1178" s="6">
        <f>IFERROR(__xludf.DUMMYFUNCTION("""COMPUTED_VALUE"""),0.4385)</f>
        <v>0.4385</v>
      </c>
      <c r="D1178" s="2">
        <f>IFERROR(__xludf.DUMMYFUNCTION("""COMPUTED_VALUE"""),0.0016203703703703703)</f>
        <v>0.00162037037</v>
      </c>
      <c r="E1178" s="1">
        <f>IFERROR(__xludf.DUMMYFUNCTION("""COMPUTED_VALUE"""),1.12)</f>
        <v>1.12</v>
      </c>
      <c r="F1178" s="1">
        <f>IFERROR(__xludf.DUMMYFUNCTION("""COMPUTED_VALUE"""),4.05)</f>
        <v>4.05</v>
      </c>
      <c r="G1178" s="5">
        <f>IFERROR(__xludf.DUMMYFUNCTION("""COMPUTED_VALUE"""),9623.0)</f>
        <v>9623</v>
      </c>
      <c r="H1178" s="5">
        <f>IFERROR(__xludf.DUMMYFUNCTION("""COMPUTED_VALUE"""),2374.0)</f>
        <v>2374</v>
      </c>
    </row>
    <row r="1179">
      <c r="A1179" s="4">
        <f>IFERROR(__xludf.DUMMYFUNCTION("""COMPUTED_VALUE"""),43547.0)</f>
        <v>43547</v>
      </c>
      <c r="B1179" s="5">
        <f>IFERROR(__xludf.DUMMYFUNCTION("""COMPUTED_VALUE"""),1555.0)</f>
        <v>1555</v>
      </c>
      <c r="C1179" s="6">
        <f>IFERROR(__xludf.DUMMYFUNCTION("""COMPUTED_VALUE"""),0.4254)</f>
        <v>0.4254</v>
      </c>
      <c r="D1179" s="2">
        <f>IFERROR(__xludf.DUMMYFUNCTION("""COMPUTED_VALUE"""),0.001712962962962963)</f>
        <v>0.001712962963</v>
      </c>
      <c r="E1179" s="1">
        <f>IFERROR(__xludf.DUMMYFUNCTION("""COMPUTED_VALUE"""),1.13)</f>
        <v>1.13</v>
      </c>
      <c r="F1179" s="1">
        <f>IFERROR(__xludf.DUMMYFUNCTION("""COMPUTED_VALUE"""),4.01)</f>
        <v>4.01</v>
      </c>
      <c r="G1179" s="5">
        <f>IFERROR(__xludf.DUMMYFUNCTION("""COMPUTED_VALUE"""),7068.0)</f>
        <v>7068</v>
      </c>
      <c r="H1179" s="5">
        <f>IFERROR(__xludf.DUMMYFUNCTION("""COMPUTED_VALUE"""),1763.0)</f>
        <v>1763</v>
      </c>
    </row>
    <row r="1180">
      <c r="A1180" s="4">
        <f>IFERROR(__xludf.DUMMYFUNCTION("""COMPUTED_VALUE"""),43548.0)</f>
        <v>43548</v>
      </c>
      <c r="B1180" s="5">
        <f>IFERROR(__xludf.DUMMYFUNCTION("""COMPUTED_VALUE"""),1652.0)</f>
        <v>1652</v>
      </c>
      <c r="C1180" s="6">
        <f>IFERROR(__xludf.DUMMYFUNCTION("""COMPUTED_VALUE"""),0.4615)</f>
        <v>0.4615</v>
      </c>
      <c r="D1180" s="2">
        <f>IFERROR(__xludf.DUMMYFUNCTION("""COMPUTED_VALUE"""),0.0016203703703703703)</f>
        <v>0.00162037037</v>
      </c>
      <c r="E1180" s="1">
        <f>IFERROR(__xludf.DUMMYFUNCTION("""COMPUTED_VALUE"""),1.09)</f>
        <v>1.09</v>
      </c>
      <c r="F1180" s="1">
        <f>IFERROR(__xludf.DUMMYFUNCTION("""COMPUTED_VALUE"""),4.31)</f>
        <v>4.31</v>
      </c>
      <c r="G1180" s="5">
        <f>IFERROR(__xludf.DUMMYFUNCTION("""COMPUTED_VALUE"""),7776.0)</f>
        <v>7776</v>
      </c>
      <c r="H1180" s="5">
        <f>IFERROR(__xludf.DUMMYFUNCTION("""COMPUTED_VALUE"""),1805.0)</f>
        <v>1805</v>
      </c>
    </row>
    <row r="1181">
      <c r="A1181" s="4">
        <f>IFERROR(__xludf.DUMMYFUNCTION("""COMPUTED_VALUE"""),43549.0)</f>
        <v>43549</v>
      </c>
      <c r="B1181" s="5">
        <f>IFERROR(__xludf.DUMMYFUNCTION("""COMPUTED_VALUE"""),2333.0)</f>
        <v>2333</v>
      </c>
      <c r="C1181" s="6">
        <f>IFERROR(__xludf.DUMMYFUNCTION("""COMPUTED_VALUE"""),0.4519)</f>
        <v>0.4519</v>
      </c>
      <c r="D1181" s="2">
        <f>IFERROR(__xludf.DUMMYFUNCTION("""COMPUTED_VALUE"""),0.0021296296296296298)</f>
        <v>0.00212962963</v>
      </c>
      <c r="E1181" s="1">
        <f>IFERROR(__xludf.DUMMYFUNCTION("""COMPUTED_VALUE"""),1.17)</f>
        <v>1.17</v>
      </c>
      <c r="F1181" s="1">
        <f>IFERROR(__xludf.DUMMYFUNCTION("""COMPUTED_VALUE"""),4.32)</f>
        <v>4.32</v>
      </c>
      <c r="G1181" s="5">
        <f>IFERROR(__xludf.DUMMYFUNCTION("""COMPUTED_VALUE"""),11816.0)</f>
        <v>11816</v>
      </c>
      <c r="H1181" s="5">
        <f>IFERROR(__xludf.DUMMYFUNCTION("""COMPUTED_VALUE"""),2735.0)</f>
        <v>2735</v>
      </c>
    </row>
    <row r="1182">
      <c r="A1182" s="4">
        <f>IFERROR(__xludf.DUMMYFUNCTION("""COMPUTED_VALUE"""),43550.0)</f>
        <v>43550</v>
      </c>
      <c r="B1182" s="5">
        <f>IFERROR(__xludf.DUMMYFUNCTION("""COMPUTED_VALUE"""),2361.0)</f>
        <v>2361</v>
      </c>
      <c r="C1182" s="6">
        <f>IFERROR(__xludf.DUMMYFUNCTION("""COMPUTED_VALUE"""),0.4167)</f>
        <v>0.4167</v>
      </c>
      <c r="D1182" s="2">
        <f>IFERROR(__xludf.DUMMYFUNCTION("""COMPUTED_VALUE"""),0.002766203703703704)</f>
        <v>0.002766203704</v>
      </c>
      <c r="E1182" s="1">
        <f>IFERROR(__xludf.DUMMYFUNCTION("""COMPUTED_VALUE"""),1.13)</f>
        <v>1.13</v>
      </c>
      <c r="F1182" s="1">
        <f>IFERROR(__xludf.DUMMYFUNCTION("""COMPUTED_VALUE"""),4.53)</f>
        <v>4.53</v>
      </c>
      <c r="G1182" s="5">
        <f>IFERROR(__xludf.DUMMYFUNCTION("""COMPUTED_VALUE"""),12080.0)</f>
        <v>12080</v>
      </c>
      <c r="H1182" s="5">
        <f>IFERROR(__xludf.DUMMYFUNCTION("""COMPUTED_VALUE"""),2666.0)</f>
        <v>2666</v>
      </c>
    </row>
    <row r="1183">
      <c r="A1183" s="4">
        <f>IFERROR(__xludf.DUMMYFUNCTION("""COMPUTED_VALUE"""),43551.0)</f>
        <v>43551</v>
      </c>
      <c r="B1183" s="5">
        <f>IFERROR(__xludf.DUMMYFUNCTION("""COMPUTED_VALUE"""),2361.0)</f>
        <v>2361</v>
      </c>
      <c r="C1183" s="6">
        <f>IFERROR(__xludf.DUMMYFUNCTION("""COMPUTED_VALUE"""),0.4875)</f>
        <v>0.4875</v>
      </c>
      <c r="D1183" s="2">
        <f>IFERROR(__xludf.DUMMYFUNCTION("""COMPUTED_VALUE"""),0.0017476851851851852)</f>
        <v>0.001747685185</v>
      </c>
      <c r="E1183" s="1">
        <f>IFERROR(__xludf.DUMMYFUNCTION("""COMPUTED_VALUE"""),1.17)</f>
        <v>1.17</v>
      </c>
      <c r="F1183" s="1">
        <f>IFERROR(__xludf.DUMMYFUNCTION("""COMPUTED_VALUE"""),4.23)</f>
        <v>4.23</v>
      </c>
      <c r="G1183" s="5">
        <f>IFERROR(__xludf.DUMMYFUNCTION("""COMPUTED_VALUE"""),11691.0)</f>
        <v>11691</v>
      </c>
      <c r="H1183" s="5">
        <f>IFERROR(__xludf.DUMMYFUNCTION("""COMPUTED_VALUE"""),2763.0)</f>
        <v>2763</v>
      </c>
    </row>
    <row r="1184">
      <c r="A1184" s="4">
        <f>IFERROR(__xludf.DUMMYFUNCTION("""COMPUTED_VALUE"""),43552.0)</f>
        <v>43552</v>
      </c>
      <c r="B1184" s="5">
        <f>IFERROR(__xludf.DUMMYFUNCTION("""COMPUTED_VALUE"""),2333.0)</f>
        <v>2333</v>
      </c>
      <c r="C1184" s="6">
        <f>IFERROR(__xludf.DUMMYFUNCTION("""COMPUTED_VALUE"""),0.4534)</f>
        <v>0.4534</v>
      </c>
      <c r="D1184" s="2">
        <f>IFERROR(__xludf.DUMMYFUNCTION("""COMPUTED_VALUE"""),0.0020949074074074073)</f>
        <v>0.002094907407</v>
      </c>
      <c r="E1184" s="1">
        <f>IFERROR(__xludf.DUMMYFUNCTION("""COMPUTED_VALUE"""),1.09)</f>
        <v>1.09</v>
      </c>
      <c r="F1184" s="1">
        <f>IFERROR(__xludf.DUMMYFUNCTION("""COMPUTED_VALUE"""),4.58)</f>
        <v>4.58</v>
      </c>
      <c r="G1184" s="5">
        <f>IFERROR(__xludf.DUMMYFUNCTION("""COMPUTED_VALUE"""),11650.0)</f>
        <v>11650</v>
      </c>
      <c r="H1184" s="5">
        <f>IFERROR(__xludf.DUMMYFUNCTION("""COMPUTED_VALUE"""),2541.0)</f>
        <v>2541</v>
      </c>
    </row>
    <row r="1185">
      <c r="A1185" s="4">
        <f>IFERROR(__xludf.DUMMYFUNCTION("""COMPUTED_VALUE"""),43553.0)</f>
        <v>43553</v>
      </c>
      <c r="B1185" s="5">
        <f>IFERROR(__xludf.DUMMYFUNCTION("""COMPUTED_VALUE"""),1930.0)</f>
        <v>1930</v>
      </c>
      <c r="C1185" s="6">
        <f>IFERROR(__xludf.DUMMYFUNCTION("""COMPUTED_VALUE"""),0.412)</f>
        <v>0.412</v>
      </c>
      <c r="D1185" s="2">
        <f>IFERROR(__xludf.DUMMYFUNCTION("""COMPUTED_VALUE"""),0.0024305555555555556)</f>
        <v>0.002430555556</v>
      </c>
      <c r="E1185" s="1">
        <f>IFERROR(__xludf.DUMMYFUNCTION("""COMPUTED_VALUE"""),1.19)</f>
        <v>1.19</v>
      </c>
      <c r="F1185" s="1">
        <f>IFERROR(__xludf.DUMMYFUNCTION("""COMPUTED_VALUE"""),5.06)</f>
        <v>5.06</v>
      </c>
      <c r="G1185" s="5">
        <f>IFERROR(__xludf.DUMMYFUNCTION("""COMPUTED_VALUE"""),11594.0)</f>
        <v>11594</v>
      </c>
      <c r="H1185" s="5">
        <f>IFERROR(__xludf.DUMMYFUNCTION("""COMPUTED_VALUE"""),2291.0)</f>
        <v>2291</v>
      </c>
    </row>
    <row r="1186">
      <c r="A1186" s="4">
        <f>IFERROR(__xludf.DUMMYFUNCTION("""COMPUTED_VALUE"""),43554.0)</f>
        <v>43554</v>
      </c>
      <c r="B1186" s="5">
        <f>IFERROR(__xludf.DUMMYFUNCTION("""COMPUTED_VALUE"""),1597.0)</f>
        <v>1597</v>
      </c>
      <c r="C1186" s="6">
        <f>IFERROR(__xludf.DUMMYFUNCTION("""COMPUTED_VALUE"""),0.4159)</f>
        <v>0.4159</v>
      </c>
      <c r="D1186" s="2">
        <f>IFERROR(__xludf.DUMMYFUNCTION("""COMPUTED_VALUE"""),0.0020601851851851853)</f>
        <v>0.002060185185</v>
      </c>
      <c r="E1186" s="1">
        <f>IFERROR(__xludf.DUMMYFUNCTION("""COMPUTED_VALUE"""),1.09)</f>
        <v>1.09</v>
      </c>
      <c r="F1186" s="1">
        <f>IFERROR(__xludf.DUMMYFUNCTION("""COMPUTED_VALUE"""),4.35)</f>
        <v>4.35</v>
      </c>
      <c r="G1186" s="5">
        <f>IFERROR(__xludf.DUMMYFUNCTION("""COMPUTED_VALUE"""),7554.0)</f>
        <v>7554</v>
      </c>
      <c r="H1186" s="5">
        <f>IFERROR(__xludf.DUMMYFUNCTION("""COMPUTED_VALUE"""),1736.0)</f>
        <v>1736</v>
      </c>
    </row>
    <row r="1187">
      <c r="A1187" s="4">
        <f>IFERROR(__xludf.DUMMYFUNCTION("""COMPUTED_VALUE"""),43555.0)</f>
        <v>43555</v>
      </c>
      <c r="B1187" s="5">
        <f>IFERROR(__xludf.DUMMYFUNCTION("""COMPUTED_VALUE"""),1500.0)</f>
        <v>1500</v>
      </c>
      <c r="C1187" s="6">
        <f>IFERROR(__xludf.DUMMYFUNCTION("""COMPUTED_VALUE"""),0.3277)</f>
        <v>0.3277</v>
      </c>
      <c r="D1187" s="2">
        <f>IFERROR(__xludf.DUMMYFUNCTION("""COMPUTED_VALUE"""),0.0025)</f>
        <v>0.0025</v>
      </c>
      <c r="E1187" s="1">
        <f>IFERROR(__xludf.DUMMYFUNCTION("""COMPUTED_VALUE"""),1.07)</f>
        <v>1.07</v>
      </c>
      <c r="F1187" s="1">
        <f>IFERROR(__xludf.DUMMYFUNCTION("""COMPUTED_VALUE"""),4.59)</f>
        <v>4.59</v>
      </c>
      <c r="G1187" s="5">
        <f>IFERROR(__xludf.DUMMYFUNCTION("""COMPUTED_VALUE"""),7387.0)</f>
        <v>7387</v>
      </c>
      <c r="H1187" s="5">
        <f>IFERROR(__xludf.DUMMYFUNCTION("""COMPUTED_VALUE"""),1611.0)</f>
        <v>1611</v>
      </c>
    </row>
    <row r="1188">
      <c r="A1188" s="4">
        <f>IFERROR(__xludf.DUMMYFUNCTION("""COMPUTED_VALUE"""),43556.0)</f>
        <v>43556</v>
      </c>
      <c r="B1188" s="5">
        <f>IFERROR(__xludf.DUMMYFUNCTION("""COMPUTED_VALUE"""),2513.0)</f>
        <v>2513</v>
      </c>
      <c r="C1188" s="6">
        <f>IFERROR(__xludf.DUMMYFUNCTION("""COMPUTED_VALUE"""),0.4484)</f>
        <v>0.4484</v>
      </c>
      <c r="D1188" s="2">
        <f>IFERROR(__xludf.DUMMYFUNCTION("""COMPUTED_VALUE"""),0.001712962962962963)</f>
        <v>0.001712962963</v>
      </c>
      <c r="E1188" s="1">
        <f>IFERROR(__xludf.DUMMYFUNCTION("""COMPUTED_VALUE"""),1.12)</f>
        <v>1.12</v>
      </c>
      <c r="F1188" s="1">
        <f>IFERROR(__xludf.DUMMYFUNCTION("""COMPUTED_VALUE"""),4.49)</f>
        <v>4.49</v>
      </c>
      <c r="G1188" s="5">
        <f>IFERROR(__xludf.DUMMYFUNCTION("""COMPUTED_VALUE"""),12650.0)</f>
        <v>12650</v>
      </c>
      <c r="H1188" s="5">
        <f>IFERROR(__xludf.DUMMYFUNCTION("""COMPUTED_VALUE"""),2819.0)</f>
        <v>2819</v>
      </c>
    </row>
    <row r="1189">
      <c r="A1189" s="4">
        <f>IFERROR(__xludf.DUMMYFUNCTION("""COMPUTED_VALUE"""),43557.0)</f>
        <v>43557</v>
      </c>
      <c r="B1189" s="5">
        <f>IFERROR(__xludf.DUMMYFUNCTION("""COMPUTED_VALUE"""),2305.0)</f>
        <v>2305</v>
      </c>
      <c r="C1189" s="6">
        <f>IFERROR(__xludf.DUMMYFUNCTION("""COMPUTED_VALUE"""),0.4084)</f>
        <v>0.4084</v>
      </c>
      <c r="D1189" s="2">
        <f>IFERROR(__xludf.DUMMYFUNCTION("""COMPUTED_VALUE"""),0.0018865740740740742)</f>
        <v>0.001886574074</v>
      </c>
      <c r="E1189" s="1">
        <f>IFERROR(__xludf.DUMMYFUNCTION("""COMPUTED_VALUE"""),1.12)</f>
        <v>1.12</v>
      </c>
      <c r="F1189" s="1">
        <f>IFERROR(__xludf.DUMMYFUNCTION("""COMPUTED_VALUE"""),4.22)</f>
        <v>4.22</v>
      </c>
      <c r="G1189" s="5">
        <f>IFERROR(__xludf.DUMMYFUNCTION("""COMPUTED_VALUE"""),10900.0)</f>
        <v>10900</v>
      </c>
      <c r="H1189" s="5">
        <f>IFERROR(__xludf.DUMMYFUNCTION("""COMPUTED_VALUE"""),2583.0)</f>
        <v>2583</v>
      </c>
    </row>
    <row r="1190">
      <c r="A1190" s="4">
        <f>IFERROR(__xludf.DUMMYFUNCTION("""COMPUTED_VALUE"""),43558.0)</f>
        <v>43558</v>
      </c>
      <c r="B1190" s="5">
        <f>IFERROR(__xludf.DUMMYFUNCTION("""COMPUTED_VALUE"""),2347.0)</f>
        <v>2347</v>
      </c>
      <c r="C1190" s="6">
        <f>IFERROR(__xludf.DUMMYFUNCTION("""COMPUTED_VALUE"""),0.4286)</f>
        <v>0.4286</v>
      </c>
      <c r="D1190" s="2">
        <f>IFERROR(__xludf.DUMMYFUNCTION("""COMPUTED_VALUE"""),0.001875)</f>
        <v>0.001875</v>
      </c>
      <c r="E1190" s="1">
        <f>IFERROR(__xludf.DUMMYFUNCTION("""COMPUTED_VALUE"""),1.08)</f>
        <v>1.08</v>
      </c>
      <c r="F1190" s="1">
        <f>IFERROR(__xludf.DUMMYFUNCTION("""COMPUTED_VALUE"""),3.96)</f>
        <v>3.96</v>
      </c>
      <c r="G1190" s="5">
        <f>IFERROR(__xludf.DUMMYFUNCTION("""COMPUTED_VALUE"""),9997.0)</f>
        <v>9997</v>
      </c>
      <c r="H1190" s="5">
        <f>IFERROR(__xludf.DUMMYFUNCTION("""COMPUTED_VALUE"""),2527.0)</f>
        <v>2527</v>
      </c>
    </row>
    <row r="1191">
      <c r="A1191" s="4">
        <f>IFERROR(__xludf.DUMMYFUNCTION("""COMPUTED_VALUE"""),43559.0)</f>
        <v>43559</v>
      </c>
      <c r="B1191" s="5">
        <f>IFERROR(__xludf.DUMMYFUNCTION("""COMPUTED_VALUE"""),2374.0)</f>
        <v>2374</v>
      </c>
      <c r="C1191" s="6">
        <f>IFERROR(__xludf.DUMMYFUNCTION("""COMPUTED_VALUE"""),0.449)</f>
        <v>0.449</v>
      </c>
      <c r="D1191" s="2">
        <f>IFERROR(__xludf.DUMMYFUNCTION("""COMPUTED_VALUE"""),0.0015162037037037036)</f>
        <v>0.001516203704</v>
      </c>
      <c r="E1191" s="1">
        <f>IFERROR(__xludf.DUMMYFUNCTION("""COMPUTED_VALUE"""),1.09)</f>
        <v>1.09</v>
      </c>
      <c r="F1191" s="1">
        <f>IFERROR(__xludf.DUMMYFUNCTION("""COMPUTED_VALUE"""),3.88)</f>
        <v>3.88</v>
      </c>
      <c r="G1191" s="5">
        <f>IFERROR(__xludf.DUMMYFUNCTION("""COMPUTED_VALUE"""),10067.0)</f>
        <v>10067</v>
      </c>
      <c r="H1191" s="5">
        <f>IFERROR(__xludf.DUMMYFUNCTION("""COMPUTED_VALUE"""),2597.0)</f>
        <v>2597</v>
      </c>
    </row>
    <row r="1192">
      <c r="A1192" s="4">
        <f>IFERROR(__xludf.DUMMYFUNCTION("""COMPUTED_VALUE"""),43560.0)</f>
        <v>43560</v>
      </c>
      <c r="B1192" s="5">
        <f>IFERROR(__xludf.DUMMYFUNCTION("""COMPUTED_VALUE"""),2097.0)</f>
        <v>2097</v>
      </c>
      <c r="C1192" s="6">
        <f>IFERROR(__xludf.DUMMYFUNCTION("""COMPUTED_VALUE"""),0.4084)</f>
        <v>0.4084</v>
      </c>
      <c r="D1192" s="2">
        <f>IFERROR(__xludf.DUMMYFUNCTION("""COMPUTED_VALUE"""),0.002013888888888889)</f>
        <v>0.002013888889</v>
      </c>
      <c r="E1192" s="1">
        <f>IFERROR(__xludf.DUMMYFUNCTION("""COMPUTED_VALUE"""),1.09)</f>
        <v>1.09</v>
      </c>
      <c r="F1192" s="1">
        <f>IFERROR(__xludf.DUMMYFUNCTION("""COMPUTED_VALUE"""),4.6)</f>
        <v>4.6</v>
      </c>
      <c r="G1192" s="5">
        <f>IFERROR(__xludf.DUMMYFUNCTION("""COMPUTED_VALUE"""),10483.0)</f>
        <v>10483</v>
      </c>
      <c r="H1192" s="5">
        <f>IFERROR(__xludf.DUMMYFUNCTION("""COMPUTED_VALUE"""),2277.0)</f>
        <v>2277</v>
      </c>
    </row>
    <row r="1193">
      <c r="A1193" s="4">
        <f>IFERROR(__xludf.DUMMYFUNCTION("""COMPUTED_VALUE"""),43561.0)</f>
        <v>43561</v>
      </c>
      <c r="B1193" s="5">
        <f>IFERROR(__xludf.DUMMYFUNCTION("""COMPUTED_VALUE"""),1347.0)</f>
        <v>1347</v>
      </c>
      <c r="C1193" s="6">
        <f>IFERROR(__xludf.DUMMYFUNCTION("""COMPUTED_VALUE"""),0.5273)</f>
        <v>0.5273</v>
      </c>
      <c r="D1193" s="2">
        <f>IFERROR(__xludf.DUMMYFUNCTION("""COMPUTED_VALUE"""),0.0017013888888888888)</f>
        <v>0.001701388889</v>
      </c>
      <c r="E1193" s="1">
        <f>IFERROR(__xludf.DUMMYFUNCTION("""COMPUTED_VALUE"""),1.11)</f>
        <v>1.11</v>
      </c>
      <c r="F1193" s="1">
        <f>IFERROR(__xludf.DUMMYFUNCTION("""COMPUTED_VALUE"""),3.63)</f>
        <v>3.63</v>
      </c>
      <c r="G1193" s="5">
        <f>IFERROR(__xludf.DUMMYFUNCTION("""COMPUTED_VALUE"""),5443.0)</f>
        <v>5443</v>
      </c>
      <c r="H1193" s="5">
        <f>IFERROR(__xludf.DUMMYFUNCTION("""COMPUTED_VALUE"""),1500.0)</f>
        <v>1500</v>
      </c>
    </row>
    <row r="1194">
      <c r="A1194" s="4">
        <f>IFERROR(__xludf.DUMMYFUNCTION("""COMPUTED_VALUE"""),43562.0)</f>
        <v>43562</v>
      </c>
      <c r="B1194" s="5">
        <f>IFERROR(__xludf.DUMMYFUNCTION("""COMPUTED_VALUE"""),1541.0)</f>
        <v>1541</v>
      </c>
      <c r="C1194" s="6">
        <f>IFERROR(__xludf.DUMMYFUNCTION("""COMPUTED_VALUE"""),0.4116)</f>
        <v>0.4116</v>
      </c>
      <c r="D1194" s="2">
        <f>IFERROR(__xludf.DUMMYFUNCTION("""COMPUTED_VALUE"""),0.0022569444444444442)</f>
        <v>0.002256944444</v>
      </c>
      <c r="E1194" s="1">
        <f>IFERROR(__xludf.DUMMYFUNCTION("""COMPUTED_VALUE"""),1.07)</f>
        <v>1.07</v>
      </c>
      <c r="F1194" s="1">
        <f>IFERROR(__xludf.DUMMYFUNCTION("""COMPUTED_VALUE"""),4.6)</f>
        <v>4.6</v>
      </c>
      <c r="G1194" s="5">
        <f>IFERROR(__xludf.DUMMYFUNCTION("""COMPUTED_VALUE"""),7595.0)</f>
        <v>7595</v>
      </c>
      <c r="H1194" s="5">
        <f>IFERROR(__xludf.DUMMYFUNCTION("""COMPUTED_VALUE"""),1652.0)</f>
        <v>1652</v>
      </c>
    </row>
    <row r="1195">
      <c r="A1195" s="4">
        <f>IFERROR(__xludf.DUMMYFUNCTION("""COMPUTED_VALUE"""),43563.0)</f>
        <v>43563</v>
      </c>
      <c r="B1195" s="5">
        <f>IFERROR(__xludf.DUMMYFUNCTION("""COMPUTED_VALUE"""),2444.0)</f>
        <v>2444</v>
      </c>
      <c r="C1195" s="6">
        <f>IFERROR(__xludf.DUMMYFUNCTION("""COMPUTED_VALUE"""),0.4321)</f>
        <v>0.4321</v>
      </c>
      <c r="D1195" s="2">
        <f>IFERROR(__xludf.DUMMYFUNCTION("""COMPUTED_VALUE"""),0.0023032407407407407)</f>
        <v>0.002303240741</v>
      </c>
      <c r="E1195" s="1">
        <f>IFERROR(__xludf.DUMMYFUNCTION("""COMPUTED_VALUE"""),1.13)</f>
        <v>1.13</v>
      </c>
      <c r="F1195" s="1">
        <f>IFERROR(__xludf.DUMMYFUNCTION("""COMPUTED_VALUE"""),4.46)</f>
        <v>4.46</v>
      </c>
      <c r="G1195" s="5">
        <f>IFERROR(__xludf.DUMMYFUNCTION("""COMPUTED_VALUE"""),12316.0)</f>
        <v>12316</v>
      </c>
      <c r="H1195" s="5">
        <f>IFERROR(__xludf.DUMMYFUNCTION("""COMPUTED_VALUE"""),2763.0)</f>
        <v>2763</v>
      </c>
    </row>
    <row r="1196">
      <c r="A1196" s="4">
        <f>IFERROR(__xludf.DUMMYFUNCTION("""COMPUTED_VALUE"""),43564.0)</f>
        <v>43564</v>
      </c>
      <c r="B1196" s="5">
        <f>IFERROR(__xludf.DUMMYFUNCTION("""COMPUTED_VALUE"""),2416.0)</f>
        <v>2416</v>
      </c>
      <c r="C1196" s="6">
        <f>IFERROR(__xludf.DUMMYFUNCTION("""COMPUTED_VALUE"""),0.3914)</f>
        <v>0.3914</v>
      </c>
      <c r="D1196" s="2">
        <f>IFERROR(__xludf.DUMMYFUNCTION("""COMPUTED_VALUE"""),0.0022222222222222222)</f>
        <v>0.002222222222</v>
      </c>
      <c r="E1196" s="1">
        <f>IFERROR(__xludf.DUMMYFUNCTION("""COMPUTED_VALUE"""),1.19)</f>
        <v>1.19</v>
      </c>
      <c r="F1196" s="1">
        <f>IFERROR(__xludf.DUMMYFUNCTION("""COMPUTED_VALUE"""),4.54)</f>
        <v>4.54</v>
      </c>
      <c r="G1196" s="5">
        <f>IFERROR(__xludf.DUMMYFUNCTION("""COMPUTED_VALUE"""),13038.0)</f>
        <v>13038</v>
      </c>
      <c r="H1196" s="5">
        <f>IFERROR(__xludf.DUMMYFUNCTION("""COMPUTED_VALUE"""),2874.0)</f>
        <v>2874</v>
      </c>
    </row>
    <row r="1197">
      <c r="A1197" s="4">
        <f>IFERROR(__xludf.DUMMYFUNCTION("""COMPUTED_VALUE"""),43565.0)</f>
        <v>43565</v>
      </c>
      <c r="B1197" s="5">
        <f>IFERROR(__xludf.DUMMYFUNCTION("""COMPUTED_VALUE"""),2485.0)</f>
        <v>2485</v>
      </c>
      <c r="C1197" s="6">
        <f>IFERROR(__xludf.DUMMYFUNCTION("""COMPUTED_VALUE"""),0.4148)</f>
        <v>0.4148</v>
      </c>
      <c r="D1197" s="2">
        <f>IFERROR(__xludf.DUMMYFUNCTION("""COMPUTED_VALUE"""),0.0026157407407407405)</f>
        <v>0.002615740741</v>
      </c>
      <c r="E1197" s="1">
        <f>IFERROR(__xludf.DUMMYFUNCTION("""COMPUTED_VALUE"""),1.12)</f>
        <v>1.12</v>
      </c>
      <c r="F1197" s="1">
        <f>IFERROR(__xludf.DUMMYFUNCTION("""COMPUTED_VALUE"""),4.66)</f>
        <v>4.66</v>
      </c>
      <c r="G1197" s="5">
        <f>IFERROR(__xludf.DUMMYFUNCTION("""COMPUTED_VALUE"""),12941.0)</f>
        <v>12941</v>
      </c>
      <c r="H1197" s="5">
        <f>IFERROR(__xludf.DUMMYFUNCTION("""COMPUTED_VALUE"""),2777.0)</f>
        <v>2777</v>
      </c>
    </row>
    <row r="1198">
      <c r="A1198" s="4">
        <f>IFERROR(__xludf.DUMMYFUNCTION("""COMPUTED_VALUE"""),43566.0)</f>
        <v>43566</v>
      </c>
      <c r="B1198" s="5">
        <f>IFERROR(__xludf.DUMMYFUNCTION("""COMPUTED_VALUE"""),2361.0)</f>
        <v>2361</v>
      </c>
      <c r="C1198" s="6">
        <f>IFERROR(__xludf.DUMMYFUNCTION("""COMPUTED_VALUE"""),0.4455)</f>
        <v>0.4455</v>
      </c>
      <c r="D1198" s="2">
        <f>IFERROR(__xludf.DUMMYFUNCTION("""COMPUTED_VALUE"""),0.0022685185185185187)</f>
        <v>0.002268518519</v>
      </c>
      <c r="E1198" s="1">
        <f>IFERROR(__xludf.DUMMYFUNCTION("""COMPUTED_VALUE"""),1.14)</f>
        <v>1.14</v>
      </c>
      <c r="F1198" s="1">
        <f>IFERROR(__xludf.DUMMYFUNCTION("""COMPUTED_VALUE"""),4.35)</f>
        <v>4.35</v>
      </c>
      <c r="G1198" s="5">
        <f>IFERROR(__xludf.DUMMYFUNCTION("""COMPUTED_VALUE"""),11664.0)</f>
        <v>11664</v>
      </c>
      <c r="H1198" s="5">
        <f>IFERROR(__xludf.DUMMYFUNCTION("""COMPUTED_VALUE"""),2680.0)</f>
        <v>2680</v>
      </c>
    </row>
    <row r="1199">
      <c r="A1199" s="4">
        <f>IFERROR(__xludf.DUMMYFUNCTION("""COMPUTED_VALUE"""),43567.0)</f>
        <v>43567</v>
      </c>
      <c r="B1199" s="5">
        <f>IFERROR(__xludf.DUMMYFUNCTION("""COMPUTED_VALUE"""),2152.0)</f>
        <v>2152</v>
      </c>
      <c r="C1199" s="6">
        <f>IFERROR(__xludf.DUMMYFUNCTION("""COMPUTED_VALUE"""),0.407)</f>
        <v>0.407</v>
      </c>
      <c r="D1199" s="2">
        <f>IFERROR(__xludf.DUMMYFUNCTION("""COMPUTED_VALUE"""),0.0020833333333333333)</f>
        <v>0.002083333333</v>
      </c>
      <c r="E1199" s="1">
        <f>IFERROR(__xludf.DUMMYFUNCTION("""COMPUTED_VALUE"""),1.11)</f>
        <v>1.11</v>
      </c>
      <c r="F1199" s="1">
        <f>IFERROR(__xludf.DUMMYFUNCTION("""COMPUTED_VALUE"""),4.45)</f>
        <v>4.45</v>
      </c>
      <c r="G1199" s="5">
        <f>IFERROR(__xludf.DUMMYFUNCTION("""COMPUTED_VALUE"""),10636.0)</f>
        <v>10636</v>
      </c>
      <c r="H1199" s="5">
        <f>IFERROR(__xludf.DUMMYFUNCTION("""COMPUTED_VALUE"""),2388.0)</f>
        <v>2388</v>
      </c>
    </row>
    <row r="1200">
      <c r="A1200" s="4">
        <f>IFERROR(__xludf.DUMMYFUNCTION("""COMPUTED_VALUE"""),43568.0)</f>
        <v>43568</v>
      </c>
      <c r="B1200" s="5">
        <f>IFERROR(__xludf.DUMMYFUNCTION("""COMPUTED_VALUE"""),1555.0)</f>
        <v>1555</v>
      </c>
      <c r="C1200" s="6">
        <f>IFERROR(__xludf.DUMMYFUNCTION("""COMPUTED_VALUE"""),0.4798)</f>
        <v>0.4798</v>
      </c>
      <c r="D1200" s="2">
        <f>IFERROR(__xludf.DUMMYFUNCTION("""COMPUTED_VALUE"""),0.002662037037037037)</f>
        <v>0.002662037037</v>
      </c>
      <c r="E1200" s="1">
        <f>IFERROR(__xludf.DUMMYFUNCTION("""COMPUTED_VALUE"""),1.12)</f>
        <v>1.12</v>
      </c>
      <c r="F1200" s="1">
        <f>IFERROR(__xludf.DUMMYFUNCTION("""COMPUTED_VALUE"""),4.7)</f>
        <v>4.7</v>
      </c>
      <c r="G1200" s="5">
        <f>IFERROR(__xludf.DUMMYFUNCTION("""COMPUTED_VALUE"""),8165.0)</f>
        <v>8165</v>
      </c>
      <c r="H1200" s="5">
        <f>IFERROR(__xludf.DUMMYFUNCTION("""COMPUTED_VALUE"""),1736.0)</f>
        <v>1736</v>
      </c>
    </row>
    <row r="1201">
      <c r="A1201" s="4">
        <f>IFERROR(__xludf.DUMMYFUNCTION("""COMPUTED_VALUE"""),43569.0)</f>
        <v>43569</v>
      </c>
      <c r="B1201" s="5">
        <f>IFERROR(__xludf.DUMMYFUNCTION("""COMPUTED_VALUE"""),1611.0)</f>
        <v>1611</v>
      </c>
      <c r="C1201" s="6">
        <f>IFERROR(__xludf.DUMMYFUNCTION("""COMPUTED_VALUE"""),0.4592)</f>
        <v>0.4592</v>
      </c>
      <c r="D1201" s="2">
        <f>IFERROR(__xludf.DUMMYFUNCTION("""COMPUTED_VALUE"""),0.002511574074074074)</f>
        <v>0.002511574074</v>
      </c>
      <c r="E1201" s="1">
        <f>IFERROR(__xludf.DUMMYFUNCTION("""COMPUTED_VALUE"""),1.16)</f>
        <v>1.16</v>
      </c>
      <c r="F1201" s="1">
        <f>IFERROR(__xludf.DUMMYFUNCTION("""COMPUTED_VALUE"""),4.77)</f>
        <v>4.77</v>
      </c>
      <c r="G1201" s="5">
        <f>IFERROR(__xludf.DUMMYFUNCTION("""COMPUTED_VALUE"""),8942.0)</f>
        <v>8942</v>
      </c>
      <c r="H1201" s="5">
        <f>IFERROR(__xludf.DUMMYFUNCTION("""COMPUTED_VALUE"""),1875.0)</f>
        <v>1875</v>
      </c>
    </row>
    <row r="1202">
      <c r="A1202" s="4">
        <f>IFERROR(__xludf.DUMMYFUNCTION("""COMPUTED_VALUE"""),43570.0)</f>
        <v>43570</v>
      </c>
      <c r="B1202" s="5">
        <f>IFERROR(__xludf.DUMMYFUNCTION("""COMPUTED_VALUE"""),2416.0)</f>
        <v>2416</v>
      </c>
      <c r="C1202" s="6">
        <f>IFERROR(__xludf.DUMMYFUNCTION("""COMPUTED_VALUE"""),0.3844)</f>
        <v>0.3844</v>
      </c>
      <c r="D1202" s="2">
        <f>IFERROR(__xludf.DUMMYFUNCTION("""COMPUTED_VALUE"""),0.0016898148148148148)</f>
        <v>0.001689814815</v>
      </c>
      <c r="E1202" s="1">
        <f>IFERROR(__xludf.DUMMYFUNCTION("""COMPUTED_VALUE"""),1.09)</f>
        <v>1.09</v>
      </c>
      <c r="F1202" s="1">
        <f>IFERROR(__xludf.DUMMYFUNCTION("""COMPUTED_VALUE"""),4.88)</f>
        <v>4.88</v>
      </c>
      <c r="G1202" s="5">
        <f>IFERROR(__xludf.DUMMYFUNCTION("""COMPUTED_VALUE"""),12872.0)</f>
        <v>12872</v>
      </c>
      <c r="H1202" s="5">
        <f>IFERROR(__xludf.DUMMYFUNCTION("""COMPUTED_VALUE"""),2638.0)</f>
        <v>2638</v>
      </c>
    </row>
    <row r="1203">
      <c r="A1203" s="4">
        <f>IFERROR(__xludf.DUMMYFUNCTION("""COMPUTED_VALUE"""),43571.0)</f>
        <v>43571</v>
      </c>
      <c r="B1203" s="5">
        <f>IFERROR(__xludf.DUMMYFUNCTION("""COMPUTED_VALUE"""),2416.0)</f>
        <v>2416</v>
      </c>
      <c r="C1203" s="6">
        <f>IFERROR(__xludf.DUMMYFUNCTION("""COMPUTED_VALUE"""),0.3738)</f>
        <v>0.3738</v>
      </c>
      <c r="D1203" s="2">
        <f>IFERROR(__xludf.DUMMYFUNCTION("""COMPUTED_VALUE"""),0.0019675925925925924)</f>
        <v>0.001967592593</v>
      </c>
      <c r="E1203" s="1">
        <f>IFERROR(__xludf.DUMMYFUNCTION("""COMPUTED_VALUE"""),1.09)</f>
        <v>1.09</v>
      </c>
      <c r="F1203" s="1">
        <f>IFERROR(__xludf.DUMMYFUNCTION("""COMPUTED_VALUE"""),4.72)</f>
        <v>4.72</v>
      </c>
      <c r="G1203" s="5">
        <f>IFERROR(__xludf.DUMMYFUNCTION("""COMPUTED_VALUE"""),12441.0)</f>
        <v>12441</v>
      </c>
      <c r="H1203" s="5">
        <f>IFERROR(__xludf.DUMMYFUNCTION("""COMPUTED_VALUE"""),2638.0)</f>
        <v>2638</v>
      </c>
    </row>
    <row r="1204">
      <c r="A1204" s="4">
        <f>IFERROR(__xludf.DUMMYFUNCTION("""COMPUTED_VALUE"""),43572.0)</f>
        <v>43572</v>
      </c>
      <c r="B1204" s="5">
        <f>IFERROR(__xludf.DUMMYFUNCTION("""COMPUTED_VALUE"""),2194.0)</f>
        <v>2194</v>
      </c>
      <c r="C1204" s="6">
        <f>IFERROR(__xludf.DUMMYFUNCTION("""COMPUTED_VALUE"""),0.4034)</f>
        <v>0.4034</v>
      </c>
      <c r="D1204" s="2">
        <f>IFERROR(__xludf.DUMMYFUNCTION("""COMPUTED_VALUE"""),0.0016087962962962963)</f>
        <v>0.001608796296</v>
      </c>
      <c r="E1204" s="1">
        <f>IFERROR(__xludf.DUMMYFUNCTION("""COMPUTED_VALUE"""),1.11)</f>
        <v>1.11</v>
      </c>
      <c r="F1204" s="1">
        <f>IFERROR(__xludf.DUMMYFUNCTION("""COMPUTED_VALUE"""),4.66)</f>
        <v>4.66</v>
      </c>
      <c r="G1204" s="5">
        <f>IFERROR(__xludf.DUMMYFUNCTION("""COMPUTED_VALUE"""),11400.0)</f>
        <v>11400</v>
      </c>
      <c r="H1204" s="5">
        <f>IFERROR(__xludf.DUMMYFUNCTION("""COMPUTED_VALUE"""),2444.0)</f>
        <v>2444</v>
      </c>
    </row>
    <row r="1205">
      <c r="A1205" s="4">
        <f>IFERROR(__xludf.DUMMYFUNCTION("""COMPUTED_VALUE"""),43573.0)</f>
        <v>43573</v>
      </c>
      <c r="B1205" s="5">
        <f>IFERROR(__xludf.DUMMYFUNCTION("""COMPUTED_VALUE"""),2069.0)</f>
        <v>2069</v>
      </c>
      <c r="C1205" s="6">
        <f>IFERROR(__xludf.DUMMYFUNCTION("""COMPUTED_VALUE"""),0.4023)</f>
        <v>0.4023</v>
      </c>
      <c r="D1205" s="2">
        <f>IFERROR(__xludf.DUMMYFUNCTION("""COMPUTED_VALUE"""),0.0022685185185185187)</f>
        <v>0.002268518519</v>
      </c>
      <c r="E1205" s="1">
        <f>IFERROR(__xludf.DUMMYFUNCTION("""COMPUTED_VALUE"""),1.1)</f>
        <v>1.1</v>
      </c>
      <c r="F1205" s="1">
        <f>IFERROR(__xludf.DUMMYFUNCTION("""COMPUTED_VALUE"""),5.4)</f>
        <v>5.4</v>
      </c>
      <c r="G1205" s="5">
        <f>IFERROR(__xludf.DUMMYFUNCTION("""COMPUTED_VALUE"""),12289.0)</f>
        <v>12289</v>
      </c>
      <c r="H1205" s="5">
        <f>IFERROR(__xludf.DUMMYFUNCTION("""COMPUTED_VALUE"""),2277.0)</f>
        <v>2277</v>
      </c>
    </row>
    <row r="1206">
      <c r="A1206" s="4">
        <f>IFERROR(__xludf.DUMMYFUNCTION("""COMPUTED_VALUE"""),43574.0)</f>
        <v>43574</v>
      </c>
      <c r="B1206" s="5">
        <f>IFERROR(__xludf.DUMMYFUNCTION("""COMPUTED_VALUE"""),1569.0)</f>
        <v>1569</v>
      </c>
      <c r="C1206" s="6">
        <f>IFERROR(__xludf.DUMMYFUNCTION("""COMPUTED_VALUE"""),0.3451)</f>
        <v>0.3451</v>
      </c>
      <c r="D1206" s="2">
        <f>IFERROR(__xludf.DUMMYFUNCTION("""COMPUTED_VALUE"""),0.0024189814814814816)</f>
        <v>0.002418981481</v>
      </c>
      <c r="E1206" s="1">
        <f>IFERROR(__xludf.DUMMYFUNCTION("""COMPUTED_VALUE"""),1.23)</f>
        <v>1.23</v>
      </c>
      <c r="F1206" s="1">
        <f>IFERROR(__xludf.DUMMYFUNCTION("""COMPUTED_VALUE"""),5.22)</f>
        <v>5.22</v>
      </c>
      <c r="G1206" s="5">
        <f>IFERROR(__xludf.DUMMYFUNCTION("""COMPUTED_VALUE"""),10067.0)</f>
        <v>10067</v>
      </c>
      <c r="H1206" s="5">
        <f>IFERROR(__xludf.DUMMYFUNCTION("""COMPUTED_VALUE"""),1930.0)</f>
        <v>1930</v>
      </c>
    </row>
    <row r="1207">
      <c r="A1207" s="4">
        <f>IFERROR(__xludf.DUMMYFUNCTION("""COMPUTED_VALUE"""),43575.0)</f>
        <v>43575</v>
      </c>
      <c r="B1207" s="5">
        <f>IFERROR(__xludf.DUMMYFUNCTION("""COMPUTED_VALUE"""),1264.0)</f>
        <v>1264</v>
      </c>
      <c r="C1207" s="6">
        <f>IFERROR(__xludf.DUMMYFUNCTION("""COMPUTED_VALUE"""),0.4905)</f>
        <v>0.4905</v>
      </c>
      <c r="D1207" s="2">
        <f>IFERROR(__xludf.DUMMYFUNCTION("""COMPUTED_VALUE"""),0.0017939814814814815)</f>
        <v>0.001793981481</v>
      </c>
      <c r="E1207" s="1">
        <f>IFERROR(__xludf.DUMMYFUNCTION("""COMPUTED_VALUE"""),1.16)</f>
        <v>1.16</v>
      </c>
      <c r="F1207" s="1">
        <f>IFERROR(__xludf.DUMMYFUNCTION("""COMPUTED_VALUE"""),4.16)</f>
        <v>4.16</v>
      </c>
      <c r="G1207" s="5">
        <f>IFERROR(__xludf.DUMMYFUNCTION("""COMPUTED_VALUE"""),6123.0)</f>
        <v>6123</v>
      </c>
      <c r="H1207" s="5">
        <f>IFERROR(__xludf.DUMMYFUNCTION("""COMPUTED_VALUE"""),1472.0)</f>
        <v>1472</v>
      </c>
    </row>
    <row r="1208">
      <c r="A1208" s="4">
        <f>IFERROR(__xludf.DUMMYFUNCTION("""COMPUTED_VALUE"""),43576.0)</f>
        <v>43576</v>
      </c>
      <c r="B1208" s="5">
        <f>IFERROR(__xludf.DUMMYFUNCTION("""COMPUTED_VALUE"""),1208.0)</f>
        <v>1208</v>
      </c>
      <c r="C1208" s="6">
        <f>IFERROR(__xludf.DUMMYFUNCTION("""COMPUTED_VALUE"""),0.3659)</f>
        <v>0.3659</v>
      </c>
      <c r="D1208" s="2">
        <f>IFERROR(__xludf.DUMMYFUNCTION("""COMPUTED_VALUE"""),0.0017013888888888888)</f>
        <v>0.001701388889</v>
      </c>
      <c r="E1208" s="1">
        <f>IFERROR(__xludf.DUMMYFUNCTION("""COMPUTED_VALUE"""),1.29)</f>
        <v>1.29</v>
      </c>
      <c r="F1208" s="1">
        <f>IFERROR(__xludf.DUMMYFUNCTION("""COMPUTED_VALUE"""),5.14)</f>
        <v>5.14</v>
      </c>
      <c r="G1208" s="5">
        <f>IFERROR(__xludf.DUMMYFUNCTION("""COMPUTED_VALUE"""),7998.0)</f>
        <v>7998</v>
      </c>
      <c r="H1208" s="5">
        <f>IFERROR(__xludf.DUMMYFUNCTION("""COMPUTED_VALUE"""),1555.0)</f>
        <v>1555</v>
      </c>
    </row>
    <row r="1209">
      <c r="A1209" s="4">
        <f>IFERROR(__xludf.DUMMYFUNCTION("""COMPUTED_VALUE"""),43577.0)</f>
        <v>43577</v>
      </c>
      <c r="B1209" s="5">
        <f>IFERROR(__xludf.DUMMYFUNCTION("""COMPUTED_VALUE"""),2152.0)</f>
        <v>2152</v>
      </c>
      <c r="C1209" s="6">
        <f>IFERROR(__xludf.DUMMYFUNCTION("""COMPUTED_VALUE"""),0.3991)</f>
        <v>0.3991</v>
      </c>
      <c r="D1209" s="2">
        <f>IFERROR(__xludf.DUMMYFUNCTION("""COMPUTED_VALUE"""),0.0021180555555555558)</f>
        <v>0.002118055556</v>
      </c>
      <c r="E1209" s="1">
        <f>IFERROR(__xludf.DUMMYFUNCTION("""COMPUTED_VALUE"""),1.18)</f>
        <v>1.18</v>
      </c>
      <c r="F1209" s="1">
        <f>IFERROR(__xludf.DUMMYFUNCTION("""COMPUTED_VALUE"""),4.5)</f>
        <v>4.5</v>
      </c>
      <c r="G1209" s="5">
        <f>IFERROR(__xludf.DUMMYFUNCTION("""COMPUTED_VALUE"""),11442.0)</f>
        <v>11442</v>
      </c>
      <c r="H1209" s="5">
        <f>IFERROR(__xludf.DUMMYFUNCTION("""COMPUTED_VALUE"""),2541.0)</f>
        <v>2541</v>
      </c>
    </row>
    <row r="1210">
      <c r="A1210" s="4">
        <f>IFERROR(__xludf.DUMMYFUNCTION("""COMPUTED_VALUE"""),43578.0)</f>
        <v>43578</v>
      </c>
      <c r="B1210" s="5">
        <f>IFERROR(__xludf.DUMMYFUNCTION("""COMPUTED_VALUE"""),2541.0)</f>
        <v>2541</v>
      </c>
      <c r="C1210" s="6">
        <f>IFERROR(__xludf.DUMMYFUNCTION("""COMPUTED_VALUE"""),0.4123)</f>
        <v>0.4123</v>
      </c>
      <c r="D1210" s="2">
        <f>IFERROR(__xludf.DUMMYFUNCTION("""COMPUTED_VALUE"""),0.0017476851851851852)</f>
        <v>0.001747685185</v>
      </c>
      <c r="E1210" s="1">
        <f>IFERROR(__xludf.DUMMYFUNCTION("""COMPUTED_VALUE"""),1.15)</f>
        <v>1.15</v>
      </c>
      <c r="F1210" s="1">
        <f>IFERROR(__xludf.DUMMYFUNCTION("""COMPUTED_VALUE"""),3.96)</f>
        <v>3.96</v>
      </c>
      <c r="G1210" s="5">
        <f>IFERROR(__xludf.DUMMYFUNCTION("""COMPUTED_VALUE"""),11594.0)</f>
        <v>11594</v>
      </c>
      <c r="H1210" s="5">
        <f>IFERROR(__xludf.DUMMYFUNCTION("""COMPUTED_VALUE"""),2930.0)</f>
        <v>2930</v>
      </c>
    </row>
    <row r="1211">
      <c r="A1211" s="4">
        <f>IFERROR(__xludf.DUMMYFUNCTION("""COMPUTED_VALUE"""),43579.0)</f>
        <v>43579</v>
      </c>
      <c r="B1211" s="5">
        <f>IFERROR(__xludf.DUMMYFUNCTION("""COMPUTED_VALUE"""),2485.0)</f>
        <v>2485</v>
      </c>
      <c r="C1211" s="6">
        <f>IFERROR(__xludf.DUMMYFUNCTION("""COMPUTED_VALUE"""),0.4535)</f>
        <v>0.4535</v>
      </c>
      <c r="D1211" s="2">
        <f>IFERROR(__xludf.DUMMYFUNCTION("""COMPUTED_VALUE"""),0.0018981481481481482)</f>
        <v>0.001898148148</v>
      </c>
      <c r="E1211" s="1">
        <f>IFERROR(__xludf.DUMMYFUNCTION("""COMPUTED_VALUE"""),1.15)</f>
        <v>1.15</v>
      </c>
      <c r="F1211" s="1">
        <f>IFERROR(__xludf.DUMMYFUNCTION("""COMPUTED_VALUE"""),4.5)</f>
        <v>4.5</v>
      </c>
      <c r="G1211" s="5">
        <f>IFERROR(__xludf.DUMMYFUNCTION("""COMPUTED_VALUE"""),12802.0)</f>
        <v>12802</v>
      </c>
      <c r="H1211" s="5">
        <f>IFERROR(__xludf.DUMMYFUNCTION("""COMPUTED_VALUE"""),2847.0)</f>
        <v>2847</v>
      </c>
    </row>
    <row r="1212">
      <c r="A1212" s="4">
        <f>IFERROR(__xludf.DUMMYFUNCTION("""COMPUTED_VALUE"""),43580.0)</f>
        <v>43580</v>
      </c>
      <c r="B1212" s="5">
        <f>IFERROR(__xludf.DUMMYFUNCTION("""COMPUTED_VALUE"""),2208.0)</f>
        <v>2208</v>
      </c>
      <c r="C1212" s="6">
        <f>IFERROR(__xludf.DUMMYFUNCTION("""COMPUTED_VALUE"""),0.4736)</f>
        <v>0.4736</v>
      </c>
      <c r="D1212" s="2">
        <f>IFERROR(__xludf.DUMMYFUNCTION("""COMPUTED_VALUE"""),0.002037037037037037)</f>
        <v>0.002037037037</v>
      </c>
      <c r="E1212" s="1">
        <f>IFERROR(__xludf.DUMMYFUNCTION("""COMPUTED_VALUE"""),1.18)</f>
        <v>1.18</v>
      </c>
      <c r="F1212" s="1">
        <f>IFERROR(__xludf.DUMMYFUNCTION("""COMPUTED_VALUE"""),4.26)</f>
        <v>4.26</v>
      </c>
      <c r="G1212" s="5">
        <f>IFERROR(__xludf.DUMMYFUNCTION("""COMPUTED_VALUE"""),11122.0)</f>
        <v>11122</v>
      </c>
      <c r="H1212" s="5">
        <f>IFERROR(__xludf.DUMMYFUNCTION("""COMPUTED_VALUE"""),2610.0)</f>
        <v>2610</v>
      </c>
    </row>
    <row r="1213">
      <c r="A1213" s="4">
        <f>IFERROR(__xludf.DUMMYFUNCTION("""COMPUTED_VALUE"""),43581.0)</f>
        <v>43581</v>
      </c>
      <c r="B1213" s="5">
        <f>IFERROR(__xludf.DUMMYFUNCTION("""COMPUTED_VALUE"""),2097.0)</f>
        <v>2097</v>
      </c>
      <c r="C1213" s="6">
        <f>IFERROR(__xludf.DUMMYFUNCTION("""COMPUTED_VALUE"""),0.4912)</f>
        <v>0.4912</v>
      </c>
      <c r="D1213" s="2">
        <f>IFERROR(__xludf.DUMMYFUNCTION("""COMPUTED_VALUE"""),0.0017708333333333332)</f>
        <v>0.001770833333</v>
      </c>
      <c r="E1213" s="1">
        <f>IFERROR(__xludf.DUMMYFUNCTION("""COMPUTED_VALUE"""),1.11)</f>
        <v>1.11</v>
      </c>
      <c r="F1213" s="1">
        <f>IFERROR(__xludf.DUMMYFUNCTION("""COMPUTED_VALUE"""),3.95)</f>
        <v>3.95</v>
      </c>
      <c r="G1213" s="5">
        <f>IFERROR(__xludf.DUMMYFUNCTION("""COMPUTED_VALUE"""),9164.0)</f>
        <v>9164</v>
      </c>
      <c r="H1213" s="5">
        <f>IFERROR(__xludf.DUMMYFUNCTION("""COMPUTED_VALUE"""),2319.0)</f>
        <v>2319</v>
      </c>
    </row>
    <row r="1214">
      <c r="A1214" s="4">
        <f>IFERROR(__xludf.DUMMYFUNCTION("""COMPUTED_VALUE"""),43582.0)</f>
        <v>43582</v>
      </c>
      <c r="B1214" s="5">
        <f>IFERROR(__xludf.DUMMYFUNCTION("""COMPUTED_VALUE"""),1347.0)</f>
        <v>1347</v>
      </c>
      <c r="C1214" s="6">
        <f>IFERROR(__xludf.DUMMYFUNCTION("""COMPUTED_VALUE"""),0.468)</f>
        <v>0.468</v>
      </c>
      <c r="D1214" s="2">
        <f>IFERROR(__xludf.DUMMYFUNCTION("""COMPUTED_VALUE"""),0.002777777777777778)</f>
        <v>0.002777777778</v>
      </c>
      <c r="E1214" s="1">
        <f>IFERROR(__xludf.DUMMYFUNCTION("""COMPUTED_VALUE"""),1.3)</f>
        <v>1.3</v>
      </c>
      <c r="F1214" s="1">
        <f>IFERROR(__xludf.DUMMYFUNCTION("""COMPUTED_VALUE"""),4.89)</f>
        <v>4.89</v>
      </c>
      <c r="G1214" s="5">
        <f>IFERROR(__xludf.DUMMYFUNCTION("""COMPUTED_VALUE"""),8553.0)</f>
        <v>8553</v>
      </c>
      <c r="H1214" s="5">
        <f>IFERROR(__xludf.DUMMYFUNCTION("""COMPUTED_VALUE"""),1750.0)</f>
        <v>1750</v>
      </c>
    </row>
    <row r="1215">
      <c r="A1215" s="4">
        <f>IFERROR(__xludf.DUMMYFUNCTION("""COMPUTED_VALUE"""),43583.0)</f>
        <v>43583</v>
      </c>
      <c r="B1215" s="5">
        <f>IFERROR(__xludf.DUMMYFUNCTION("""COMPUTED_VALUE"""),1527.0)</f>
        <v>1527</v>
      </c>
      <c r="C1215" s="6">
        <f>IFERROR(__xludf.DUMMYFUNCTION("""COMPUTED_VALUE"""),0.4061)</f>
        <v>0.4061</v>
      </c>
      <c r="D1215" s="2">
        <f>IFERROR(__xludf.DUMMYFUNCTION("""COMPUTED_VALUE"""),0.0022337962962962962)</f>
        <v>0.002233796296</v>
      </c>
      <c r="E1215" s="1">
        <f>IFERROR(__xludf.DUMMYFUNCTION("""COMPUTED_VALUE"""),1.21)</f>
        <v>1.21</v>
      </c>
      <c r="F1215" s="1">
        <f>IFERROR(__xludf.DUMMYFUNCTION("""COMPUTED_VALUE"""),4.76)</f>
        <v>4.76</v>
      </c>
      <c r="G1215" s="5">
        <f>IFERROR(__xludf.DUMMYFUNCTION("""COMPUTED_VALUE"""),8789.0)</f>
        <v>8789</v>
      </c>
      <c r="H1215" s="5">
        <f>IFERROR(__xludf.DUMMYFUNCTION("""COMPUTED_VALUE"""),1847.0)</f>
        <v>1847</v>
      </c>
    </row>
    <row r="1216">
      <c r="A1216" s="4">
        <f>IFERROR(__xludf.DUMMYFUNCTION("""COMPUTED_VALUE"""),43584.0)</f>
        <v>43584</v>
      </c>
      <c r="B1216" s="5">
        <f>IFERROR(__xludf.DUMMYFUNCTION("""COMPUTED_VALUE"""),2319.0)</f>
        <v>2319</v>
      </c>
      <c r="C1216" s="6">
        <f>IFERROR(__xludf.DUMMYFUNCTION("""COMPUTED_VALUE"""),0.3445)</f>
        <v>0.3445</v>
      </c>
      <c r="D1216" s="2">
        <f>IFERROR(__xludf.DUMMYFUNCTION("""COMPUTED_VALUE"""),0.0022569444444444442)</f>
        <v>0.002256944444</v>
      </c>
      <c r="E1216" s="1">
        <f>IFERROR(__xludf.DUMMYFUNCTION("""COMPUTED_VALUE"""),1.08)</f>
        <v>1.08</v>
      </c>
      <c r="F1216" s="1">
        <f>IFERROR(__xludf.DUMMYFUNCTION("""COMPUTED_VALUE"""),5.46)</f>
        <v>5.46</v>
      </c>
      <c r="G1216" s="5">
        <f>IFERROR(__xludf.DUMMYFUNCTION("""COMPUTED_VALUE"""),13635.0)</f>
        <v>13635</v>
      </c>
      <c r="H1216" s="5">
        <f>IFERROR(__xludf.DUMMYFUNCTION("""COMPUTED_VALUE"""),2499.0)</f>
        <v>2499</v>
      </c>
    </row>
    <row r="1217">
      <c r="A1217" s="4">
        <f>IFERROR(__xludf.DUMMYFUNCTION("""COMPUTED_VALUE"""),43585.0)</f>
        <v>43585</v>
      </c>
      <c r="B1217" s="5">
        <f>IFERROR(__xludf.DUMMYFUNCTION("""COMPUTED_VALUE"""),2194.0)</f>
        <v>2194</v>
      </c>
      <c r="C1217" s="6">
        <f>IFERROR(__xludf.DUMMYFUNCTION("""COMPUTED_VALUE"""),0.3482)</f>
        <v>0.3482</v>
      </c>
      <c r="D1217" s="2">
        <f>IFERROR(__xludf.DUMMYFUNCTION("""COMPUTED_VALUE"""),0.0017708333333333332)</f>
        <v>0.001770833333</v>
      </c>
      <c r="E1217" s="1">
        <f>IFERROR(__xludf.DUMMYFUNCTION("""COMPUTED_VALUE"""),1.15)</f>
        <v>1.15</v>
      </c>
      <c r="F1217" s="1">
        <f>IFERROR(__xludf.DUMMYFUNCTION("""COMPUTED_VALUE"""),4.41)</f>
        <v>4.41</v>
      </c>
      <c r="G1217" s="5">
        <f>IFERROR(__xludf.DUMMYFUNCTION("""COMPUTED_VALUE"""),11081.0)</f>
        <v>11081</v>
      </c>
      <c r="H1217" s="5">
        <f>IFERROR(__xludf.DUMMYFUNCTION("""COMPUTED_VALUE"""),2513.0)</f>
        <v>2513</v>
      </c>
    </row>
    <row r="1218">
      <c r="A1218" s="4">
        <f>IFERROR(__xludf.DUMMYFUNCTION("""COMPUTED_VALUE"""),43586.0)</f>
        <v>43586</v>
      </c>
      <c r="B1218" s="5">
        <f>IFERROR(__xludf.DUMMYFUNCTION("""COMPUTED_VALUE"""),2097.0)</f>
        <v>2097</v>
      </c>
      <c r="C1218" s="6">
        <f>IFERROR(__xludf.DUMMYFUNCTION("""COMPUTED_VALUE"""),0.4182)</f>
        <v>0.4182</v>
      </c>
      <c r="D1218" s="2">
        <f>IFERROR(__xludf.DUMMYFUNCTION("""COMPUTED_VALUE"""),0.0015625)</f>
        <v>0.0015625</v>
      </c>
      <c r="E1218" s="1">
        <f>IFERROR(__xludf.DUMMYFUNCTION("""COMPUTED_VALUE"""),1.09)</f>
        <v>1.09</v>
      </c>
      <c r="F1218" s="1">
        <f>IFERROR(__xludf.DUMMYFUNCTION("""COMPUTED_VALUE"""),3.7)</f>
        <v>3.7</v>
      </c>
      <c r="G1218" s="5">
        <f>IFERROR(__xludf.DUMMYFUNCTION("""COMPUTED_VALUE"""),8470.0)</f>
        <v>8470</v>
      </c>
      <c r="H1218" s="5">
        <f>IFERROR(__xludf.DUMMYFUNCTION("""COMPUTED_VALUE"""),2291.0)</f>
        <v>2291</v>
      </c>
    </row>
    <row r="1219">
      <c r="A1219" s="4">
        <f>IFERROR(__xludf.DUMMYFUNCTION("""COMPUTED_VALUE"""),43587.0)</f>
        <v>43587</v>
      </c>
      <c r="B1219" s="5">
        <f>IFERROR(__xludf.DUMMYFUNCTION("""COMPUTED_VALUE"""),2416.0)</f>
        <v>2416</v>
      </c>
      <c r="C1219" s="6">
        <f>IFERROR(__xludf.DUMMYFUNCTION("""COMPUTED_VALUE"""),0.3922)</f>
        <v>0.3922</v>
      </c>
      <c r="D1219" s="2">
        <f>IFERROR(__xludf.DUMMYFUNCTION("""COMPUTED_VALUE"""),0.0022569444444444442)</f>
        <v>0.002256944444</v>
      </c>
      <c r="E1219" s="1">
        <f>IFERROR(__xludf.DUMMYFUNCTION("""COMPUTED_VALUE"""),1.17)</f>
        <v>1.17</v>
      </c>
      <c r="F1219" s="1">
        <f>IFERROR(__xludf.DUMMYFUNCTION("""COMPUTED_VALUE"""),4.67)</f>
        <v>4.67</v>
      </c>
      <c r="G1219" s="5">
        <f>IFERROR(__xludf.DUMMYFUNCTION("""COMPUTED_VALUE"""),13233.0)</f>
        <v>13233</v>
      </c>
      <c r="H1219" s="5">
        <f>IFERROR(__xludf.DUMMYFUNCTION("""COMPUTED_VALUE"""),2833.0)</f>
        <v>2833</v>
      </c>
    </row>
    <row r="1220">
      <c r="A1220" s="4">
        <f>IFERROR(__xludf.DUMMYFUNCTION("""COMPUTED_VALUE"""),43588.0)</f>
        <v>43588</v>
      </c>
      <c r="B1220" s="5">
        <f>IFERROR(__xludf.DUMMYFUNCTION("""COMPUTED_VALUE"""),2444.0)</f>
        <v>2444</v>
      </c>
      <c r="C1220" s="6">
        <f>IFERROR(__xludf.DUMMYFUNCTION("""COMPUTED_VALUE"""),0.3844)</f>
        <v>0.3844</v>
      </c>
      <c r="D1220" s="2">
        <f>IFERROR(__xludf.DUMMYFUNCTION("""COMPUTED_VALUE"""),0.002511574074074074)</f>
        <v>0.002511574074</v>
      </c>
      <c r="E1220" s="1">
        <f>IFERROR(__xludf.DUMMYFUNCTION("""COMPUTED_VALUE"""),1.11)</f>
        <v>1.11</v>
      </c>
      <c r="F1220" s="1">
        <f>IFERROR(__xludf.DUMMYFUNCTION("""COMPUTED_VALUE"""),5.12)</f>
        <v>5.12</v>
      </c>
      <c r="G1220" s="5">
        <f>IFERROR(__xludf.DUMMYFUNCTION("""COMPUTED_VALUE"""),13858.0)</f>
        <v>13858</v>
      </c>
      <c r="H1220" s="5">
        <f>IFERROR(__xludf.DUMMYFUNCTION("""COMPUTED_VALUE"""),2708.0)</f>
        <v>2708</v>
      </c>
    </row>
    <row r="1221">
      <c r="A1221" s="4">
        <f>IFERROR(__xludf.DUMMYFUNCTION("""COMPUTED_VALUE"""),43589.0)</f>
        <v>43589</v>
      </c>
      <c r="B1221" s="5">
        <f>IFERROR(__xludf.DUMMYFUNCTION("""COMPUTED_VALUE"""),1541.0)</f>
        <v>1541</v>
      </c>
      <c r="C1221" s="6">
        <f>IFERROR(__xludf.DUMMYFUNCTION("""COMPUTED_VALUE"""),0.4887)</f>
        <v>0.4887</v>
      </c>
      <c r="D1221" s="2">
        <f>IFERROR(__xludf.DUMMYFUNCTION("""COMPUTED_VALUE"""),0.0017476851851851852)</f>
        <v>0.001747685185</v>
      </c>
      <c r="E1221" s="1">
        <f>IFERROR(__xludf.DUMMYFUNCTION("""COMPUTED_VALUE"""),1.18)</f>
        <v>1.18</v>
      </c>
      <c r="F1221" s="1">
        <f>IFERROR(__xludf.DUMMYFUNCTION("""COMPUTED_VALUE"""),4.17)</f>
        <v>4.17</v>
      </c>
      <c r="G1221" s="5">
        <f>IFERROR(__xludf.DUMMYFUNCTION("""COMPUTED_VALUE"""),7581.0)</f>
        <v>7581</v>
      </c>
      <c r="H1221" s="5">
        <f>IFERROR(__xludf.DUMMYFUNCTION("""COMPUTED_VALUE"""),1819.0)</f>
        <v>1819</v>
      </c>
    </row>
    <row r="1222">
      <c r="A1222" s="4">
        <f>IFERROR(__xludf.DUMMYFUNCTION("""COMPUTED_VALUE"""),43590.0)</f>
        <v>43590</v>
      </c>
      <c r="B1222" s="5">
        <f>IFERROR(__xludf.DUMMYFUNCTION("""COMPUTED_VALUE"""),1319.0)</f>
        <v>1319</v>
      </c>
      <c r="C1222" s="6">
        <f>IFERROR(__xludf.DUMMYFUNCTION("""COMPUTED_VALUE"""),0.425)</f>
        <v>0.425</v>
      </c>
      <c r="D1222" s="2">
        <f>IFERROR(__xludf.DUMMYFUNCTION("""COMPUTED_VALUE"""),0.001736111111111111)</f>
        <v>0.001736111111</v>
      </c>
      <c r="E1222" s="1">
        <f>IFERROR(__xludf.DUMMYFUNCTION("""COMPUTED_VALUE"""),1.26)</f>
        <v>1.26</v>
      </c>
      <c r="F1222" s="1">
        <f>IFERROR(__xludf.DUMMYFUNCTION("""COMPUTED_VALUE"""),3.3)</f>
        <v>3.3</v>
      </c>
      <c r="G1222" s="5">
        <f>IFERROR(__xludf.DUMMYFUNCTION("""COMPUTED_VALUE"""),5499.0)</f>
        <v>5499</v>
      </c>
      <c r="H1222" s="5">
        <f>IFERROR(__xludf.DUMMYFUNCTION("""COMPUTED_VALUE"""),1666.0)</f>
        <v>1666</v>
      </c>
    </row>
    <row r="1223">
      <c r="A1223" s="4">
        <f>IFERROR(__xludf.DUMMYFUNCTION("""COMPUTED_VALUE"""),43591.0)</f>
        <v>43591</v>
      </c>
      <c r="B1223" s="5">
        <f>IFERROR(__xludf.DUMMYFUNCTION("""COMPUTED_VALUE"""),2402.0)</f>
        <v>2402</v>
      </c>
      <c r="C1223" s="6">
        <f>IFERROR(__xludf.DUMMYFUNCTION("""COMPUTED_VALUE"""),0.3906)</f>
        <v>0.3906</v>
      </c>
      <c r="D1223" s="2">
        <f>IFERROR(__xludf.DUMMYFUNCTION("""COMPUTED_VALUE"""),0.001875)</f>
        <v>0.001875</v>
      </c>
      <c r="E1223" s="1">
        <f>IFERROR(__xludf.DUMMYFUNCTION("""COMPUTED_VALUE"""),1.21)</f>
        <v>1.21</v>
      </c>
      <c r="F1223" s="1">
        <f>IFERROR(__xludf.DUMMYFUNCTION("""COMPUTED_VALUE"""),4.46)</f>
        <v>4.46</v>
      </c>
      <c r="G1223" s="5">
        <f>IFERROR(__xludf.DUMMYFUNCTION("""COMPUTED_VALUE"""),12997.0)</f>
        <v>12997</v>
      </c>
      <c r="H1223" s="5">
        <f>IFERROR(__xludf.DUMMYFUNCTION("""COMPUTED_VALUE"""),2916.0)</f>
        <v>2916</v>
      </c>
    </row>
    <row r="1224">
      <c r="A1224" s="4">
        <f>IFERROR(__xludf.DUMMYFUNCTION("""COMPUTED_VALUE"""),43592.0)</f>
        <v>43592</v>
      </c>
      <c r="B1224" s="5">
        <f>IFERROR(__xludf.DUMMYFUNCTION("""COMPUTED_VALUE"""),3166.0)</f>
        <v>3166</v>
      </c>
      <c r="C1224" s="6">
        <f>IFERROR(__xludf.DUMMYFUNCTION("""COMPUTED_VALUE"""),0.385)</f>
        <v>0.385</v>
      </c>
      <c r="D1224" s="2">
        <f>IFERROR(__xludf.DUMMYFUNCTION("""COMPUTED_VALUE"""),0.001979166666666667)</f>
        <v>0.001979166667</v>
      </c>
      <c r="E1224" s="1">
        <f>IFERROR(__xludf.DUMMYFUNCTION("""COMPUTED_VALUE"""),1.11)</f>
        <v>1.11</v>
      </c>
      <c r="F1224" s="1">
        <f>IFERROR(__xludf.DUMMYFUNCTION("""COMPUTED_VALUE"""),4.25)</f>
        <v>4.25</v>
      </c>
      <c r="G1224" s="5">
        <f>IFERROR(__xludf.DUMMYFUNCTION("""COMPUTED_VALUE"""),14857.0)</f>
        <v>14857</v>
      </c>
      <c r="H1224" s="5">
        <f>IFERROR(__xludf.DUMMYFUNCTION("""COMPUTED_VALUE"""),3499.0)</f>
        <v>3499</v>
      </c>
    </row>
    <row r="1225">
      <c r="A1225" s="4">
        <f>IFERROR(__xludf.DUMMYFUNCTION("""COMPUTED_VALUE"""),43593.0)</f>
        <v>43593</v>
      </c>
      <c r="B1225" s="5">
        <f>IFERROR(__xludf.DUMMYFUNCTION("""COMPUTED_VALUE"""),2958.0)</f>
        <v>2958</v>
      </c>
      <c r="C1225" s="6">
        <f>IFERROR(__xludf.DUMMYFUNCTION("""COMPUTED_VALUE"""),0.3981)</f>
        <v>0.3981</v>
      </c>
      <c r="D1225" s="2">
        <f>IFERROR(__xludf.DUMMYFUNCTION("""COMPUTED_VALUE"""),0.0019212962962962964)</f>
        <v>0.001921296296</v>
      </c>
      <c r="E1225" s="1">
        <f>IFERROR(__xludf.DUMMYFUNCTION("""COMPUTED_VALUE"""),1.08)</f>
        <v>1.08</v>
      </c>
      <c r="F1225" s="1">
        <f>IFERROR(__xludf.DUMMYFUNCTION("""COMPUTED_VALUE"""),4.32)</f>
        <v>4.32</v>
      </c>
      <c r="G1225" s="5">
        <f>IFERROR(__xludf.DUMMYFUNCTION("""COMPUTED_VALUE"""),13844.0)</f>
        <v>13844</v>
      </c>
      <c r="H1225" s="5">
        <f>IFERROR(__xludf.DUMMYFUNCTION("""COMPUTED_VALUE"""),3208.0)</f>
        <v>3208</v>
      </c>
    </row>
    <row r="1226">
      <c r="A1226" s="4">
        <f>IFERROR(__xludf.DUMMYFUNCTION("""COMPUTED_VALUE"""),43594.0)</f>
        <v>43594</v>
      </c>
      <c r="B1226" s="5">
        <f>IFERROR(__xludf.DUMMYFUNCTION("""COMPUTED_VALUE"""),2791.0)</f>
        <v>2791</v>
      </c>
      <c r="C1226" s="6">
        <f>IFERROR(__xludf.DUMMYFUNCTION("""COMPUTED_VALUE"""),0.4037)</f>
        <v>0.4037</v>
      </c>
      <c r="D1226" s="2">
        <f>IFERROR(__xludf.DUMMYFUNCTION("""COMPUTED_VALUE"""),0.002395833333333333)</f>
        <v>0.002395833333</v>
      </c>
      <c r="E1226" s="1">
        <f>IFERROR(__xludf.DUMMYFUNCTION("""COMPUTED_VALUE"""),1.11)</f>
        <v>1.11</v>
      </c>
      <c r="F1226" s="1">
        <f>IFERROR(__xludf.DUMMYFUNCTION("""COMPUTED_VALUE"""),4.74)</f>
        <v>4.74</v>
      </c>
      <c r="G1226" s="5">
        <f>IFERROR(__xludf.DUMMYFUNCTION("""COMPUTED_VALUE"""),14677.0)</f>
        <v>14677</v>
      </c>
      <c r="H1226" s="5">
        <f>IFERROR(__xludf.DUMMYFUNCTION("""COMPUTED_VALUE"""),3096.0)</f>
        <v>3096</v>
      </c>
    </row>
    <row r="1227">
      <c r="A1227" s="4">
        <f>IFERROR(__xludf.DUMMYFUNCTION("""COMPUTED_VALUE"""),43595.0)</f>
        <v>43595</v>
      </c>
      <c r="B1227" s="5">
        <f>IFERROR(__xludf.DUMMYFUNCTION("""COMPUTED_VALUE"""),2277.0)</f>
        <v>2277</v>
      </c>
      <c r="C1227" s="6">
        <f>IFERROR(__xludf.DUMMYFUNCTION("""COMPUTED_VALUE"""),0.4649)</f>
        <v>0.4649</v>
      </c>
      <c r="D1227" s="2">
        <f>IFERROR(__xludf.DUMMYFUNCTION("""COMPUTED_VALUE"""),0.002002314814814815)</f>
        <v>0.002002314815</v>
      </c>
      <c r="E1227" s="1">
        <f>IFERROR(__xludf.DUMMYFUNCTION("""COMPUTED_VALUE"""),1.22)</f>
        <v>1.22</v>
      </c>
      <c r="F1227" s="1">
        <f>IFERROR(__xludf.DUMMYFUNCTION("""COMPUTED_VALUE"""),4.06)</f>
        <v>4.06</v>
      </c>
      <c r="G1227" s="5">
        <f>IFERROR(__xludf.DUMMYFUNCTION("""COMPUTED_VALUE"""),11275.0)</f>
        <v>11275</v>
      </c>
      <c r="H1227" s="5">
        <f>IFERROR(__xludf.DUMMYFUNCTION("""COMPUTED_VALUE"""),2777.0)</f>
        <v>2777</v>
      </c>
    </row>
    <row r="1228">
      <c r="A1228" s="4">
        <f>IFERROR(__xludf.DUMMYFUNCTION("""COMPUTED_VALUE"""),43596.0)</f>
        <v>43596</v>
      </c>
      <c r="B1228" s="5">
        <f>IFERROR(__xludf.DUMMYFUNCTION("""COMPUTED_VALUE"""),1541.0)</f>
        <v>1541</v>
      </c>
      <c r="C1228" s="6">
        <f>IFERROR(__xludf.DUMMYFUNCTION("""COMPUTED_VALUE"""),0.3936)</f>
        <v>0.3936</v>
      </c>
      <c r="D1228" s="2">
        <f>IFERROR(__xludf.DUMMYFUNCTION("""COMPUTED_VALUE"""),0.0016550925925925926)</f>
        <v>0.001655092593</v>
      </c>
      <c r="E1228" s="1">
        <f>IFERROR(__xludf.DUMMYFUNCTION("""COMPUTED_VALUE"""),1.14)</f>
        <v>1.14</v>
      </c>
      <c r="F1228" s="1">
        <f>IFERROR(__xludf.DUMMYFUNCTION("""COMPUTED_VALUE"""),4.18)</f>
        <v>4.18</v>
      </c>
      <c r="G1228" s="5">
        <f>IFERROR(__xludf.DUMMYFUNCTION("""COMPUTED_VALUE"""),7373.0)</f>
        <v>7373</v>
      </c>
      <c r="H1228" s="5">
        <f>IFERROR(__xludf.DUMMYFUNCTION("""COMPUTED_VALUE"""),1763.0)</f>
        <v>1763</v>
      </c>
    </row>
    <row r="1229">
      <c r="A1229" s="4">
        <f>IFERROR(__xludf.DUMMYFUNCTION("""COMPUTED_VALUE"""),43597.0)</f>
        <v>43597</v>
      </c>
      <c r="B1229" s="5">
        <f>IFERROR(__xludf.DUMMYFUNCTION("""COMPUTED_VALUE"""),1444.0)</f>
        <v>1444</v>
      </c>
      <c r="C1229" s="6">
        <f>IFERROR(__xludf.DUMMYFUNCTION("""COMPUTED_VALUE"""),0.4879)</f>
        <v>0.4879</v>
      </c>
      <c r="D1229" s="2">
        <f>IFERROR(__xludf.DUMMYFUNCTION("""COMPUTED_VALUE"""),0.0020486111111111113)</f>
        <v>0.002048611111</v>
      </c>
      <c r="E1229" s="1">
        <f>IFERROR(__xludf.DUMMYFUNCTION("""COMPUTED_VALUE"""),1.2)</f>
        <v>1.2</v>
      </c>
      <c r="F1229" s="1">
        <f>IFERROR(__xludf.DUMMYFUNCTION("""COMPUTED_VALUE"""),4.43)</f>
        <v>4.43</v>
      </c>
      <c r="G1229" s="5">
        <f>IFERROR(__xludf.DUMMYFUNCTION("""COMPUTED_VALUE"""),7693.0)</f>
        <v>7693</v>
      </c>
      <c r="H1229" s="5">
        <f>IFERROR(__xludf.DUMMYFUNCTION("""COMPUTED_VALUE"""),1736.0)</f>
        <v>1736</v>
      </c>
    </row>
    <row r="1230">
      <c r="A1230" s="4">
        <f>IFERROR(__xludf.DUMMYFUNCTION("""COMPUTED_VALUE"""),43598.0)</f>
        <v>43598</v>
      </c>
      <c r="B1230" s="5">
        <f>IFERROR(__xludf.DUMMYFUNCTION("""COMPUTED_VALUE"""),2319.0)</f>
        <v>2319</v>
      </c>
      <c r="C1230" s="6">
        <f>IFERROR(__xludf.DUMMYFUNCTION("""COMPUTED_VALUE"""),0.4116)</f>
        <v>0.4116</v>
      </c>
      <c r="D1230" s="2">
        <f>IFERROR(__xludf.DUMMYFUNCTION("""COMPUTED_VALUE"""),0.002627314814814815)</f>
        <v>0.002627314815</v>
      </c>
      <c r="E1230" s="1">
        <f>IFERROR(__xludf.DUMMYFUNCTION("""COMPUTED_VALUE"""),1.22)</f>
        <v>1.22</v>
      </c>
      <c r="F1230" s="1">
        <f>IFERROR(__xludf.DUMMYFUNCTION("""COMPUTED_VALUE"""),4.24)</f>
        <v>4.24</v>
      </c>
      <c r="G1230" s="5">
        <f>IFERROR(__xludf.DUMMYFUNCTION("""COMPUTED_VALUE"""),12025.0)</f>
        <v>12025</v>
      </c>
      <c r="H1230" s="5">
        <f>IFERROR(__xludf.DUMMYFUNCTION("""COMPUTED_VALUE"""),2833.0)</f>
        <v>2833</v>
      </c>
    </row>
    <row r="1231">
      <c r="A1231" s="4">
        <f>IFERROR(__xludf.DUMMYFUNCTION("""COMPUTED_VALUE"""),43599.0)</f>
        <v>43599</v>
      </c>
      <c r="B1231" s="5">
        <f>IFERROR(__xludf.DUMMYFUNCTION("""COMPUTED_VALUE"""),2347.0)</f>
        <v>2347</v>
      </c>
      <c r="C1231" s="6">
        <f>IFERROR(__xludf.DUMMYFUNCTION("""COMPUTED_VALUE"""),0.4301)</f>
        <v>0.4301</v>
      </c>
      <c r="D1231" s="2">
        <f>IFERROR(__xludf.DUMMYFUNCTION("""COMPUTED_VALUE"""),0.0019097222222222222)</f>
        <v>0.001909722222</v>
      </c>
      <c r="E1231" s="1">
        <f>IFERROR(__xludf.DUMMYFUNCTION("""COMPUTED_VALUE"""),1.1)</f>
        <v>1.1</v>
      </c>
      <c r="F1231" s="1">
        <f>IFERROR(__xludf.DUMMYFUNCTION("""COMPUTED_VALUE"""),3.95)</f>
        <v>3.95</v>
      </c>
      <c r="G1231" s="5">
        <f>IFERROR(__xludf.DUMMYFUNCTION("""COMPUTED_VALUE"""),10192.0)</f>
        <v>10192</v>
      </c>
      <c r="H1231" s="5">
        <f>IFERROR(__xludf.DUMMYFUNCTION("""COMPUTED_VALUE"""),2583.0)</f>
        <v>2583</v>
      </c>
    </row>
    <row r="1232">
      <c r="A1232" s="4">
        <f>IFERROR(__xludf.DUMMYFUNCTION("""COMPUTED_VALUE"""),43600.0)</f>
        <v>43600</v>
      </c>
      <c r="B1232" s="5">
        <f>IFERROR(__xludf.DUMMYFUNCTION("""COMPUTED_VALUE"""),2388.0)</f>
        <v>2388</v>
      </c>
      <c r="C1232" s="6">
        <f>IFERROR(__xludf.DUMMYFUNCTION("""COMPUTED_VALUE"""),0.4501)</f>
        <v>0.4501</v>
      </c>
      <c r="D1232" s="2">
        <f>IFERROR(__xludf.DUMMYFUNCTION("""COMPUTED_VALUE"""),0.0024074074074074076)</f>
        <v>0.002407407407</v>
      </c>
      <c r="E1232" s="1">
        <f>IFERROR(__xludf.DUMMYFUNCTION("""COMPUTED_VALUE"""),1.16)</f>
        <v>1.16</v>
      </c>
      <c r="F1232" s="1">
        <f>IFERROR(__xludf.DUMMYFUNCTION("""COMPUTED_VALUE"""),4.95)</f>
        <v>4.95</v>
      </c>
      <c r="G1232" s="5">
        <f>IFERROR(__xludf.DUMMYFUNCTION("""COMPUTED_VALUE"""),13733.0)</f>
        <v>13733</v>
      </c>
      <c r="H1232" s="5">
        <f>IFERROR(__xludf.DUMMYFUNCTION("""COMPUTED_VALUE"""),2777.0)</f>
        <v>2777</v>
      </c>
    </row>
    <row r="1233">
      <c r="A1233" s="4">
        <f>IFERROR(__xludf.DUMMYFUNCTION("""COMPUTED_VALUE"""),43601.0)</f>
        <v>43601</v>
      </c>
      <c r="B1233" s="5">
        <f>IFERROR(__xludf.DUMMYFUNCTION("""COMPUTED_VALUE"""),2347.0)</f>
        <v>2347</v>
      </c>
      <c r="C1233" s="6">
        <f>IFERROR(__xludf.DUMMYFUNCTION("""COMPUTED_VALUE"""),0.4154)</f>
        <v>0.4154</v>
      </c>
      <c r="D1233" s="2">
        <f>IFERROR(__xludf.DUMMYFUNCTION("""COMPUTED_VALUE"""),0.0022916666666666667)</f>
        <v>0.002291666667</v>
      </c>
      <c r="E1233" s="1">
        <f>IFERROR(__xludf.DUMMYFUNCTION("""COMPUTED_VALUE"""),1.15)</f>
        <v>1.15</v>
      </c>
      <c r="F1233" s="1">
        <f>IFERROR(__xludf.DUMMYFUNCTION("""COMPUTED_VALUE"""),4.45)</f>
        <v>4.45</v>
      </c>
      <c r="G1233" s="5">
        <f>IFERROR(__xludf.DUMMYFUNCTION("""COMPUTED_VALUE"""),12039.0)</f>
        <v>12039</v>
      </c>
      <c r="H1233" s="5">
        <f>IFERROR(__xludf.DUMMYFUNCTION("""COMPUTED_VALUE"""),2708.0)</f>
        <v>2708</v>
      </c>
    </row>
    <row r="1234">
      <c r="A1234" s="4">
        <f>IFERROR(__xludf.DUMMYFUNCTION("""COMPUTED_VALUE"""),43602.0)</f>
        <v>43602</v>
      </c>
      <c r="B1234" s="5">
        <f>IFERROR(__xludf.DUMMYFUNCTION("""COMPUTED_VALUE"""),2027.0)</f>
        <v>2027</v>
      </c>
      <c r="C1234" s="6">
        <f>IFERROR(__xludf.DUMMYFUNCTION("""COMPUTED_VALUE"""),0.3843)</f>
        <v>0.3843</v>
      </c>
      <c r="D1234" s="2">
        <f>IFERROR(__xludf.DUMMYFUNCTION("""COMPUTED_VALUE"""),0.0015625)</f>
        <v>0.0015625</v>
      </c>
      <c r="E1234" s="1">
        <f>IFERROR(__xludf.DUMMYFUNCTION("""COMPUTED_VALUE"""),1.12)</f>
        <v>1.12</v>
      </c>
      <c r="F1234" s="1">
        <f>IFERROR(__xludf.DUMMYFUNCTION("""COMPUTED_VALUE"""),4.74)</f>
        <v>4.74</v>
      </c>
      <c r="G1234" s="5">
        <f>IFERROR(__xludf.DUMMYFUNCTION("""COMPUTED_VALUE"""),10789.0)</f>
        <v>10789</v>
      </c>
      <c r="H1234" s="5">
        <f>IFERROR(__xludf.DUMMYFUNCTION("""COMPUTED_VALUE"""),2277.0)</f>
        <v>2277</v>
      </c>
    </row>
    <row r="1235">
      <c r="A1235" s="4">
        <f>IFERROR(__xludf.DUMMYFUNCTION("""COMPUTED_VALUE"""),43603.0)</f>
        <v>43603</v>
      </c>
      <c r="B1235" s="5">
        <f>IFERROR(__xludf.DUMMYFUNCTION("""COMPUTED_VALUE"""),1375.0)</f>
        <v>1375</v>
      </c>
      <c r="C1235" s="6">
        <f>IFERROR(__xludf.DUMMYFUNCTION("""COMPUTED_VALUE"""),0.4913)</f>
        <v>0.4913</v>
      </c>
      <c r="D1235" s="2">
        <f>IFERROR(__xludf.DUMMYFUNCTION("""COMPUTED_VALUE"""),0.001574074074074074)</f>
        <v>0.001574074074</v>
      </c>
      <c r="E1235" s="1">
        <f>IFERROR(__xludf.DUMMYFUNCTION("""COMPUTED_VALUE"""),1.13)</f>
        <v>1.13</v>
      </c>
      <c r="F1235" s="1">
        <f>IFERROR(__xludf.DUMMYFUNCTION("""COMPUTED_VALUE"""),4.46)</f>
        <v>4.46</v>
      </c>
      <c r="G1235" s="5">
        <f>IFERROR(__xludf.DUMMYFUNCTION("""COMPUTED_VALUE"""),6943.0)</f>
        <v>6943</v>
      </c>
      <c r="H1235" s="5">
        <f>IFERROR(__xludf.DUMMYFUNCTION("""COMPUTED_VALUE"""),1555.0)</f>
        <v>1555</v>
      </c>
    </row>
    <row r="1236">
      <c r="A1236" s="4">
        <f>IFERROR(__xludf.DUMMYFUNCTION("""COMPUTED_VALUE"""),43604.0)</f>
        <v>43604</v>
      </c>
      <c r="B1236" s="5">
        <f>IFERROR(__xludf.DUMMYFUNCTION("""COMPUTED_VALUE"""),1361.0)</f>
        <v>1361</v>
      </c>
      <c r="C1236" s="6">
        <f>IFERROR(__xludf.DUMMYFUNCTION("""COMPUTED_VALUE"""),0.5046)</f>
        <v>0.5046</v>
      </c>
      <c r="D1236" s="2">
        <f>IFERROR(__xludf.DUMMYFUNCTION("""COMPUTED_VALUE"""),0.0012268518518518518)</f>
        <v>0.001226851852</v>
      </c>
      <c r="E1236" s="1">
        <f>IFERROR(__xludf.DUMMYFUNCTION("""COMPUTED_VALUE"""),1.11)</f>
        <v>1.11</v>
      </c>
      <c r="F1236" s="1">
        <f>IFERROR(__xludf.DUMMYFUNCTION("""COMPUTED_VALUE"""),3.67)</f>
        <v>3.67</v>
      </c>
      <c r="G1236" s="5">
        <f>IFERROR(__xludf.DUMMYFUNCTION("""COMPUTED_VALUE"""),5554.0)</f>
        <v>5554</v>
      </c>
      <c r="H1236" s="5">
        <f>IFERROR(__xludf.DUMMYFUNCTION("""COMPUTED_VALUE"""),1514.0)</f>
        <v>1514</v>
      </c>
    </row>
    <row r="1237">
      <c r="A1237" s="4">
        <f>IFERROR(__xludf.DUMMYFUNCTION("""COMPUTED_VALUE"""),43605.0)</f>
        <v>43605</v>
      </c>
      <c r="B1237" s="5">
        <f>IFERROR(__xludf.DUMMYFUNCTION("""COMPUTED_VALUE"""),2430.0)</f>
        <v>2430</v>
      </c>
      <c r="C1237" s="6">
        <f>IFERROR(__xludf.DUMMYFUNCTION("""COMPUTED_VALUE"""),0.5185)</f>
        <v>0.5185</v>
      </c>
      <c r="D1237" s="2">
        <f>IFERROR(__xludf.DUMMYFUNCTION("""COMPUTED_VALUE"""),0.0013194444444444445)</f>
        <v>0.001319444444</v>
      </c>
      <c r="E1237" s="1">
        <f>IFERROR(__xludf.DUMMYFUNCTION("""COMPUTED_VALUE"""),1.09)</f>
        <v>1.09</v>
      </c>
      <c r="F1237" s="1">
        <f>IFERROR(__xludf.DUMMYFUNCTION("""COMPUTED_VALUE"""),3.57)</f>
        <v>3.57</v>
      </c>
      <c r="G1237" s="5">
        <f>IFERROR(__xludf.DUMMYFUNCTION("""COMPUTED_VALUE"""),9470.0)</f>
        <v>9470</v>
      </c>
      <c r="H1237" s="5">
        <f>IFERROR(__xludf.DUMMYFUNCTION("""COMPUTED_VALUE"""),2652.0)</f>
        <v>2652</v>
      </c>
    </row>
    <row r="1238">
      <c r="A1238" s="4">
        <f>IFERROR(__xludf.DUMMYFUNCTION("""COMPUTED_VALUE"""),43606.0)</f>
        <v>43606</v>
      </c>
      <c r="B1238" s="5">
        <f>IFERROR(__xludf.DUMMYFUNCTION("""COMPUTED_VALUE"""),2430.0)</f>
        <v>2430</v>
      </c>
      <c r="C1238" s="6">
        <f>IFERROR(__xludf.DUMMYFUNCTION("""COMPUTED_VALUE"""),0.4041)</f>
        <v>0.4041</v>
      </c>
      <c r="D1238" s="2">
        <f>IFERROR(__xludf.DUMMYFUNCTION("""COMPUTED_VALUE"""),0.0018402777777777777)</f>
        <v>0.001840277778</v>
      </c>
      <c r="E1238" s="1">
        <f>IFERROR(__xludf.DUMMYFUNCTION("""COMPUTED_VALUE"""),1.13)</f>
        <v>1.13</v>
      </c>
      <c r="F1238" s="1">
        <f>IFERROR(__xludf.DUMMYFUNCTION("""COMPUTED_VALUE"""),3.97)</f>
        <v>3.97</v>
      </c>
      <c r="G1238" s="5">
        <f>IFERROR(__xludf.DUMMYFUNCTION("""COMPUTED_VALUE"""),10914.0)</f>
        <v>10914</v>
      </c>
      <c r="H1238" s="5">
        <f>IFERROR(__xludf.DUMMYFUNCTION("""COMPUTED_VALUE"""),2749.0)</f>
        <v>2749</v>
      </c>
    </row>
    <row r="1239">
      <c r="A1239" s="4">
        <f>IFERROR(__xludf.DUMMYFUNCTION("""COMPUTED_VALUE"""),43607.0)</f>
        <v>43607</v>
      </c>
      <c r="B1239" s="5">
        <f>IFERROR(__xludf.DUMMYFUNCTION("""COMPUTED_VALUE"""),2374.0)</f>
        <v>2374</v>
      </c>
      <c r="C1239" s="6">
        <f>IFERROR(__xludf.DUMMYFUNCTION("""COMPUTED_VALUE"""),0.3939)</f>
        <v>0.3939</v>
      </c>
      <c r="D1239" s="2">
        <f>IFERROR(__xludf.DUMMYFUNCTION("""COMPUTED_VALUE"""),0.0022916666666666667)</f>
        <v>0.002291666667</v>
      </c>
      <c r="E1239" s="1">
        <f>IFERROR(__xludf.DUMMYFUNCTION("""COMPUTED_VALUE"""),1.1)</f>
        <v>1.1</v>
      </c>
      <c r="F1239" s="1">
        <f>IFERROR(__xludf.DUMMYFUNCTION("""COMPUTED_VALUE"""),4.74)</f>
        <v>4.74</v>
      </c>
      <c r="G1239" s="5">
        <f>IFERROR(__xludf.DUMMYFUNCTION("""COMPUTED_VALUE"""),12372.0)</f>
        <v>12372</v>
      </c>
      <c r="H1239" s="5">
        <f>IFERROR(__xludf.DUMMYFUNCTION("""COMPUTED_VALUE"""),2610.0)</f>
        <v>2610</v>
      </c>
    </row>
    <row r="1240">
      <c r="A1240" s="4">
        <f>IFERROR(__xludf.DUMMYFUNCTION("""COMPUTED_VALUE"""),43608.0)</f>
        <v>43608</v>
      </c>
      <c r="B1240" s="5">
        <f>IFERROR(__xludf.DUMMYFUNCTION("""COMPUTED_VALUE"""),2513.0)</f>
        <v>2513</v>
      </c>
      <c r="C1240" s="6">
        <f>IFERROR(__xludf.DUMMYFUNCTION("""COMPUTED_VALUE"""),0.3792)</f>
        <v>0.3792</v>
      </c>
      <c r="D1240" s="2">
        <f>IFERROR(__xludf.DUMMYFUNCTION("""COMPUTED_VALUE"""),0.0021180555555555558)</f>
        <v>0.002118055556</v>
      </c>
      <c r="E1240" s="1">
        <f>IFERROR(__xludf.DUMMYFUNCTION("""COMPUTED_VALUE"""),1.17)</f>
        <v>1.17</v>
      </c>
      <c r="F1240" s="1">
        <f>IFERROR(__xludf.DUMMYFUNCTION("""COMPUTED_VALUE"""),4.29)</f>
        <v>4.29</v>
      </c>
      <c r="G1240" s="5">
        <f>IFERROR(__xludf.DUMMYFUNCTION("""COMPUTED_VALUE"""),12580.0)</f>
        <v>12580</v>
      </c>
      <c r="H1240" s="5">
        <f>IFERROR(__xludf.DUMMYFUNCTION("""COMPUTED_VALUE"""),2930.0)</f>
        <v>2930</v>
      </c>
    </row>
    <row r="1241">
      <c r="A1241" s="4">
        <f>IFERROR(__xludf.DUMMYFUNCTION("""COMPUTED_VALUE"""),43609.0)</f>
        <v>43609</v>
      </c>
      <c r="B1241" s="5">
        <f>IFERROR(__xludf.DUMMYFUNCTION("""COMPUTED_VALUE"""),2194.0)</f>
        <v>2194</v>
      </c>
      <c r="C1241" s="6">
        <f>IFERROR(__xludf.DUMMYFUNCTION("""COMPUTED_VALUE"""),0.3965)</f>
        <v>0.3965</v>
      </c>
      <c r="D1241" s="2">
        <f>IFERROR(__xludf.DUMMYFUNCTION("""COMPUTED_VALUE"""),0.001863425925925926)</f>
        <v>0.001863425926</v>
      </c>
      <c r="E1241" s="1">
        <f>IFERROR(__xludf.DUMMYFUNCTION("""COMPUTED_VALUE"""),1.1)</f>
        <v>1.1</v>
      </c>
      <c r="F1241" s="1">
        <f>IFERROR(__xludf.DUMMYFUNCTION("""COMPUTED_VALUE"""),4.71)</f>
        <v>4.71</v>
      </c>
      <c r="G1241" s="5">
        <f>IFERROR(__xludf.DUMMYFUNCTION("""COMPUTED_VALUE"""),11372.0)</f>
        <v>11372</v>
      </c>
      <c r="H1241" s="5">
        <f>IFERROR(__xludf.DUMMYFUNCTION("""COMPUTED_VALUE"""),2416.0)</f>
        <v>2416</v>
      </c>
    </row>
    <row r="1242">
      <c r="A1242" s="4">
        <f>IFERROR(__xludf.DUMMYFUNCTION("""COMPUTED_VALUE"""),43610.0)</f>
        <v>43610</v>
      </c>
      <c r="B1242" s="5">
        <f>IFERROR(__xludf.DUMMYFUNCTION("""COMPUTED_VALUE"""),1375.0)</f>
        <v>1375</v>
      </c>
      <c r="C1242" s="6">
        <f>IFERROR(__xludf.DUMMYFUNCTION("""COMPUTED_VALUE"""),0.3983)</f>
        <v>0.3983</v>
      </c>
      <c r="D1242" s="2">
        <f>IFERROR(__xludf.DUMMYFUNCTION("""COMPUTED_VALUE"""),0.0016666666666666668)</f>
        <v>0.001666666667</v>
      </c>
      <c r="E1242" s="1">
        <f>IFERROR(__xludf.DUMMYFUNCTION("""COMPUTED_VALUE"""),1.14)</f>
        <v>1.14</v>
      </c>
      <c r="F1242" s="1">
        <f>IFERROR(__xludf.DUMMYFUNCTION("""COMPUTED_VALUE"""),5.13)</f>
        <v>5.13</v>
      </c>
      <c r="G1242" s="5">
        <f>IFERROR(__xludf.DUMMYFUNCTION("""COMPUTED_VALUE"""),8054.0)</f>
        <v>8054</v>
      </c>
      <c r="H1242" s="5">
        <f>IFERROR(__xludf.DUMMYFUNCTION("""COMPUTED_VALUE"""),1569.0)</f>
        <v>1569</v>
      </c>
    </row>
    <row r="1243">
      <c r="A1243" s="4">
        <f>IFERROR(__xludf.DUMMYFUNCTION("""COMPUTED_VALUE"""),43611.0)</f>
        <v>43611</v>
      </c>
      <c r="B1243" s="5">
        <f>IFERROR(__xludf.DUMMYFUNCTION("""COMPUTED_VALUE"""),1416.0)</f>
        <v>1416</v>
      </c>
      <c r="C1243" s="6">
        <f>IFERROR(__xludf.DUMMYFUNCTION("""COMPUTED_VALUE"""),0.4199)</f>
        <v>0.4199</v>
      </c>
      <c r="D1243" s="2">
        <f>IFERROR(__xludf.DUMMYFUNCTION("""COMPUTED_VALUE"""),0.0015046296296296296)</f>
        <v>0.00150462963</v>
      </c>
      <c r="E1243" s="1">
        <f>IFERROR(__xludf.DUMMYFUNCTION("""COMPUTED_VALUE"""),1.1)</f>
        <v>1.1</v>
      </c>
      <c r="F1243" s="1">
        <f>IFERROR(__xludf.DUMMYFUNCTION("""COMPUTED_VALUE"""),3.8)</f>
        <v>3.8</v>
      </c>
      <c r="G1243" s="5">
        <f>IFERROR(__xludf.DUMMYFUNCTION("""COMPUTED_VALUE"""),5915.0)</f>
        <v>5915</v>
      </c>
      <c r="H1243" s="5">
        <f>IFERROR(__xludf.DUMMYFUNCTION("""COMPUTED_VALUE"""),1555.0)</f>
        <v>1555</v>
      </c>
    </row>
    <row r="1244">
      <c r="A1244" s="4">
        <f>IFERROR(__xludf.DUMMYFUNCTION("""COMPUTED_VALUE"""),43612.0)</f>
        <v>43612</v>
      </c>
      <c r="B1244" s="5">
        <f>IFERROR(__xludf.DUMMYFUNCTION("""COMPUTED_VALUE"""),1944.0)</f>
        <v>1944</v>
      </c>
      <c r="C1244" s="6">
        <f>IFERROR(__xludf.DUMMYFUNCTION("""COMPUTED_VALUE"""),0.5505)</f>
        <v>0.5505</v>
      </c>
      <c r="D1244" s="2">
        <f>IFERROR(__xludf.DUMMYFUNCTION("""COMPUTED_VALUE"""),0.0012037037037037038)</f>
        <v>0.001203703704</v>
      </c>
      <c r="E1244" s="1">
        <f>IFERROR(__xludf.DUMMYFUNCTION("""COMPUTED_VALUE"""),1.06)</f>
        <v>1.06</v>
      </c>
      <c r="F1244" s="1">
        <f>IFERROR(__xludf.DUMMYFUNCTION("""COMPUTED_VALUE"""),3.07)</f>
        <v>3.07</v>
      </c>
      <c r="G1244" s="5">
        <f>IFERROR(__xludf.DUMMYFUNCTION("""COMPUTED_VALUE"""),6346.0)</f>
        <v>6346</v>
      </c>
      <c r="H1244" s="5">
        <f>IFERROR(__xludf.DUMMYFUNCTION("""COMPUTED_VALUE"""),2069.0)</f>
        <v>2069</v>
      </c>
    </row>
    <row r="1245">
      <c r="A1245" s="4">
        <f>IFERROR(__xludf.DUMMYFUNCTION("""COMPUTED_VALUE"""),43613.0)</f>
        <v>43613</v>
      </c>
      <c r="B1245" s="5">
        <f>IFERROR(__xludf.DUMMYFUNCTION("""COMPUTED_VALUE"""),2485.0)</f>
        <v>2485</v>
      </c>
      <c r="C1245" s="6">
        <f>IFERROR(__xludf.DUMMYFUNCTION("""COMPUTED_VALUE"""),0.4134)</f>
        <v>0.4134</v>
      </c>
      <c r="D1245" s="2">
        <f>IFERROR(__xludf.DUMMYFUNCTION("""COMPUTED_VALUE"""),0.0022337962962962962)</f>
        <v>0.002233796296</v>
      </c>
      <c r="E1245" s="1">
        <f>IFERROR(__xludf.DUMMYFUNCTION("""COMPUTED_VALUE"""),1.16)</f>
        <v>1.16</v>
      </c>
      <c r="F1245" s="1">
        <f>IFERROR(__xludf.DUMMYFUNCTION("""COMPUTED_VALUE"""),4.43)</f>
        <v>4.43</v>
      </c>
      <c r="G1245" s="5">
        <f>IFERROR(__xludf.DUMMYFUNCTION("""COMPUTED_VALUE"""),12788.0)</f>
        <v>12788</v>
      </c>
      <c r="H1245" s="5">
        <f>IFERROR(__xludf.DUMMYFUNCTION("""COMPUTED_VALUE"""),2888.0)</f>
        <v>2888</v>
      </c>
    </row>
    <row r="1246">
      <c r="A1246" s="4">
        <f>IFERROR(__xludf.DUMMYFUNCTION("""COMPUTED_VALUE"""),43614.0)</f>
        <v>43614</v>
      </c>
      <c r="B1246" s="5">
        <f>IFERROR(__xludf.DUMMYFUNCTION("""COMPUTED_VALUE"""),2402.0)</f>
        <v>2402</v>
      </c>
      <c r="C1246" s="6">
        <f>IFERROR(__xludf.DUMMYFUNCTION("""COMPUTED_VALUE"""),0.4294)</f>
        <v>0.4294</v>
      </c>
      <c r="D1246" s="2">
        <f>IFERROR(__xludf.DUMMYFUNCTION("""COMPUTED_VALUE"""),0.0019444444444444444)</f>
        <v>0.001944444444</v>
      </c>
      <c r="E1246" s="1">
        <f>IFERROR(__xludf.DUMMYFUNCTION("""COMPUTED_VALUE"""),1.06)</f>
        <v>1.06</v>
      </c>
      <c r="F1246" s="1">
        <f>IFERROR(__xludf.DUMMYFUNCTION("""COMPUTED_VALUE"""),3.91)</f>
        <v>3.91</v>
      </c>
      <c r="G1246" s="5">
        <f>IFERROR(__xludf.DUMMYFUNCTION("""COMPUTED_VALUE"""),9984.0)</f>
        <v>9984</v>
      </c>
      <c r="H1246" s="5">
        <f>IFERROR(__xludf.DUMMYFUNCTION("""COMPUTED_VALUE"""),2555.0)</f>
        <v>2555</v>
      </c>
    </row>
    <row r="1247">
      <c r="A1247" s="4">
        <f>IFERROR(__xludf.DUMMYFUNCTION("""COMPUTED_VALUE"""),43615.0)</f>
        <v>43615</v>
      </c>
      <c r="B1247" s="5">
        <f>IFERROR(__xludf.DUMMYFUNCTION("""COMPUTED_VALUE"""),2152.0)</f>
        <v>2152</v>
      </c>
      <c r="C1247" s="6">
        <f>IFERROR(__xludf.DUMMYFUNCTION("""COMPUTED_VALUE"""),0.389)</f>
        <v>0.389</v>
      </c>
      <c r="D1247" s="2">
        <f>IFERROR(__xludf.DUMMYFUNCTION("""COMPUTED_VALUE"""),0.001990740740740741)</f>
        <v>0.001990740741</v>
      </c>
      <c r="E1247" s="1">
        <f>IFERROR(__xludf.DUMMYFUNCTION("""COMPUTED_VALUE"""),1.16)</f>
        <v>1.16</v>
      </c>
      <c r="F1247" s="1">
        <f>IFERROR(__xludf.DUMMYFUNCTION("""COMPUTED_VALUE"""),5.52)</f>
        <v>5.52</v>
      </c>
      <c r="G1247" s="5">
        <f>IFERROR(__xludf.DUMMYFUNCTION("""COMPUTED_VALUE"""),13788.0)</f>
        <v>13788</v>
      </c>
      <c r="H1247" s="5">
        <f>IFERROR(__xludf.DUMMYFUNCTION("""COMPUTED_VALUE"""),2499.0)</f>
        <v>2499</v>
      </c>
    </row>
    <row r="1248">
      <c r="A1248" s="4">
        <f>IFERROR(__xludf.DUMMYFUNCTION("""COMPUTED_VALUE"""),43616.0)</f>
        <v>43616</v>
      </c>
      <c r="B1248" s="5">
        <f>IFERROR(__xludf.DUMMYFUNCTION("""COMPUTED_VALUE"""),1999.0)</f>
        <v>1999</v>
      </c>
      <c r="C1248" s="6">
        <f>IFERROR(__xludf.DUMMYFUNCTION("""COMPUTED_VALUE"""),0.3681)</f>
        <v>0.3681</v>
      </c>
      <c r="D1248" s="2">
        <f>IFERROR(__xludf.DUMMYFUNCTION("""COMPUTED_VALUE"""),0.002349537037037037)</f>
        <v>0.002349537037</v>
      </c>
      <c r="E1248" s="1">
        <f>IFERROR(__xludf.DUMMYFUNCTION("""COMPUTED_VALUE"""),1.13)</f>
        <v>1.13</v>
      </c>
      <c r="F1248" s="1">
        <f>IFERROR(__xludf.DUMMYFUNCTION("""COMPUTED_VALUE"""),4.63)</f>
        <v>4.63</v>
      </c>
      <c r="G1248" s="5">
        <f>IFERROR(__xludf.DUMMYFUNCTION("""COMPUTED_VALUE"""),10470.0)</f>
        <v>10470</v>
      </c>
      <c r="H1248" s="5">
        <f>IFERROR(__xludf.DUMMYFUNCTION("""COMPUTED_VALUE"""),2263.0)</f>
        <v>2263</v>
      </c>
    </row>
    <row r="1249">
      <c r="A1249" s="4">
        <f>IFERROR(__xludf.DUMMYFUNCTION("""COMPUTED_VALUE"""),43617.0)</f>
        <v>43617</v>
      </c>
      <c r="B1249" s="5">
        <f>IFERROR(__xludf.DUMMYFUNCTION("""COMPUTED_VALUE"""),1361.0)</f>
        <v>1361</v>
      </c>
      <c r="C1249" s="6">
        <f>IFERROR(__xludf.DUMMYFUNCTION("""COMPUTED_VALUE"""),0.5047)</f>
        <v>0.5047</v>
      </c>
      <c r="D1249" s="2">
        <f>IFERROR(__xludf.DUMMYFUNCTION("""COMPUTED_VALUE"""),0.0016087962962962963)</f>
        <v>0.001608796296</v>
      </c>
      <c r="E1249" s="1">
        <f>IFERROR(__xludf.DUMMYFUNCTION("""COMPUTED_VALUE"""),1.09)</f>
        <v>1.09</v>
      </c>
      <c r="F1249" s="1">
        <f>IFERROR(__xludf.DUMMYFUNCTION("""COMPUTED_VALUE"""),6.11)</f>
        <v>6.11</v>
      </c>
      <c r="G1249" s="5">
        <f>IFERROR(__xludf.DUMMYFUNCTION("""COMPUTED_VALUE"""),9081.0)</f>
        <v>9081</v>
      </c>
      <c r="H1249" s="5">
        <f>IFERROR(__xludf.DUMMYFUNCTION("""COMPUTED_VALUE"""),1486.0)</f>
        <v>1486</v>
      </c>
    </row>
    <row r="1250">
      <c r="A1250" s="4">
        <f>IFERROR(__xludf.DUMMYFUNCTION("""COMPUTED_VALUE"""),43618.0)</f>
        <v>43618</v>
      </c>
      <c r="B1250" s="5">
        <f>IFERROR(__xludf.DUMMYFUNCTION("""COMPUTED_VALUE"""),1402.0)</f>
        <v>1402</v>
      </c>
      <c r="C1250" s="6">
        <f>IFERROR(__xludf.DUMMYFUNCTION("""COMPUTED_VALUE"""),0.2917)</f>
        <v>0.2917</v>
      </c>
      <c r="D1250" s="2">
        <f>IFERROR(__xludf.DUMMYFUNCTION("""COMPUTED_VALUE"""),0.0027546296296296294)</f>
        <v>0.00275462963</v>
      </c>
      <c r="E1250" s="1">
        <f>IFERROR(__xludf.DUMMYFUNCTION("""COMPUTED_VALUE"""),1.19)</f>
        <v>1.19</v>
      </c>
      <c r="F1250" s="1">
        <f>IFERROR(__xludf.DUMMYFUNCTION("""COMPUTED_VALUE"""),5.58)</f>
        <v>5.58</v>
      </c>
      <c r="G1250" s="5">
        <f>IFERROR(__xludf.DUMMYFUNCTION("""COMPUTED_VALUE"""),9289.0)</f>
        <v>9289</v>
      </c>
      <c r="H1250" s="5">
        <f>IFERROR(__xludf.DUMMYFUNCTION("""COMPUTED_VALUE"""),1666.0)</f>
        <v>1666</v>
      </c>
    </row>
    <row r="1251">
      <c r="A1251" s="4">
        <f>IFERROR(__xludf.DUMMYFUNCTION("""COMPUTED_VALUE"""),43619.0)</f>
        <v>43619</v>
      </c>
      <c r="B1251" s="5">
        <f>IFERROR(__xludf.DUMMYFUNCTION("""COMPUTED_VALUE"""),2319.0)</f>
        <v>2319</v>
      </c>
      <c r="C1251" s="6">
        <f>IFERROR(__xludf.DUMMYFUNCTION("""COMPUTED_VALUE"""),0.3876)</f>
        <v>0.3876</v>
      </c>
      <c r="D1251" s="2">
        <f>IFERROR(__xludf.DUMMYFUNCTION("""COMPUTED_VALUE"""),0.0015625)</f>
        <v>0.0015625</v>
      </c>
      <c r="E1251" s="1">
        <f>IFERROR(__xludf.DUMMYFUNCTION("""COMPUTED_VALUE"""),1.17)</f>
        <v>1.17</v>
      </c>
      <c r="F1251" s="1">
        <f>IFERROR(__xludf.DUMMYFUNCTION("""COMPUTED_VALUE"""),4.26)</f>
        <v>4.26</v>
      </c>
      <c r="G1251" s="5">
        <f>IFERROR(__xludf.DUMMYFUNCTION("""COMPUTED_VALUE"""),11594.0)</f>
        <v>11594</v>
      </c>
      <c r="H1251" s="5">
        <f>IFERROR(__xludf.DUMMYFUNCTION("""COMPUTED_VALUE"""),2722.0)</f>
        <v>2722</v>
      </c>
    </row>
    <row r="1252">
      <c r="A1252" s="4">
        <f>IFERROR(__xludf.DUMMYFUNCTION("""COMPUTED_VALUE"""),43620.0)</f>
        <v>43620</v>
      </c>
      <c r="B1252" s="5">
        <f>IFERROR(__xludf.DUMMYFUNCTION("""COMPUTED_VALUE"""),2513.0)</f>
        <v>2513</v>
      </c>
      <c r="C1252" s="6">
        <f>IFERROR(__xludf.DUMMYFUNCTION("""COMPUTED_VALUE"""),0.4107)</f>
        <v>0.4107</v>
      </c>
      <c r="D1252" s="2">
        <f>IFERROR(__xludf.DUMMYFUNCTION("""COMPUTED_VALUE"""),0.0023148148148148147)</f>
        <v>0.002314814815</v>
      </c>
      <c r="E1252" s="1">
        <f>IFERROR(__xludf.DUMMYFUNCTION("""COMPUTED_VALUE"""),1.12)</f>
        <v>1.12</v>
      </c>
      <c r="F1252" s="1">
        <f>IFERROR(__xludf.DUMMYFUNCTION("""COMPUTED_VALUE"""),4.16)</f>
        <v>4.16</v>
      </c>
      <c r="G1252" s="5">
        <f>IFERROR(__xludf.DUMMYFUNCTION("""COMPUTED_VALUE"""),11664.0)</f>
        <v>11664</v>
      </c>
      <c r="H1252" s="5">
        <f>IFERROR(__xludf.DUMMYFUNCTION("""COMPUTED_VALUE"""),2805.0)</f>
        <v>2805</v>
      </c>
    </row>
    <row r="1253">
      <c r="A1253" s="4">
        <f>IFERROR(__xludf.DUMMYFUNCTION("""COMPUTED_VALUE"""),43621.0)</f>
        <v>43621</v>
      </c>
      <c r="B1253" s="5">
        <f>IFERROR(__xludf.DUMMYFUNCTION("""COMPUTED_VALUE"""),2374.0)</f>
        <v>2374</v>
      </c>
      <c r="C1253" s="6">
        <f>IFERROR(__xludf.DUMMYFUNCTION("""COMPUTED_VALUE"""),0.4234)</f>
        <v>0.4234</v>
      </c>
      <c r="D1253" s="2">
        <f>IFERROR(__xludf.DUMMYFUNCTION("""COMPUTED_VALUE"""),0.0021759259259259258)</f>
        <v>0.002175925926</v>
      </c>
      <c r="E1253" s="1">
        <f>IFERROR(__xludf.DUMMYFUNCTION("""COMPUTED_VALUE"""),1.11)</f>
        <v>1.11</v>
      </c>
      <c r="F1253" s="1">
        <f>IFERROR(__xludf.DUMMYFUNCTION("""COMPUTED_VALUE"""),4.13)</f>
        <v>4.13</v>
      </c>
      <c r="G1253" s="5">
        <f>IFERROR(__xludf.DUMMYFUNCTION("""COMPUTED_VALUE"""),10831.0)</f>
        <v>10831</v>
      </c>
      <c r="H1253" s="5">
        <f>IFERROR(__xludf.DUMMYFUNCTION("""COMPUTED_VALUE"""),2624.0)</f>
        <v>2624</v>
      </c>
    </row>
    <row r="1254">
      <c r="A1254" s="4">
        <f>IFERROR(__xludf.DUMMYFUNCTION("""COMPUTED_VALUE"""),43622.0)</f>
        <v>43622</v>
      </c>
      <c r="B1254" s="5">
        <f>IFERROR(__xludf.DUMMYFUNCTION("""COMPUTED_VALUE"""),2472.0)</f>
        <v>2472</v>
      </c>
      <c r="C1254" s="6">
        <f>IFERROR(__xludf.DUMMYFUNCTION("""COMPUTED_VALUE"""),0.4165)</f>
        <v>0.4165</v>
      </c>
      <c r="D1254" s="2">
        <f>IFERROR(__xludf.DUMMYFUNCTION("""COMPUTED_VALUE"""),0.0023263888888888887)</f>
        <v>0.002326388889</v>
      </c>
      <c r="E1254" s="1">
        <f>IFERROR(__xludf.DUMMYFUNCTION("""COMPUTED_VALUE"""),1.11)</f>
        <v>1.11</v>
      </c>
      <c r="F1254" s="1">
        <f>IFERROR(__xludf.DUMMYFUNCTION("""COMPUTED_VALUE"""),4.24)</f>
        <v>4.24</v>
      </c>
      <c r="G1254" s="5">
        <f>IFERROR(__xludf.DUMMYFUNCTION("""COMPUTED_VALUE"""),11594.0)</f>
        <v>11594</v>
      </c>
      <c r="H1254" s="5">
        <f>IFERROR(__xludf.DUMMYFUNCTION("""COMPUTED_VALUE"""),2735.0)</f>
        <v>2735</v>
      </c>
    </row>
    <row r="1255">
      <c r="A1255" s="4">
        <f>IFERROR(__xludf.DUMMYFUNCTION("""COMPUTED_VALUE"""),43623.0)</f>
        <v>43623</v>
      </c>
      <c r="B1255" s="5">
        <f>IFERROR(__xludf.DUMMYFUNCTION("""COMPUTED_VALUE"""),2111.0)</f>
        <v>2111</v>
      </c>
      <c r="C1255" s="6">
        <f>IFERROR(__xludf.DUMMYFUNCTION("""COMPUTED_VALUE"""),0.3926)</f>
        <v>0.3926</v>
      </c>
      <c r="D1255" s="2">
        <f>IFERROR(__xludf.DUMMYFUNCTION("""COMPUTED_VALUE"""),0.0018865740740740742)</f>
        <v>0.001886574074</v>
      </c>
      <c r="E1255" s="1">
        <f>IFERROR(__xludf.DUMMYFUNCTION("""COMPUTED_VALUE"""),1.11)</f>
        <v>1.11</v>
      </c>
      <c r="F1255" s="1">
        <f>IFERROR(__xludf.DUMMYFUNCTION("""COMPUTED_VALUE"""),4.3)</f>
        <v>4.3</v>
      </c>
      <c r="G1255" s="5">
        <f>IFERROR(__xludf.DUMMYFUNCTION("""COMPUTED_VALUE"""),10025.0)</f>
        <v>10025</v>
      </c>
      <c r="H1255" s="5">
        <f>IFERROR(__xludf.DUMMYFUNCTION("""COMPUTED_VALUE"""),2333.0)</f>
        <v>2333</v>
      </c>
    </row>
    <row r="1256">
      <c r="A1256" s="4">
        <f>IFERROR(__xludf.DUMMYFUNCTION("""COMPUTED_VALUE"""),43624.0)</f>
        <v>43624</v>
      </c>
      <c r="B1256" s="5">
        <f>IFERROR(__xludf.DUMMYFUNCTION("""COMPUTED_VALUE"""),1389.0)</f>
        <v>1389</v>
      </c>
      <c r="C1256" s="6">
        <f>IFERROR(__xludf.DUMMYFUNCTION("""COMPUTED_VALUE"""),0.4872)</f>
        <v>0.4872</v>
      </c>
      <c r="D1256" s="2">
        <f>IFERROR(__xludf.DUMMYFUNCTION("""COMPUTED_VALUE"""),0.001851851851851852)</f>
        <v>0.001851851852</v>
      </c>
      <c r="E1256" s="1">
        <f>IFERROR(__xludf.DUMMYFUNCTION("""COMPUTED_VALUE"""),1.15)</f>
        <v>1.15</v>
      </c>
      <c r="F1256" s="1">
        <f>IFERROR(__xludf.DUMMYFUNCTION("""COMPUTED_VALUE"""),4.33)</f>
        <v>4.33</v>
      </c>
      <c r="G1256" s="5">
        <f>IFERROR(__xludf.DUMMYFUNCTION("""COMPUTED_VALUE"""),6915.0)</f>
        <v>6915</v>
      </c>
      <c r="H1256" s="5">
        <f>IFERROR(__xludf.DUMMYFUNCTION("""COMPUTED_VALUE"""),1597.0)</f>
        <v>1597</v>
      </c>
    </row>
    <row r="1257">
      <c r="A1257" s="4">
        <f>IFERROR(__xludf.DUMMYFUNCTION("""COMPUTED_VALUE"""),43625.0)</f>
        <v>43625</v>
      </c>
      <c r="B1257" s="5">
        <f>IFERROR(__xludf.DUMMYFUNCTION("""COMPUTED_VALUE"""),1541.0)</f>
        <v>1541</v>
      </c>
      <c r="C1257" s="6">
        <f>IFERROR(__xludf.DUMMYFUNCTION("""COMPUTED_VALUE"""),0.475)</f>
        <v>0.475</v>
      </c>
      <c r="D1257" s="2">
        <f>IFERROR(__xludf.DUMMYFUNCTION("""COMPUTED_VALUE"""),0.0021527777777777778)</f>
        <v>0.002152777778</v>
      </c>
      <c r="E1257" s="1">
        <f>IFERROR(__xludf.DUMMYFUNCTION("""COMPUTED_VALUE"""),1.06)</f>
        <v>1.06</v>
      </c>
      <c r="F1257" s="1">
        <f>IFERROR(__xludf.DUMMYFUNCTION("""COMPUTED_VALUE"""),4.84)</f>
        <v>4.84</v>
      </c>
      <c r="G1257" s="5">
        <f>IFERROR(__xludf.DUMMYFUNCTION("""COMPUTED_VALUE"""),7929.0)</f>
        <v>7929</v>
      </c>
      <c r="H1257" s="5">
        <f>IFERROR(__xludf.DUMMYFUNCTION("""COMPUTED_VALUE"""),1638.0)</f>
        <v>1638</v>
      </c>
    </row>
    <row r="1258">
      <c r="A1258" s="4">
        <f>IFERROR(__xludf.DUMMYFUNCTION("""COMPUTED_VALUE"""),43626.0)</f>
        <v>43626</v>
      </c>
      <c r="B1258" s="5">
        <f>IFERROR(__xludf.DUMMYFUNCTION("""COMPUTED_VALUE"""),2361.0)</f>
        <v>2361</v>
      </c>
      <c r="C1258" s="6">
        <f>IFERROR(__xludf.DUMMYFUNCTION("""COMPUTED_VALUE"""),0.3991)</f>
        <v>0.3991</v>
      </c>
      <c r="D1258" s="2">
        <f>IFERROR(__xludf.DUMMYFUNCTION("""COMPUTED_VALUE"""),0.0020833333333333333)</f>
        <v>0.002083333333</v>
      </c>
      <c r="E1258" s="1">
        <f>IFERROR(__xludf.DUMMYFUNCTION("""COMPUTED_VALUE"""),1.16)</f>
        <v>1.16</v>
      </c>
      <c r="F1258" s="1">
        <f>IFERROR(__xludf.DUMMYFUNCTION("""COMPUTED_VALUE"""),4.84)</f>
        <v>4.84</v>
      </c>
      <c r="G1258" s="5">
        <f>IFERROR(__xludf.DUMMYFUNCTION("""COMPUTED_VALUE"""),13316.0)</f>
        <v>13316</v>
      </c>
      <c r="H1258" s="5">
        <f>IFERROR(__xludf.DUMMYFUNCTION("""COMPUTED_VALUE"""),2749.0)</f>
        <v>2749</v>
      </c>
    </row>
    <row r="1259">
      <c r="A1259" s="4">
        <f>IFERROR(__xludf.DUMMYFUNCTION("""COMPUTED_VALUE"""),43627.0)</f>
        <v>43627</v>
      </c>
      <c r="B1259" s="5">
        <f>IFERROR(__xludf.DUMMYFUNCTION("""COMPUTED_VALUE"""),2472.0)</f>
        <v>2472</v>
      </c>
      <c r="C1259" s="6">
        <f>IFERROR(__xludf.DUMMYFUNCTION("""COMPUTED_VALUE"""),0.4263)</f>
        <v>0.4263</v>
      </c>
      <c r="D1259" s="2">
        <f>IFERROR(__xludf.DUMMYFUNCTION("""COMPUTED_VALUE"""),0.0019675925925925924)</f>
        <v>0.001967592593</v>
      </c>
      <c r="E1259" s="1">
        <f>IFERROR(__xludf.DUMMYFUNCTION("""COMPUTED_VALUE"""),1.11)</f>
        <v>1.11</v>
      </c>
      <c r="F1259" s="1">
        <f>IFERROR(__xludf.DUMMYFUNCTION("""COMPUTED_VALUE"""),4.45)</f>
        <v>4.45</v>
      </c>
      <c r="G1259" s="5">
        <f>IFERROR(__xludf.DUMMYFUNCTION("""COMPUTED_VALUE"""),12164.0)</f>
        <v>12164</v>
      </c>
      <c r="H1259" s="5">
        <f>IFERROR(__xludf.DUMMYFUNCTION("""COMPUTED_VALUE"""),2735.0)</f>
        <v>2735</v>
      </c>
    </row>
    <row r="1260">
      <c r="A1260" s="4">
        <f>IFERROR(__xludf.DUMMYFUNCTION("""COMPUTED_VALUE"""),43628.0)</f>
        <v>43628</v>
      </c>
      <c r="B1260" s="5">
        <f>IFERROR(__xludf.DUMMYFUNCTION("""COMPUTED_VALUE"""),2583.0)</f>
        <v>2583</v>
      </c>
      <c r="C1260" s="6">
        <f>IFERROR(__xludf.DUMMYFUNCTION("""COMPUTED_VALUE"""),0.3963)</f>
        <v>0.3963</v>
      </c>
      <c r="D1260" s="2">
        <f>IFERROR(__xludf.DUMMYFUNCTION("""COMPUTED_VALUE"""),0.002476851851851852)</f>
        <v>0.002476851852</v>
      </c>
      <c r="E1260" s="1">
        <f>IFERROR(__xludf.DUMMYFUNCTION("""COMPUTED_VALUE"""),1.11)</f>
        <v>1.11</v>
      </c>
      <c r="F1260" s="1">
        <f>IFERROR(__xludf.DUMMYFUNCTION("""COMPUTED_VALUE"""),4.69)</f>
        <v>4.69</v>
      </c>
      <c r="G1260" s="5">
        <f>IFERROR(__xludf.DUMMYFUNCTION("""COMPUTED_VALUE"""),13483.0)</f>
        <v>13483</v>
      </c>
      <c r="H1260" s="5">
        <f>IFERROR(__xludf.DUMMYFUNCTION("""COMPUTED_VALUE"""),2874.0)</f>
        <v>2874</v>
      </c>
    </row>
    <row r="1261">
      <c r="A1261" s="4">
        <f>IFERROR(__xludf.DUMMYFUNCTION("""COMPUTED_VALUE"""),43629.0)</f>
        <v>43629</v>
      </c>
      <c r="B1261" s="5">
        <f>IFERROR(__xludf.DUMMYFUNCTION("""COMPUTED_VALUE"""),2444.0)</f>
        <v>2444</v>
      </c>
      <c r="C1261" s="6">
        <f>IFERROR(__xludf.DUMMYFUNCTION("""COMPUTED_VALUE"""),0.39)</f>
        <v>0.39</v>
      </c>
      <c r="D1261" s="2">
        <f>IFERROR(__xludf.DUMMYFUNCTION("""COMPUTED_VALUE"""),0.002766203703703704)</f>
        <v>0.002766203704</v>
      </c>
      <c r="E1261" s="1">
        <f>IFERROR(__xludf.DUMMYFUNCTION("""COMPUTED_VALUE"""),1.14)</f>
        <v>1.14</v>
      </c>
      <c r="F1261" s="1">
        <f>IFERROR(__xludf.DUMMYFUNCTION("""COMPUTED_VALUE"""),5.45)</f>
        <v>5.45</v>
      </c>
      <c r="G1261" s="5">
        <f>IFERROR(__xludf.DUMMYFUNCTION("""COMPUTED_VALUE"""),15121.0)</f>
        <v>15121</v>
      </c>
      <c r="H1261" s="5">
        <f>IFERROR(__xludf.DUMMYFUNCTION("""COMPUTED_VALUE"""),2777.0)</f>
        <v>2777</v>
      </c>
    </row>
    <row r="1262">
      <c r="A1262" s="4">
        <f>IFERROR(__xludf.DUMMYFUNCTION("""COMPUTED_VALUE"""),43630.0)</f>
        <v>43630</v>
      </c>
      <c r="B1262" s="5">
        <f>IFERROR(__xludf.DUMMYFUNCTION("""COMPUTED_VALUE"""),2208.0)</f>
        <v>2208</v>
      </c>
      <c r="C1262" s="6">
        <f>IFERROR(__xludf.DUMMYFUNCTION("""COMPUTED_VALUE"""),0.4259)</f>
        <v>0.4259</v>
      </c>
      <c r="D1262" s="2">
        <f>IFERROR(__xludf.DUMMYFUNCTION("""COMPUTED_VALUE"""),0.0021296296296296298)</f>
        <v>0.00212962963</v>
      </c>
      <c r="E1262" s="1">
        <f>IFERROR(__xludf.DUMMYFUNCTION("""COMPUTED_VALUE"""),1.11)</f>
        <v>1.11</v>
      </c>
      <c r="F1262" s="1">
        <f>IFERROR(__xludf.DUMMYFUNCTION("""COMPUTED_VALUE"""),4.32)</f>
        <v>4.32</v>
      </c>
      <c r="G1262" s="5">
        <f>IFERROR(__xludf.DUMMYFUNCTION("""COMPUTED_VALUE"""),10553.0)</f>
        <v>10553</v>
      </c>
      <c r="H1262" s="5">
        <f>IFERROR(__xludf.DUMMYFUNCTION("""COMPUTED_VALUE"""),2444.0)</f>
        <v>2444</v>
      </c>
    </row>
    <row r="1263">
      <c r="A1263" s="4">
        <f>IFERROR(__xludf.DUMMYFUNCTION("""COMPUTED_VALUE"""),43631.0)</f>
        <v>43631</v>
      </c>
      <c r="B1263" s="5">
        <f>IFERROR(__xludf.DUMMYFUNCTION("""COMPUTED_VALUE"""),1458.0)</f>
        <v>1458</v>
      </c>
      <c r="C1263" s="6">
        <f>IFERROR(__xludf.DUMMYFUNCTION("""COMPUTED_VALUE"""),0.4201)</f>
        <v>0.4201</v>
      </c>
      <c r="D1263" s="2">
        <f>IFERROR(__xludf.DUMMYFUNCTION("""COMPUTED_VALUE"""),0.0030208333333333333)</f>
        <v>0.003020833333</v>
      </c>
      <c r="E1263" s="1">
        <f>IFERROR(__xludf.DUMMYFUNCTION("""COMPUTED_VALUE"""),1.13)</f>
        <v>1.13</v>
      </c>
      <c r="F1263" s="1">
        <f>IFERROR(__xludf.DUMMYFUNCTION("""COMPUTED_VALUE"""),5.46)</f>
        <v>5.46</v>
      </c>
      <c r="G1263" s="5">
        <f>IFERROR(__xludf.DUMMYFUNCTION("""COMPUTED_VALUE"""),9012.0)</f>
        <v>9012</v>
      </c>
      <c r="H1263" s="5">
        <f>IFERROR(__xludf.DUMMYFUNCTION("""COMPUTED_VALUE"""),1652.0)</f>
        <v>1652</v>
      </c>
    </row>
    <row r="1264">
      <c r="A1264" s="4">
        <f>IFERROR(__xludf.DUMMYFUNCTION("""COMPUTED_VALUE"""),43632.0)</f>
        <v>43632</v>
      </c>
      <c r="B1264" s="5">
        <f>IFERROR(__xludf.DUMMYFUNCTION("""COMPUTED_VALUE"""),1444.0)</f>
        <v>1444</v>
      </c>
      <c r="C1264" s="6">
        <f>IFERROR(__xludf.DUMMYFUNCTION("""COMPUTED_VALUE"""),0.3894)</f>
        <v>0.3894</v>
      </c>
      <c r="D1264" s="2">
        <f>IFERROR(__xludf.DUMMYFUNCTION("""COMPUTED_VALUE"""),0.0022569444444444442)</f>
        <v>0.002256944444</v>
      </c>
      <c r="E1264" s="1">
        <f>IFERROR(__xludf.DUMMYFUNCTION("""COMPUTED_VALUE"""),1.09)</f>
        <v>1.09</v>
      </c>
      <c r="F1264" s="1">
        <f>IFERROR(__xludf.DUMMYFUNCTION("""COMPUTED_VALUE"""),4.08)</f>
        <v>4.08</v>
      </c>
      <c r="G1264" s="5">
        <f>IFERROR(__xludf.DUMMYFUNCTION("""COMPUTED_VALUE"""),6401.0)</f>
        <v>6401</v>
      </c>
      <c r="H1264" s="5">
        <f>IFERROR(__xludf.DUMMYFUNCTION("""COMPUTED_VALUE"""),1569.0)</f>
        <v>1569</v>
      </c>
    </row>
    <row r="1265">
      <c r="A1265" s="4">
        <f>IFERROR(__xludf.DUMMYFUNCTION("""COMPUTED_VALUE"""),43633.0)</f>
        <v>43633</v>
      </c>
      <c r="B1265" s="5">
        <f>IFERROR(__xludf.DUMMYFUNCTION("""COMPUTED_VALUE"""),2402.0)</f>
        <v>2402</v>
      </c>
      <c r="C1265" s="6">
        <f>IFERROR(__xludf.DUMMYFUNCTION("""COMPUTED_VALUE"""),0.3641)</f>
        <v>0.3641</v>
      </c>
      <c r="D1265" s="2">
        <f>IFERROR(__xludf.DUMMYFUNCTION("""COMPUTED_VALUE"""),0.0019560185185185184)</f>
        <v>0.001956018519</v>
      </c>
      <c r="E1265" s="1">
        <f>IFERROR(__xludf.DUMMYFUNCTION("""COMPUTED_VALUE"""),1.13)</f>
        <v>1.13</v>
      </c>
      <c r="F1265" s="1">
        <f>IFERROR(__xludf.DUMMYFUNCTION("""COMPUTED_VALUE"""),4.22)</f>
        <v>4.22</v>
      </c>
      <c r="G1265" s="5">
        <f>IFERROR(__xludf.DUMMYFUNCTION("""COMPUTED_VALUE"""),11428.0)</f>
        <v>11428</v>
      </c>
      <c r="H1265" s="5">
        <f>IFERROR(__xludf.DUMMYFUNCTION("""COMPUTED_VALUE"""),2708.0)</f>
        <v>2708</v>
      </c>
    </row>
    <row r="1266">
      <c r="A1266" s="4">
        <f>IFERROR(__xludf.DUMMYFUNCTION("""COMPUTED_VALUE"""),43634.0)</f>
        <v>43634</v>
      </c>
      <c r="B1266" s="5">
        <f>IFERROR(__xludf.DUMMYFUNCTION("""COMPUTED_VALUE"""),2485.0)</f>
        <v>2485</v>
      </c>
      <c r="C1266" s="6">
        <f>IFERROR(__xludf.DUMMYFUNCTION("""COMPUTED_VALUE"""),0.396)</f>
        <v>0.396</v>
      </c>
      <c r="D1266" s="2">
        <f>IFERROR(__xludf.DUMMYFUNCTION("""COMPUTED_VALUE"""),0.001990740740740741)</f>
        <v>0.001990740741</v>
      </c>
      <c r="E1266" s="1">
        <f>IFERROR(__xludf.DUMMYFUNCTION("""COMPUTED_VALUE"""),1.1)</f>
        <v>1.1</v>
      </c>
      <c r="F1266" s="1">
        <f>IFERROR(__xludf.DUMMYFUNCTION("""COMPUTED_VALUE"""),5.0)</f>
        <v>5</v>
      </c>
      <c r="G1266" s="5">
        <f>IFERROR(__xludf.DUMMYFUNCTION("""COMPUTED_VALUE"""),13677.0)</f>
        <v>13677</v>
      </c>
      <c r="H1266" s="5">
        <f>IFERROR(__xludf.DUMMYFUNCTION("""COMPUTED_VALUE"""),2735.0)</f>
        <v>2735</v>
      </c>
    </row>
    <row r="1267">
      <c r="A1267" s="4">
        <f>IFERROR(__xludf.DUMMYFUNCTION("""COMPUTED_VALUE"""),43635.0)</f>
        <v>43635</v>
      </c>
      <c r="B1267" s="5">
        <f>IFERROR(__xludf.DUMMYFUNCTION("""COMPUTED_VALUE"""),2638.0)</f>
        <v>2638</v>
      </c>
      <c r="C1267" s="6">
        <f>IFERROR(__xludf.DUMMYFUNCTION("""COMPUTED_VALUE"""),0.4106)</f>
        <v>0.4106</v>
      </c>
      <c r="D1267" s="2">
        <f>IFERROR(__xludf.DUMMYFUNCTION("""COMPUTED_VALUE"""),0.002025462962962963)</f>
        <v>0.002025462963</v>
      </c>
      <c r="E1267" s="1">
        <f>IFERROR(__xludf.DUMMYFUNCTION("""COMPUTED_VALUE"""),1.09)</f>
        <v>1.09</v>
      </c>
      <c r="F1267" s="1">
        <f>IFERROR(__xludf.DUMMYFUNCTION("""COMPUTED_VALUE"""),4.65)</f>
        <v>4.65</v>
      </c>
      <c r="G1267" s="5">
        <f>IFERROR(__xludf.DUMMYFUNCTION("""COMPUTED_VALUE"""),13358.0)</f>
        <v>13358</v>
      </c>
      <c r="H1267" s="5">
        <f>IFERROR(__xludf.DUMMYFUNCTION("""COMPUTED_VALUE"""),2874.0)</f>
        <v>2874</v>
      </c>
    </row>
    <row r="1268">
      <c r="A1268" s="4">
        <f>IFERROR(__xludf.DUMMYFUNCTION("""COMPUTED_VALUE"""),43636.0)</f>
        <v>43636</v>
      </c>
      <c r="B1268" s="5">
        <f>IFERROR(__xludf.DUMMYFUNCTION("""COMPUTED_VALUE"""),2166.0)</f>
        <v>2166</v>
      </c>
      <c r="C1268" s="6">
        <f>IFERROR(__xludf.DUMMYFUNCTION("""COMPUTED_VALUE"""),0.4149)</f>
        <v>0.4149</v>
      </c>
      <c r="D1268" s="2">
        <f>IFERROR(__xludf.DUMMYFUNCTION("""COMPUTED_VALUE"""),0.0030324074074074073)</f>
        <v>0.003032407407</v>
      </c>
      <c r="E1268" s="1">
        <f>IFERROR(__xludf.DUMMYFUNCTION("""COMPUTED_VALUE"""),1.2)</f>
        <v>1.2</v>
      </c>
      <c r="F1268" s="1">
        <f>IFERROR(__xludf.DUMMYFUNCTION("""COMPUTED_VALUE"""),4.6)</f>
        <v>4.6</v>
      </c>
      <c r="G1268" s="5">
        <f>IFERROR(__xludf.DUMMYFUNCTION("""COMPUTED_VALUE"""),11997.0)</f>
        <v>11997</v>
      </c>
      <c r="H1268" s="5">
        <f>IFERROR(__xludf.DUMMYFUNCTION("""COMPUTED_VALUE"""),2610.0)</f>
        <v>2610</v>
      </c>
    </row>
    <row r="1269">
      <c r="A1269" s="4">
        <f>IFERROR(__xludf.DUMMYFUNCTION("""COMPUTED_VALUE"""),43637.0)</f>
        <v>43637</v>
      </c>
      <c r="B1269" s="5">
        <f>IFERROR(__xludf.DUMMYFUNCTION("""COMPUTED_VALUE"""),2124.0)</f>
        <v>2124</v>
      </c>
      <c r="C1269" s="6">
        <f>IFERROR(__xludf.DUMMYFUNCTION("""COMPUTED_VALUE"""),0.3606)</f>
        <v>0.3606</v>
      </c>
      <c r="D1269" s="2">
        <f>IFERROR(__xludf.DUMMYFUNCTION("""COMPUTED_VALUE"""),0.0024421296296296296)</f>
        <v>0.00244212963</v>
      </c>
      <c r="E1269" s="1">
        <f>IFERROR(__xludf.DUMMYFUNCTION("""COMPUTED_VALUE"""),1.12)</f>
        <v>1.12</v>
      </c>
      <c r="F1269" s="1">
        <f>IFERROR(__xludf.DUMMYFUNCTION("""COMPUTED_VALUE"""),5.17)</f>
        <v>5.17</v>
      </c>
      <c r="G1269" s="5">
        <f>IFERROR(__xludf.DUMMYFUNCTION("""COMPUTED_VALUE"""),12344.0)</f>
        <v>12344</v>
      </c>
      <c r="H1269" s="5">
        <f>IFERROR(__xludf.DUMMYFUNCTION("""COMPUTED_VALUE"""),2388.0)</f>
        <v>2388</v>
      </c>
    </row>
    <row r="1270">
      <c r="A1270" s="4">
        <f>IFERROR(__xludf.DUMMYFUNCTION("""COMPUTED_VALUE"""),43638.0)</f>
        <v>43638</v>
      </c>
      <c r="B1270" s="5">
        <f>IFERROR(__xludf.DUMMYFUNCTION("""COMPUTED_VALUE"""),1458.0)</f>
        <v>1458</v>
      </c>
      <c r="C1270" s="6">
        <f>IFERROR(__xludf.DUMMYFUNCTION("""COMPUTED_VALUE"""),0.4669)</f>
        <v>0.4669</v>
      </c>
      <c r="D1270" s="2">
        <f>IFERROR(__xludf.DUMMYFUNCTION("""COMPUTED_VALUE"""),0.0026967592592592594)</f>
        <v>0.002696759259</v>
      </c>
      <c r="E1270" s="1">
        <f>IFERROR(__xludf.DUMMYFUNCTION("""COMPUTED_VALUE"""),1.16)</f>
        <v>1.16</v>
      </c>
      <c r="F1270" s="1">
        <f>IFERROR(__xludf.DUMMYFUNCTION("""COMPUTED_VALUE"""),5.84)</f>
        <v>5.84</v>
      </c>
      <c r="G1270" s="5">
        <f>IFERROR(__xludf.DUMMYFUNCTION("""COMPUTED_VALUE"""),9886.0)</f>
        <v>9886</v>
      </c>
      <c r="H1270" s="5">
        <f>IFERROR(__xludf.DUMMYFUNCTION("""COMPUTED_VALUE"""),1694.0)</f>
        <v>1694</v>
      </c>
    </row>
    <row r="1271">
      <c r="A1271" s="4">
        <f>IFERROR(__xludf.DUMMYFUNCTION("""COMPUTED_VALUE"""),43639.0)</f>
        <v>43639</v>
      </c>
      <c r="B1271" s="5">
        <f>IFERROR(__xludf.DUMMYFUNCTION("""COMPUTED_VALUE"""),1486.0)</f>
        <v>1486</v>
      </c>
      <c r="C1271" s="6">
        <f>IFERROR(__xludf.DUMMYFUNCTION("""COMPUTED_VALUE"""),0.3901)</f>
        <v>0.3901</v>
      </c>
      <c r="D1271" s="2">
        <f>IFERROR(__xludf.DUMMYFUNCTION("""COMPUTED_VALUE"""),0.003611111111111111)</f>
        <v>0.003611111111</v>
      </c>
      <c r="E1271" s="1">
        <f>IFERROR(__xludf.DUMMYFUNCTION("""COMPUTED_VALUE"""),1.1)</f>
        <v>1.1</v>
      </c>
      <c r="F1271" s="1">
        <f>IFERROR(__xludf.DUMMYFUNCTION("""COMPUTED_VALUE"""),6.33)</f>
        <v>6.33</v>
      </c>
      <c r="G1271" s="5">
        <f>IFERROR(__xludf.DUMMYFUNCTION("""COMPUTED_VALUE"""),10372.0)</f>
        <v>10372</v>
      </c>
      <c r="H1271" s="5">
        <f>IFERROR(__xludf.DUMMYFUNCTION("""COMPUTED_VALUE"""),1638.0)</f>
        <v>1638</v>
      </c>
    </row>
    <row r="1272">
      <c r="A1272" s="4">
        <f>IFERROR(__xludf.DUMMYFUNCTION("""COMPUTED_VALUE"""),43640.0)</f>
        <v>43640</v>
      </c>
      <c r="B1272" s="5">
        <f>IFERROR(__xludf.DUMMYFUNCTION("""COMPUTED_VALUE"""),2402.0)</f>
        <v>2402</v>
      </c>
      <c r="C1272" s="6">
        <f>IFERROR(__xludf.DUMMYFUNCTION("""COMPUTED_VALUE"""),0.4272)</f>
        <v>0.4272</v>
      </c>
      <c r="D1272" s="2">
        <f>IFERROR(__xludf.DUMMYFUNCTION("""COMPUTED_VALUE"""),0.0019675925925925924)</f>
        <v>0.001967592593</v>
      </c>
      <c r="E1272" s="1">
        <f>IFERROR(__xludf.DUMMYFUNCTION("""COMPUTED_VALUE"""),1.11)</f>
        <v>1.11</v>
      </c>
      <c r="F1272" s="1">
        <f>IFERROR(__xludf.DUMMYFUNCTION("""COMPUTED_VALUE"""),4.45)</f>
        <v>4.45</v>
      </c>
      <c r="G1272" s="5">
        <f>IFERROR(__xludf.DUMMYFUNCTION("""COMPUTED_VALUE"""),11858.0)</f>
        <v>11858</v>
      </c>
      <c r="H1272" s="5">
        <f>IFERROR(__xludf.DUMMYFUNCTION("""COMPUTED_VALUE"""),2666.0)</f>
        <v>2666</v>
      </c>
    </row>
    <row r="1273">
      <c r="A1273" s="4">
        <f>IFERROR(__xludf.DUMMYFUNCTION("""COMPUTED_VALUE"""),43641.0)</f>
        <v>43641</v>
      </c>
      <c r="B1273" s="5">
        <f>IFERROR(__xludf.DUMMYFUNCTION("""COMPUTED_VALUE"""),2333.0)</f>
        <v>2333</v>
      </c>
      <c r="C1273" s="6">
        <f>IFERROR(__xludf.DUMMYFUNCTION("""COMPUTED_VALUE"""),0.3925)</f>
        <v>0.3925</v>
      </c>
      <c r="D1273" s="2">
        <f>IFERROR(__xludf.DUMMYFUNCTION("""COMPUTED_VALUE"""),0.001585648148148148)</f>
        <v>0.001585648148</v>
      </c>
      <c r="E1273" s="1">
        <f>IFERROR(__xludf.DUMMYFUNCTION("""COMPUTED_VALUE"""),1.14)</f>
        <v>1.14</v>
      </c>
      <c r="F1273" s="1">
        <f>IFERROR(__xludf.DUMMYFUNCTION("""COMPUTED_VALUE"""),3.98)</f>
        <v>3.98</v>
      </c>
      <c r="G1273" s="5">
        <f>IFERROR(__xludf.DUMMYFUNCTION("""COMPUTED_VALUE"""),10567.0)</f>
        <v>10567</v>
      </c>
      <c r="H1273" s="5">
        <f>IFERROR(__xludf.DUMMYFUNCTION("""COMPUTED_VALUE"""),2652.0)</f>
        <v>2652</v>
      </c>
    </row>
    <row r="1274">
      <c r="A1274" s="4">
        <f>IFERROR(__xludf.DUMMYFUNCTION("""COMPUTED_VALUE"""),43642.0)</f>
        <v>43642</v>
      </c>
      <c r="B1274" s="5">
        <f>IFERROR(__xludf.DUMMYFUNCTION("""COMPUTED_VALUE"""),2708.0)</f>
        <v>2708</v>
      </c>
      <c r="C1274" s="6">
        <f>IFERROR(__xludf.DUMMYFUNCTION("""COMPUTED_VALUE"""),0.4351)</f>
        <v>0.4351</v>
      </c>
      <c r="D1274" s="2">
        <f>IFERROR(__xludf.DUMMYFUNCTION("""COMPUTED_VALUE"""),0.0021875)</f>
        <v>0.0021875</v>
      </c>
      <c r="E1274" s="1">
        <f>IFERROR(__xludf.DUMMYFUNCTION("""COMPUTED_VALUE"""),1.14)</f>
        <v>1.14</v>
      </c>
      <c r="F1274" s="1">
        <f>IFERROR(__xludf.DUMMYFUNCTION("""COMPUTED_VALUE"""),4.48)</f>
        <v>4.48</v>
      </c>
      <c r="G1274" s="5">
        <f>IFERROR(__xludf.DUMMYFUNCTION("""COMPUTED_VALUE"""),13871.0)</f>
        <v>13871</v>
      </c>
      <c r="H1274" s="5">
        <f>IFERROR(__xludf.DUMMYFUNCTION("""COMPUTED_VALUE"""),3096.0)</f>
        <v>3096</v>
      </c>
    </row>
    <row r="1275">
      <c r="A1275" s="4">
        <f>IFERROR(__xludf.DUMMYFUNCTION("""COMPUTED_VALUE"""),43643.0)</f>
        <v>43643</v>
      </c>
      <c r="B1275" s="5">
        <f>IFERROR(__xludf.DUMMYFUNCTION("""COMPUTED_VALUE"""),2555.0)</f>
        <v>2555</v>
      </c>
      <c r="C1275" s="6">
        <f>IFERROR(__xludf.DUMMYFUNCTION("""COMPUTED_VALUE"""),0.4672)</f>
        <v>0.4672</v>
      </c>
      <c r="D1275" s="2">
        <f>IFERROR(__xludf.DUMMYFUNCTION("""COMPUTED_VALUE"""),0.0013773148148148147)</f>
        <v>0.001377314815</v>
      </c>
      <c r="E1275" s="1">
        <f>IFERROR(__xludf.DUMMYFUNCTION("""COMPUTED_VALUE"""),1.08)</f>
        <v>1.08</v>
      </c>
      <c r="F1275" s="1">
        <f>IFERROR(__xludf.DUMMYFUNCTION("""COMPUTED_VALUE"""),3.47)</f>
        <v>3.47</v>
      </c>
      <c r="G1275" s="5">
        <f>IFERROR(__xludf.DUMMYFUNCTION("""COMPUTED_VALUE"""),9595.0)</f>
        <v>9595</v>
      </c>
      <c r="H1275" s="5">
        <f>IFERROR(__xludf.DUMMYFUNCTION("""COMPUTED_VALUE"""),2763.0)</f>
        <v>2763</v>
      </c>
    </row>
    <row r="1276">
      <c r="A1276" s="4">
        <f>IFERROR(__xludf.DUMMYFUNCTION("""COMPUTED_VALUE"""),43644.0)</f>
        <v>43644</v>
      </c>
      <c r="B1276" s="5">
        <f>IFERROR(__xludf.DUMMYFUNCTION("""COMPUTED_VALUE"""),2097.0)</f>
        <v>2097</v>
      </c>
      <c r="C1276" s="6">
        <f>IFERROR(__xludf.DUMMYFUNCTION("""COMPUTED_VALUE"""),0.3989)</f>
        <v>0.3989</v>
      </c>
      <c r="D1276" s="2">
        <f>IFERROR(__xludf.DUMMYFUNCTION("""COMPUTED_VALUE"""),0.0019097222222222222)</f>
        <v>0.001909722222</v>
      </c>
      <c r="E1276" s="1">
        <f>IFERROR(__xludf.DUMMYFUNCTION("""COMPUTED_VALUE"""),1.18)</f>
        <v>1.18</v>
      </c>
      <c r="F1276" s="1">
        <f>IFERROR(__xludf.DUMMYFUNCTION("""COMPUTED_VALUE"""),5.17)</f>
        <v>5.17</v>
      </c>
      <c r="G1276" s="5">
        <f>IFERROR(__xludf.DUMMYFUNCTION("""COMPUTED_VALUE"""),12775.0)</f>
        <v>12775</v>
      </c>
      <c r="H1276" s="5">
        <f>IFERROR(__xludf.DUMMYFUNCTION("""COMPUTED_VALUE"""),2472.0)</f>
        <v>2472</v>
      </c>
    </row>
    <row r="1277">
      <c r="A1277" s="4">
        <f>IFERROR(__xludf.DUMMYFUNCTION("""COMPUTED_VALUE"""),43645.0)</f>
        <v>43645</v>
      </c>
      <c r="B1277" s="5">
        <f>IFERROR(__xludf.DUMMYFUNCTION("""COMPUTED_VALUE"""),1264.0)</f>
        <v>1264</v>
      </c>
      <c r="C1277" s="6">
        <f>IFERROR(__xludf.DUMMYFUNCTION("""COMPUTED_VALUE"""),0.3587)</f>
        <v>0.3587</v>
      </c>
      <c r="D1277" s="2">
        <f>IFERROR(__xludf.DUMMYFUNCTION("""COMPUTED_VALUE"""),0.0024074074074074076)</f>
        <v>0.002407407407</v>
      </c>
      <c r="E1277" s="1">
        <f>IFERROR(__xludf.DUMMYFUNCTION("""COMPUTED_VALUE"""),1.16)</f>
        <v>1.16</v>
      </c>
      <c r="F1277" s="1">
        <f>IFERROR(__xludf.DUMMYFUNCTION("""COMPUTED_VALUE"""),4.89)</f>
        <v>4.89</v>
      </c>
      <c r="G1277" s="5">
        <f>IFERROR(__xludf.DUMMYFUNCTION("""COMPUTED_VALUE"""),7193.0)</f>
        <v>7193</v>
      </c>
      <c r="H1277" s="5">
        <f>IFERROR(__xludf.DUMMYFUNCTION("""COMPUTED_VALUE"""),1472.0)</f>
        <v>1472</v>
      </c>
    </row>
    <row r="1278">
      <c r="A1278" s="4">
        <f>IFERROR(__xludf.DUMMYFUNCTION("""COMPUTED_VALUE"""),43646.0)</f>
        <v>43646</v>
      </c>
      <c r="B1278" s="5">
        <f>IFERROR(__xludf.DUMMYFUNCTION("""COMPUTED_VALUE"""),1250.0)</f>
        <v>1250</v>
      </c>
      <c r="C1278" s="6">
        <f>IFERROR(__xludf.DUMMYFUNCTION("""COMPUTED_VALUE"""),0.358)</f>
        <v>0.358</v>
      </c>
      <c r="D1278" s="2">
        <f>IFERROR(__xludf.DUMMYFUNCTION("""COMPUTED_VALUE"""),0.0029976851851851853)</f>
        <v>0.002997685185</v>
      </c>
      <c r="E1278" s="1">
        <f>IFERROR(__xludf.DUMMYFUNCTION("""COMPUTED_VALUE"""),1.21)</f>
        <v>1.21</v>
      </c>
      <c r="F1278" s="1">
        <f>IFERROR(__xludf.DUMMYFUNCTION("""COMPUTED_VALUE"""),6.72)</f>
        <v>6.72</v>
      </c>
      <c r="G1278" s="5">
        <f>IFERROR(__xludf.DUMMYFUNCTION("""COMPUTED_VALUE"""),10178.0)</f>
        <v>10178</v>
      </c>
      <c r="H1278" s="5">
        <f>IFERROR(__xludf.DUMMYFUNCTION("""COMPUTED_VALUE"""),1514.0)</f>
        <v>1514</v>
      </c>
    </row>
    <row r="1279">
      <c r="A1279" s="4">
        <f>IFERROR(__xludf.DUMMYFUNCTION("""COMPUTED_VALUE"""),43647.0)</f>
        <v>43647</v>
      </c>
      <c r="B1279" s="5">
        <f>IFERROR(__xludf.DUMMYFUNCTION("""COMPUTED_VALUE"""),2305.0)</f>
        <v>2305</v>
      </c>
      <c r="C1279" s="6">
        <f>IFERROR(__xludf.DUMMYFUNCTION("""COMPUTED_VALUE"""),0.3483)</f>
        <v>0.3483</v>
      </c>
      <c r="D1279" s="2">
        <f>IFERROR(__xludf.DUMMYFUNCTION("""COMPUTED_VALUE"""),0.0023148148148148147)</f>
        <v>0.002314814815</v>
      </c>
      <c r="E1279" s="1">
        <f>IFERROR(__xludf.DUMMYFUNCTION("""COMPUTED_VALUE"""),1.21)</f>
        <v>1.21</v>
      </c>
      <c r="F1279" s="1">
        <f>IFERROR(__xludf.DUMMYFUNCTION("""COMPUTED_VALUE"""),5.14)</f>
        <v>5.14</v>
      </c>
      <c r="G1279" s="5">
        <f>IFERROR(__xludf.DUMMYFUNCTION("""COMPUTED_VALUE"""),14344.0)</f>
        <v>14344</v>
      </c>
      <c r="H1279" s="5">
        <f>IFERROR(__xludf.DUMMYFUNCTION("""COMPUTED_VALUE"""),2791.0)</f>
        <v>2791</v>
      </c>
    </row>
    <row r="1280">
      <c r="A1280" s="4">
        <f>IFERROR(__xludf.DUMMYFUNCTION("""COMPUTED_VALUE"""),43648.0)</f>
        <v>43648</v>
      </c>
      <c r="B1280" s="5">
        <f>IFERROR(__xludf.DUMMYFUNCTION("""COMPUTED_VALUE"""),2083.0)</f>
        <v>2083</v>
      </c>
      <c r="C1280" s="6">
        <f>IFERROR(__xludf.DUMMYFUNCTION("""COMPUTED_VALUE"""),0.3778)</f>
        <v>0.3778</v>
      </c>
      <c r="D1280" s="2">
        <f>IFERROR(__xludf.DUMMYFUNCTION("""COMPUTED_VALUE"""),0.0019675925925925924)</f>
        <v>0.001967592593</v>
      </c>
      <c r="E1280" s="1">
        <f>IFERROR(__xludf.DUMMYFUNCTION("""COMPUTED_VALUE"""),1.25)</f>
        <v>1.25</v>
      </c>
      <c r="F1280" s="1">
        <f>IFERROR(__xludf.DUMMYFUNCTION("""COMPUTED_VALUE"""),4.68)</f>
        <v>4.68</v>
      </c>
      <c r="G1280" s="5">
        <f>IFERROR(__xludf.DUMMYFUNCTION("""COMPUTED_VALUE"""),12219.0)</f>
        <v>12219</v>
      </c>
      <c r="H1280" s="5">
        <f>IFERROR(__xludf.DUMMYFUNCTION("""COMPUTED_VALUE"""),2610.0)</f>
        <v>2610</v>
      </c>
    </row>
    <row r="1281">
      <c r="A1281" s="4">
        <f>IFERROR(__xludf.DUMMYFUNCTION("""COMPUTED_VALUE"""),43649.0)</f>
        <v>43649</v>
      </c>
      <c r="B1281" s="5">
        <f>IFERROR(__xludf.DUMMYFUNCTION("""COMPUTED_VALUE"""),2222.0)</f>
        <v>2222</v>
      </c>
      <c r="C1281" s="6">
        <f>IFERROR(__xludf.DUMMYFUNCTION("""COMPUTED_VALUE"""),0.412)</f>
        <v>0.412</v>
      </c>
      <c r="D1281" s="2">
        <f>IFERROR(__xludf.DUMMYFUNCTION("""COMPUTED_VALUE"""),0.0015393518518518519)</f>
        <v>0.001539351852</v>
      </c>
      <c r="E1281" s="1">
        <f>IFERROR(__xludf.DUMMYFUNCTION("""COMPUTED_VALUE"""),1.14)</f>
        <v>1.14</v>
      </c>
      <c r="F1281" s="1">
        <f>IFERROR(__xludf.DUMMYFUNCTION("""COMPUTED_VALUE"""),4.17)</f>
        <v>4.17</v>
      </c>
      <c r="G1281" s="5">
        <f>IFERROR(__xludf.DUMMYFUNCTION("""COMPUTED_VALUE"""),10525.0)</f>
        <v>10525</v>
      </c>
      <c r="H1281" s="5">
        <f>IFERROR(__xludf.DUMMYFUNCTION("""COMPUTED_VALUE"""),2527.0)</f>
        <v>2527</v>
      </c>
    </row>
    <row r="1282">
      <c r="A1282" s="4">
        <f>IFERROR(__xludf.DUMMYFUNCTION("""COMPUTED_VALUE"""),43650.0)</f>
        <v>43650</v>
      </c>
      <c r="B1282" s="5">
        <f>IFERROR(__xludf.DUMMYFUNCTION("""COMPUTED_VALUE"""),1527.0)</f>
        <v>1527</v>
      </c>
      <c r="C1282" s="6">
        <f>IFERROR(__xludf.DUMMYFUNCTION("""COMPUTED_VALUE"""),0.4126)</f>
        <v>0.4126</v>
      </c>
      <c r="D1282" s="2">
        <f>IFERROR(__xludf.DUMMYFUNCTION("""COMPUTED_VALUE"""),0.0018865740740740742)</f>
        <v>0.001886574074</v>
      </c>
      <c r="E1282" s="1">
        <f>IFERROR(__xludf.DUMMYFUNCTION("""COMPUTED_VALUE"""),1.15)</f>
        <v>1.15</v>
      </c>
      <c r="F1282" s="1">
        <f>IFERROR(__xludf.DUMMYFUNCTION("""COMPUTED_VALUE"""),3.69)</f>
        <v>3.69</v>
      </c>
      <c r="G1282" s="5">
        <f>IFERROR(__xludf.DUMMYFUNCTION("""COMPUTED_VALUE"""),6457.0)</f>
        <v>6457</v>
      </c>
      <c r="H1282" s="5">
        <f>IFERROR(__xludf.DUMMYFUNCTION("""COMPUTED_VALUE"""),1750.0)</f>
        <v>1750</v>
      </c>
    </row>
    <row r="1283">
      <c r="A1283" s="4">
        <f>IFERROR(__xludf.DUMMYFUNCTION("""COMPUTED_VALUE"""),43651.0)</f>
        <v>43651</v>
      </c>
      <c r="B1283" s="5">
        <f>IFERROR(__xludf.DUMMYFUNCTION("""COMPUTED_VALUE"""),1555.0)</f>
        <v>1555</v>
      </c>
      <c r="C1283" s="6">
        <f>IFERROR(__xludf.DUMMYFUNCTION("""COMPUTED_VALUE"""),0.424)</f>
        <v>0.424</v>
      </c>
      <c r="D1283" s="2">
        <f>IFERROR(__xludf.DUMMYFUNCTION("""COMPUTED_VALUE"""),0.002199074074074074)</f>
        <v>0.002199074074</v>
      </c>
      <c r="E1283" s="1">
        <f>IFERROR(__xludf.DUMMYFUNCTION("""COMPUTED_VALUE"""),1.12)</f>
        <v>1.12</v>
      </c>
      <c r="F1283" s="1">
        <f>IFERROR(__xludf.DUMMYFUNCTION("""COMPUTED_VALUE"""),4.42)</f>
        <v>4.42</v>
      </c>
      <c r="G1283" s="5">
        <f>IFERROR(__xludf.DUMMYFUNCTION("""COMPUTED_VALUE"""),7679.0)</f>
        <v>7679</v>
      </c>
      <c r="H1283" s="5">
        <f>IFERROR(__xludf.DUMMYFUNCTION("""COMPUTED_VALUE"""),1736.0)</f>
        <v>1736</v>
      </c>
    </row>
    <row r="1284">
      <c r="A1284" s="4">
        <f>IFERROR(__xludf.DUMMYFUNCTION("""COMPUTED_VALUE"""),43652.0)</f>
        <v>43652</v>
      </c>
      <c r="B1284" s="5">
        <f>IFERROR(__xludf.DUMMYFUNCTION("""COMPUTED_VALUE"""),1347.0)</f>
        <v>1347</v>
      </c>
      <c r="C1284" s="6">
        <f>IFERROR(__xludf.DUMMYFUNCTION("""COMPUTED_VALUE"""),0.4491)</f>
        <v>0.4491</v>
      </c>
      <c r="D1284" s="2">
        <f>IFERROR(__xludf.DUMMYFUNCTION("""COMPUTED_VALUE"""),0.0016666666666666668)</f>
        <v>0.001666666667</v>
      </c>
      <c r="E1284" s="1">
        <f>IFERROR(__xludf.DUMMYFUNCTION("""COMPUTED_VALUE"""),1.12)</f>
        <v>1.12</v>
      </c>
      <c r="F1284" s="1">
        <f>IFERROR(__xludf.DUMMYFUNCTION("""COMPUTED_VALUE"""),4.71)</f>
        <v>4.71</v>
      </c>
      <c r="G1284" s="5">
        <f>IFERROR(__xludf.DUMMYFUNCTION("""COMPUTED_VALUE"""),7137.0)</f>
        <v>7137</v>
      </c>
      <c r="H1284" s="5">
        <f>IFERROR(__xludf.DUMMYFUNCTION("""COMPUTED_VALUE"""),1514.0)</f>
        <v>1514</v>
      </c>
    </row>
    <row r="1285">
      <c r="A1285" s="4">
        <f>IFERROR(__xludf.DUMMYFUNCTION("""COMPUTED_VALUE"""),43653.0)</f>
        <v>43653</v>
      </c>
      <c r="B1285" s="5">
        <f>IFERROR(__xludf.DUMMYFUNCTION("""COMPUTED_VALUE"""),1361.0)</f>
        <v>1361</v>
      </c>
      <c r="C1285" s="6">
        <f>IFERROR(__xludf.DUMMYFUNCTION("""COMPUTED_VALUE"""),0.4533)</f>
        <v>0.4533</v>
      </c>
      <c r="D1285" s="2">
        <f>IFERROR(__xludf.DUMMYFUNCTION("""COMPUTED_VALUE"""),0.0014699074074074074)</f>
        <v>0.001469907407</v>
      </c>
      <c r="E1285" s="1">
        <f>IFERROR(__xludf.DUMMYFUNCTION("""COMPUTED_VALUE"""),1.1)</f>
        <v>1.1</v>
      </c>
      <c r="F1285" s="1">
        <f>IFERROR(__xludf.DUMMYFUNCTION("""COMPUTED_VALUE"""),4.39)</f>
        <v>4.39</v>
      </c>
      <c r="G1285" s="5">
        <f>IFERROR(__xludf.DUMMYFUNCTION("""COMPUTED_VALUE"""),6582.0)</f>
        <v>6582</v>
      </c>
      <c r="H1285" s="5">
        <f>IFERROR(__xludf.DUMMYFUNCTION("""COMPUTED_VALUE"""),1500.0)</f>
        <v>1500</v>
      </c>
    </row>
    <row r="1286">
      <c r="A1286" s="4">
        <f>IFERROR(__xludf.DUMMYFUNCTION("""COMPUTED_VALUE"""),43654.0)</f>
        <v>43654</v>
      </c>
      <c r="B1286" s="5">
        <f>IFERROR(__xludf.DUMMYFUNCTION("""COMPUTED_VALUE"""),2416.0)</f>
        <v>2416</v>
      </c>
      <c r="C1286" s="6">
        <f>IFERROR(__xludf.DUMMYFUNCTION("""COMPUTED_VALUE"""),0.4386)</f>
        <v>0.4386</v>
      </c>
      <c r="D1286" s="2">
        <f>IFERROR(__xludf.DUMMYFUNCTION("""COMPUTED_VALUE"""),0.002384259259259259)</f>
        <v>0.002384259259</v>
      </c>
      <c r="E1286" s="1">
        <f>IFERROR(__xludf.DUMMYFUNCTION("""COMPUTED_VALUE"""),1.13)</f>
        <v>1.13</v>
      </c>
      <c r="F1286" s="1">
        <f>IFERROR(__xludf.DUMMYFUNCTION("""COMPUTED_VALUE"""),5.13)</f>
        <v>5.13</v>
      </c>
      <c r="G1286" s="5">
        <f>IFERROR(__xludf.DUMMYFUNCTION("""COMPUTED_VALUE"""),13969.0)</f>
        <v>13969</v>
      </c>
      <c r="H1286" s="5">
        <f>IFERROR(__xludf.DUMMYFUNCTION("""COMPUTED_VALUE"""),2722.0)</f>
        <v>2722</v>
      </c>
    </row>
    <row r="1287">
      <c r="A1287" s="4">
        <f>IFERROR(__xludf.DUMMYFUNCTION("""COMPUTED_VALUE"""),43655.0)</f>
        <v>43655</v>
      </c>
      <c r="B1287" s="5">
        <f>IFERROR(__xludf.DUMMYFUNCTION("""COMPUTED_VALUE"""),2610.0)</f>
        <v>2610</v>
      </c>
      <c r="C1287" s="6">
        <f>IFERROR(__xludf.DUMMYFUNCTION("""COMPUTED_VALUE"""),0.3492)</f>
        <v>0.3492</v>
      </c>
      <c r="D1287" s="2">
        <f>IFERROR(__xludf.DUMMYFUNCTION("""COMPUTED_VALUE"""),0.0023148148148148147)</f>
        <v>0.002314814815</v>
      </c>
      <c r="E1287" s="1">
        <f>IFERROR(__xludf.DUMMYFUNCTION("""COMPUTED_VALUE"""),1.13)</f>
        <v>1.13</v>
      </c>
      <c r="F1287" s="1">
        <f>IFERROR(__xludf.DUMMYFUNCTION("""COMPUTED_VALUE"""),4.64)</f>
        <v>4.64</v>
      </c>
      <c r="G1287" s="5">
        <f>IFERROR(__xludf.DUMMYFUNCTION("""COMPUTED_VALUE"""),13663.0)</f>
        <v>13663</v>
      </c>
      <c r="H1287" s="5">
        <f>IFERROR(__xludf.DUMMYFUNCTION("""COMPUTED_VALUE"""),2944.0)</f>
        <v>2944</v>
      </c>
    </row>
    <row r="1288">
      <c r="A1288" s="4">
        <f>IFERROR(__xludf.DUMMYFUNCTION("""COMPUTED_VALUE"""),43656.0)</f>
        <v>43656</v>
      </c>
      <c r="B1288" s="5">
        <f>IFERROR(__xludf.DUMMYFUNCTION("""COMPUTED_VALUE"""),2555.0)</f>
        <v>2555</v>
      </c>
      <c r="C1288" s="6">
        <f>IFERROR(__xludf.DUMMYFUNCTION("""COMPUTED_VALUE"""),0.394)</f>
        <v>0.394</v>
      </c>
      <c r="D1288" s="2">
        <f>IFERROR(__xludf.DUMMYFUNCTION("""COMPUTED_VALUE"""),0.002025462962962963)</f>
        <v>0.002025462963</v>
      </c>
      <c r="E1288" s="1">
        <f>IFERROR(__xludf.DUMMYFUNCTION("""COMPUTED_VALUE"""),1.08)</f>
        <v>1.08</v>
      </c>
      <c r="F1288" s="1">
        <f>IFERROR(__xludf.DUMMYFUNCTION("""COMPUTED_VALUE"""),5.19)</f>
        <v>5.19</v>
      </c>
      <c r="G1288" s="5">
        <f>IFERROR(__xludf.DUMMYFUNCTION("""COMPUTED_VALUE"""),14274.0)</f>
        <v>14274</v>
      </c>
      <c r="H1288" s="5">
        <f>IFERROR(__xludf.DUMMYFUNCTION("""COMPUTED_VALUE"""),2749.0)</f>
        <v>2749</v>
      </c>
    </row>
    <row r="1289">
      <c r="A1289" s="4">
        <f>IFERROR(__xludf.DUMMYFUNCTION("""COMPUTED_VALUE"""),43657.0)</f>
        <v>43657</v>
      </c>
      <c r="B1289" s="5">
        <f>IFERROR(__xludf.DUMMYFUNCTION("""COMPUTED_VALUE"""),2111.0)</f>
        <v>2111</v>
      </c>
      <c r="C1289" s="6">
        <f>IFERROR(__xludf.DUMMYFUNCTION("""COMPUTED_VALUE"""),0.3989)</f>
        <v>0.3989</v>
      </c>
      <c r="D1289" s="2">
        <f>IFERROR(__xludf.DUMMYFUNCTION("""COMPUTED_VALUE"""),0.0023263888888888887)</f>
        <v>0.002326388889</v>
      </c>
      <c r="E1289" s="1">
        <f>IFERROR(__xludf.DUMMYFUNCTION("""COMPUTED_VALUE"""),1.17)</f>
        <v>1.17</v>
      </c>
      <c r="F1289" s="1">
        <f>IFERROR(__xludf.DUMMYFUNCTION("""COMPUTED_VALUE"""),5.51)</f>
        <v>5.51</v>
      </c>
      <c r="G1289" s="5">
        <f>IFERROR(__xludf.DUMMYFUNCTION("""COMPUTED_VALUE"""),13622.0)</f>
        <v>13622</v>
      </c>
      <c r="H1289" s="5">
        <f>IFERROR(__xludf.DUMMYFUNCTION("""COMPUTED_VALUE"""),2472.0)</f>
        <v>2472</v>
      </c>
    </row>
    <row r="1290">
      <c r="A1290" s="4">
        <f>IFERROR(__xludf.DUMMYFUNCTION("""COMPUTED_VALUE"""),43658.0)</f>
        <v>43658</v>
      </c>
      <c r="B1290" s="5">
        <f>IFERROR(__xludf.DUMMYFUNCTION("""COMPUTED_VALUE"""),1902.0)</f>
        <v>1902</v>
      </c>
      <c r="C1290" s="6">
        <f>IFERROR(__xludf.DUMMYFUNCTION("""COMPUTED_VALUE"""),0.4529)</f>
        <v>0.4529</v>
      </c>
      <c r="D1290" s="2">
        <f>IFERROR(__xludf.DUMMYFUNCTION("""COMPUTED_VALUE"""),0.0018865740740740742)</f>
        <v>0.001886574074</v>
      </c>
      <c r="E1290" s="1">
        <f>IFERROR(__xludf.DUMMYFUNCTION("""COMPUTED_VALUE"""),1.16)</f>
        <v>1.16</v>
      </c>
      <c r="F1290" s="1">
        <f>IFERROR(__xludf.DUMMYFUNCTION("""COMPUTED_VALUE"""),4.48)</f>
        <v>4.48</v>
      </c>
      <c r="G1290" s="5">
        <f>IFERROR(__xludf.DUMMYFUNCTION("""COMPUTED_VALUE"""),9886.0)</f>
        <v>9886</v>
      </c>
      <c r="H1290" s="5">
        <f>IFERROR(__xludf.DUMMYFUNCTION("""COMPUTED_VALUE"""),2208.0)</f>
        <v>2208</v>
      </c>
    </row>
    <row r="1291">
      <c r="A1291" s="4">
        <f>IFERROR(__xludf.DUMMYFUNCTION("""COMPUTED_VALUE"""),43659.0)</f>
        <v>43659</v>
      </c>
      <c r="B1291" s="5">
        <f>IFERROR(__xludf.DUMMYFUNCTION("""COMPUTED_VALUE"""),1347.0)</f>
        <v>1347</v>
      </c>
      <c r="C1291" s="6">
        <f>IFERROR(__xludf.DUMMYFUNCTION("""COMPUTED_VALUE"""),0.4627)</f>
        <v>0.4627</v>
      </c>
      <c r="D1291" s="2">
        <f>IFERROR(__xludf.DUMMYFUNCTION("""COMPUTED_VALUE"""),0.0014351851851851852)</f>
        <v>0.001435185185</v>
      </c>
      <c r="E1291" s="1">
        <f>IFERROR(__xludf.DUMMYFUNCTION("""COMPUTED_VALUE"""),1.11)</f>
        <v>1.11</v>
      </c>
      <c r="F1291" s="1">
        <f>IFERROR(__xludf.DUMMYFUNCTION("""COMPUTED_VALUE"""),4.0)</f>
        <v>4</v>
      </c>
      <c r="G1291" s="5">
        <f>IFERROR(__xludf.DUMMYFUNCTION("""COMPUTED_VALUE"""),5998.0)</f>
        <v>5998</v>
      </c>
      <c r="H1291" s="5">
        <f>IFERROR(__xludf.DUMMYFUNCTION("""COMPUTED_VALUE"""),1500.0)</f>
        <v>1500</v>
      </c>
    </row>
    <row r="1292">
      <c r="A1292" s="4">
        <f>IFERROR(__xludf.DUMMYFUNCTION("""COMPUTED_VALUE"""),43660.0)</f>
        <v>43660</v>
      </c>
      <c r="B1292" s="5">
        <f>IFERROR(__xludf.DUMMYFUNCTION("""COMPUTED_VALUE"""),1319.0)</f>
        <v>1319</v>
      </c>
      <c r="C1292" s="6">
        <f>IFERROR(__xludf.DUMMYFUNCTION("""COMPUTED_VALUE"""),0.3999)</f>
        <v>0.3999</v>
      </c>
      <c r="D1292" s="2">
        <f>IFERROR(__xludf.DUMMYFUNCTION("""COMPUTED_VALUE"""),0.0017708333333333332)</f>
        <v>0.001770833333</v>
      </c>
      <c r="E1292" s="1">
        <f>IFERROR(__xludf.DUMMYFUNCTION("""COMPUTED_VALUE"""),1.11)</f>
        <v>1.11</v>
      </c>
      <c r="F1292" s="1">
        <f>IFERROR(__xludf.DUMMYFUNCTION("""COMPUTED_VALUE"""),4.91)</f>
        <v>4.91</v>
      </c>
      <c r="G1292" s="5">
        <f>IFERROR(__xludf.DUMMYFUNCTION("""COMPUTED_VALUE"""),7165.0)</f>
        <v>7165</v>
      </c>
      <c r="H1292" s="5">
        <f>IFERROR(__xludf.DUMMYFUNCTION("""COMPUTED_VALUE"""),1458.0)</f>
        <v>1458</v>
      </c>
    </row>
    <row r="1293">
      <c r="A1293" s="4">
        <f>IFERROR(__xludf.DUMMYFUNCTION("""COMPUTED_VALUE"""),43661.0)</f>
        <v>43661</v>
      </c>
      <c r="B1293" s="5">
        <f>IFERROR(__xludf.DUMMYFUNCTION("""COMPUTED_VALUE"""),2319.0)</f>
        <v>2319</v>
      </c>
      <c r="C1293" s="6">
        <f>IFERROR(__xludf.DUMMYFUNCTION("""COMPUTED_VALUE"""),0.3978)</f>
        <v>0.3978</v>
      </c>
      <c r="D1293" s="2">
        <f>IFERROR(__xludf.DUMMYFUNCTION("""COMPUTED_VALUE"""),0.0012731481481481483)</f>
        <v>0.001273148148</v>
      </c>
      <c r="E1293" s="1">
        <f>IFERROR(__xludf.DUMMYFUNCTION("""COMPUTED_VALUE"""),1.14)</f>
        <v>1.14</v>
      </c>
      <c r="F1293" s="1">
        <f>IFERROR(__xludf.DUMMYFUNCTION("""COMPUTED_VALUE"""),4.14)</f>
        <v>4.14</v>
      </c>
      <c r="G1293" s="5">
        <f>IFERROR(__xludf.DUMMYFUNCTION("""COMPUTED_VALUE"""),10983.0)</f>
        <v>10983</v>
      </c>
      <c r="H1293" s="5">
        <f>IFERROR(__xludf.DUMMYFUNCTION("""COMPUTED_VALUE"""),2652.0)</f>
        <v>2652</v>
      </c>
    </row>
    <row r="1294">
      <c r="A1294" s="4">
        <f>IFERROR(__xludf.DUMMYFUNCTION("""COMPUTED_VALUE"""),43662.0)</f>
        <v>43662</v>
      </c>
      <c r="B1294" s="5">
        <f>IFERROR(__xludf.DUMMYFUNCTION("""COMPUTED_VALUE"""),2319.0)</f>
        <v>2319</v>
      </c>
      <c r="C1294" s="6">
        <f>IFERROR(__xludf.DUMMYFUNCTION("""COMPUTED_VALUE"""),0.3791)</f>
        <v>0.3791</v>
      </c>
      <c r="D1294" s="2">
        <f>IFERROR(__xludf.DUMMYFUNCTION("""COMPUTED_VALUE"""),0.0021412037037037038)</f>
        <v>0.002141203704</v>
      </c>
      <c r="E1294" s="1">
        <f>IFERROR(__xludf.DUMMYFUNCTION("""COMPUTED_VALUE"""),1.14)</f>
        <v>1.14</v>
      </c>
      <c r="F1294" s="1">
        <f>IFERROR(__xludf.DUMMYFUNCTION("""COMPUTED_VALUE"""),4.54)</f>
        <v>4.54</v>
      </c>
      <c r="G1294" s="5">
        <f>IFERROR(__xludf.DUMMYFUNCTION("""COMPUTED_VALUE"""),11969.0)</f>
        <v>11969</v>
      </c>
      <c r="H1294" s="5">
        <f>IFERROR(__xludf.DUMMYFUNCTION("""COMPUTED_VALUE"""),2638.0)</f>
        <v>2638</v>
      </c>
    </row>
    <row r="1295">
      <c r="A1295" s="4">
        <f>IFERROR(__xludf.DUMMYFUNCTION("""COMPUTED_VALUE"""),43663.0)</f>
        <v>43663</v>
      </c>
      <c r="B1295" s="5">
        <f>IFERROR(__xludf.DUMMYFUNCTION("""COMPUTED_VALUE"""),2249.0)</f>
        <v>2249</v>
      </c>
      <c r="C1295" s="6">
        <f>IFERROR(__xludf.DUMMYFUNCTION("""COMPUTED_VALUE"""),0.4058)</f>
        <v>0.4058</v>
      </c>
      <c r="D1295" s="2">
        <f>IFERROR(__xludf.DUMMYFUNCTION("""COMPUTED_VALUE"""),0.0015277777777777779)</f>
        <v>0.001527777778</v>
      </c>
      <c r="E1295" s="1">
        <f>IFERROR(__xludf.DUMMYFUNCTION("""COMPUTED_VALUE"""),1.08)</f>
        <v>1.08</v>
      </c>
      <c r="F1295" s="1">
        <f>IFERROR(__xludf.DUMMYFUNCTION("""COMPUTED_VALUE"""),3.71)</f>
        <v>3.71</v>
      </c>
      <c r="G1295" s="5">
        <f>IFERROR(__xludf.DUMMYFUNCTION("""COMPUTED_VALUE"""),9025.0)</f>
        <v>9025</v>
      </c>
      <c r="H1295" s="5">
        <f>IFERROR(__xludf.DUMMYFUNCTION("""COMPUTED_VALUE"""),2430.0)</f>
        <v>2430</v>
      </c>
    </row>
    <row r="1296">
      <c r="A1296" s="4">
        <f>IFERROR(__xludf.DUMMYFUNCTION("""COMPUTED_VALUE"""),43664.0)</f>
        <v>43664</v>
      </c>
      <c r="B1296" s="5">
        <f>IFERROR(__xludf.DUMMYFUNCTION("""COMPUTED_VALUE"""),2138.0)</f>
        <v>2138</v>
      </c>
      <c r="C1296" s="6">
        <f>IFERROR(__xludf.DUMMYFUNCTION("""COMPUTED_VALUE"""),0.423)</f>
        <v>0.423</v>
      </c>
      <c r="D1296" s="2">
        <f>IFERROR(__xludf.DUMMYFUNCTION("""COMPUTED_VALUE"""),0.0017592592592592592)</f>
        <v>0.001759259259</v>
      </c>
      <c r="E1296" s="1">
        <f>IFERROR(__xludf.DUMMYFUNCTION("""COMPUTED_VALUE"""),1.18)</f>
        <v>1.18</v>
      </c>
      <c r="F1296" s="1">
        <f>IFERROR(__xludf.DUMMYFUNCTION("""COMPUTED_VALUE"""),4.57)</f>
        <v>4.57</v>
      </c>
      <c r="G1296" s="5">
        <f>IFERROR(__xludf.DUMMYFUNCTION("""COMPUTED_VALUE"""),11539.0)</f>
        <v>11539</v>
      </c>
      <c r="H1296" s="5">
        <f>IFERROR(__xludf.DUMMYFUNCTION("""COMPUTED_VALUE"""),2527.0)</f>
        <v>2527</v>
      </c>
    </row>
    <row r="1297">
      <c r="A1297" s="4">
        <f>IFERROR(__xludf.DUMMYFUNCTION("""COMPUTED_VALUE"""),43665.0)</f>
        <v>43665</v>
      </c>
      <c r="B1297" s="5">
        <f>IFERROR(__xludf.DUMMYFUNCTION("""COMPUTED_VALUE"""),2097.0)</f>
        <v>2097</v>
      </c>
      <c r="C1297" s="6">
        <f>IFERROR(__xludf.DUMMYFUNCTION("""COMPUTED_VALUE"""),0.3597)</f>
        <v>0.3597</v>
      </c>
      <c r="D1297" s="2">
        <f>IFERROR(__xludf.DUMMYFUNCTION("""COMPUTED_VALUE"""),0.0025578703703703705)</f>
        <v>0.00255787037</v>
      </c>
      <c r="E1297" s="1">
        <f>IFERROR(__xludf.DUMMYFUNCTION("""COMPUTED_VALUE"""),1.09)</f>
        <v>1.09</v>
      </c>
      <c r="F1297" s="1">
        <f>IFERROR(__xludf.DUMMYFUNCTION("""COMPUTED_VALUE"""),5.12)</f>
        <v>5.12</v>
      </c>
      <c r="G1297" s="5">
        <f>IFERROR(__xludf.DUMMYFUNCTION("""COMPUTED_VALUE"""),11650.0)</f>
        <v>11650</v>
      </c>
      <c r="H1297" s="5">
        <f>IFERROR(__xludf.DUMMYFUNCTION("""COMPUTED_VALUE"""),2277.0)</f>
        <v>2277</v>
      </c>
    </row>
    <row r="1298">
      <c r="A1298" s="4">
        <f>IFERROR(__xludf.DUMMYFUNCTION("""COMPUTED_VALUE"""),43666.0)</f>
        <v>43666</v>
      </c>
      <c r="B1298" s="5">
        <f>IFERROR(__xludf.DUMMYFUNCTION("""COMPUTED_VALUE"""),1236.0)</f>
        <v>1236</v>
      </c>
      <c r="C1298" s="6">
        <f>IFERROR(__xludf.DUMMYFUNCTION("""COMPUTED_VALUE"""),0.525)</f>
        <v>0.525</v>
      </c>
      <c r="D1298" s="2">
        <f>IFERROR(__xludf.DUMMYFUNCTION("""COMPUTED_VALUE"""),0.0017013888888888888)</f>
        <v>0.001701388889</v>
      </c>
      <c r="E1298" s="1">
        <f>IFERROR(__xludf.DUMMYFUNCTION("""COMPUTED_VALUE"""),1.13)</f>
        <v>1.13</v>
      </c>
      <c r="F1298" s="1">
        <f>IFERROR(__xludf.DUMMYFUNCTION("""COMPUTED_VALUE"""),4.38)</f>
        <v>4.38</v>
      </c>
      <c r="G1298" s="5">
        <f>IFERROR(__xludf.DUMMYFUNCTION("""COMPUTED_VALUE"""),6137.0)</f>
        <v>6137</v>
      </c>
      <c r="H1298" s="5">
        <f>IFERROR(__xludf.DUMMYFUNCTION("""COMPUTED_VALUE"""),1402.0)</f>
        <v>1402</v>
      </c>
    </row>
    <row r="1299">
      <c r="A1299" s="4">
        <f>IFERROR(__xludf.DUMMYFUNCTION("""COMPUTED_VALUE"""),43667.0)</f>
        <v>43667</v>
      </c>
      <c r="B1299" s="5">
        <f>IFERROR(__xludf.DUMMYFUNCTION("""COMPUTED_VALUE"""),1347.0)</f>
        <v>1347</v>
      </c>
      <c r="C1299" s="6">
        <f>IFERROR(__xludf.DUMMYFUNCTION("""COMPUTED_VALUE"""),0.3666)</f>
        <v>0.3666</v>
      </c>
      <c r="D1299" s="2">
        <f>IFERROR(__xludf.DUMMYFUNCTION("""COMPUTED_VALUE"""),0.0022800925925925927)</f>
        <v>0.002280092593</v>
      </c>
      <c r="E1299" s="1">
        <f>IFERROR(__xludf.DUMMYFUNCTION("""COMPUTED_VALUE"""),1.12)</f>
        <v>1.12</v>
      </c>
      <c r="F1299" s="1">
        <f>IFERROR(__xludf.DUMMYFUNCTION("""COMPUTED_VALUE"""),5.13)</f>
        <v>5.13</v>
      </c>
      <c r="G1299" s="5">
        <f>IFERROR(__xludf.DUMMYFUNCTION("""COMPUTED_VALUE"""),7762.0)</f>
        <v>7762</v>
      </c>
      <c r="H1299" s="5">
        <f>IFERROR(__xludf.DUMMYFUNCTION("""COMPUTED_VALUE"""),1514.0)</f>
        <v>1514</v>
      </c>
    </row>
    <row r="1300">
      <c r="A1300" s="4">
        <f>IFERROR(__xludf.DUMMYFUNCTION("""COMPUTED_VALUE"""),43668.0)</f>
        <v>43668</v>
      </c>
      <c r="B1300" s="5">
        <f>IFERROR(__xludf.DUMMYFUNCTION("""COMPUTED_VALUE"""),2152.0)</f>
        <v>2152</v>
      </c>
      <c r="C1300" s="6">
        <f>IFERROR(__xludf.DUMMYFUNCTION("""COMPUTED_VALUE"""),0.407)</f>
        <v>0.407</v>
      </c>
      <c r="D1300" s="2">
        <f>IFERROR(__xludf.DUMMYFUNCTION("""COMPUTED_VALUE"""),0.002476851851851852)</f>
        <v>0.002476851852</v>
      </c>
      <c r="E1300" s="1">
        <f>IFERROR(__xludf.DUMMYFUNCTION("""COMPUTED_VALUE"""),1.11)</f>
        <v>1.11</v>
      </c>
      <c r="F1300" s="1">
        <f>IFERROR(__xludf.DUMMYFUNCTION("""COMPUTED_VALUE"""),4.68)</f>
        <v>4.68</v>
      </c>
      <c r="G1300" s="5">
        <f>IFERROR(__xludf.DUMMYFUNCTION("""COMPUTED_VALUE"""),11178.0)</f>
        <v>11178</v>
      </c>
      <c r="H1300" s="5">
        <f>IFERROR(__xludf.DUMMYFUNCTION("""COMPUTED_VALUE"""),2388.0)</f>
        <v>2388</v>
      </c>
    </row>
    <row r="1301">
      <c r="A1301" s="4">
        <f>IFERROR(__xludf.DUMMYFUNCTION("""COMPUTED_VALUE"""),43669.0)</f>
        <v>43669</v>
      </c>
      <c r="B1301" s="5">
        <f>IFERROR(__xludf.DUMMYFUNCTION("""COMPUTED_VALUE"""),2124.0)</f>
        <v>2124</v>
      </c>
      <c r="C1301" s="6">
        <f>IFERROR(__xludf.DUMMYFUNCTION("""COMPUTED_VALUE"""),0.4762)</f>
        <v>0.4762</v>
      </c>
      <c r="D1301" s="2">
        <f>IFERROR(__xludf.DUMMYFUNCTION("""COMPUTED_VALUE"""),0.0016550925925925926)</f>
        <v>0.001655092593</v>
      </c>
      <c r="E1301" s="1">
        <f>IFERROR(__xludf.DUMMYFUNCTION("""COMPUTED_VALUE"""),1.1)</f>
        <v>1.1</v>
      </c>
      <c r="F1301" s="1">
        <f>IFERROR(__xludf.DUMMYFUNCTION("""COMPUTED_VALUE"""),4.34)</f>
        <v>4.34</v>
      </c>
      <c r="G1301" s="5">
        <f>IFERROR(__xludf.DUMMYFUNCTION("""COMPUTED_VALUE"""),10122.0)</f>
        <v>10122</v>
      </c>
      <c r="H1301" s="5">
        <f>IFERROR(__xludf.DUMMYFUNCTION("""COMPUTED_VALUE"""),2333.0)</f>
        <v>2333</v>
      </c>
    </row>
    <row r="1302">
      <c r="A1302" s="4">
        <f>IFERROR(__xludf.DUMMYFUNCTION("""COMPUTED_VALUE"""),43670.0)</f>
        <v>43670</v>
      </c>
      <c r="B1302" s="5">
        <f>IFERROR(__xludf.DUMMYFUNCTION("""COMPUTED_VALUE"""),2166.0)</f>
        <v>2166</v>
      </c>
      <c r="C1302" s="6">
        <f>IFERROR(__xludf.DUMMYFUNCTION("""COMPUTED_VALUE"""),0.3799)</f>
        <v>0.3799</v>
      </c>
      <c r="D1302" s="2">
        <f>IFERROR(__xludf.DUMMYFUNCTION("""COMPUTED_VALUE"""),0.0018055555555555555)</f>
        <v>0.001805555556</v>
      </c>
      <c r="E1302" s="1">
        <f>IFERROR(__xludf.DUMMYFUNCTION("""COMPUTED_VALUE"""),1.15)</f>
        <v>1.15</v>
      </c>
      <c r="F1302" s="1">
        <f>IFERROR(__xludf.DUMMYFUNCTION("""COMPUTED_VALUE"""),4.7)</f>
        <v>4.7</v>
      </c>
      <c r="G1302" s="5">
        <f>IFERROR(__xludf.DUMMYFUNCTION("""COMPUTED_VALUE"""),11678.0)</f>
        <v>11678</v>
      </c>
      <c r="H1302" s="5">
        <f>IFERROR(__xludf.DUMMYFUNCTION("""COMPUTED_VALUE"""),2485.0)</f>
        <v>2485</v>
      </c>
    </row>
    <row r="1303">
      <c r="A1303" s="4">
        <f>IFERROR(__xludf.DUMMYFUNCTION("""COMPUTED_VALUE"""),43671.0)</f>
        <v>43671</v>
      </c>
      <c r="B1303" s="5">
        <f>IFERROR(__xludf.DUMMYFUNCTION("""COMPUTED_VALUE"""),1944.0)</f>
        <v>1944</v>
      </c>
      <c r="C1303" s="6">
        <f>IFERROR(__xludf.DUMMYFUNCTION("""COMPUTED_VALUE"""),0.461)</f>
        <v>0.461</v>
      </c>
      <c r="D1303" s="2">
        <f>IFERROR(__xludf.DUMMYFUNCTION("""COMPUTED_VALUE"""),0.0015393518518518519)</f>
        <v>0.001539351852</v>
      </c>
      <c r="E1303" s="1">
        <f>IFERROR(__xludf.DUMMYFUNCTION("""COMPUTED_VALUE"""),1.19)</f>
        <v>1.19</v>
      </c>
      <c r="F1303" s="1">
        <f>IFERROR(__xludf.DUMMYFUNCTION("""COMPUTED_VALUE"""),3.77)</f>
        <v>3.77</v>
      </c>
      <c r="G1303" s="5">
        <f>IFERROR(__xludf.DUMMYFUNCTION("""COMPUTED_VALUE"""),8734.0)</f>
        <v>8734</v>
      </c>
      <c r="H1303" s="5">
        <f>IFERROR(__xludf.DUMMYFUNCTION("""COMPUTED_VALUE"""),2319.0)</f>
        <v>2319</v>
      </c>
    </row>
    <row r="1304">
      <c r="A1304" s="4">
        <f>IFERROR(__xludf.DUMMYFUNCTION("""COMPUTED_VALUE"""),43672.0)</f>
        <v>43672</v>
      </c>
      <c r="B1304" s="5">
        <f>IFERROR(__xludf.DUMMYFUNCTION("""COMPUTED_VALUE"""),1916.0)</f>
        <v>1916</v>
      </c>
      <c r="C1304" s="6">
        <f>IFERROR(__xludf.DUMMYFUNCTION("""COMPUTED_VALUE"""),0.4366)</f>
        <v>0.4366</v>
      </c>
      <c r="D1304" s="2">
        <f>IFERROR(__xludf.DUMMYFUNCTION("""COMPUTED_VALUE"""),0.0021412037037037038)</f>
        <v>0.002141203704</v>
      </c>
      <c r="E1304" s="1">
        <f>IFERROR(__xludf.DUMMYFUNCTION("""COMPUTED_VALUE"""),1.15)</f>
        <v>1.15</v>
      </c>
      <c r="F1304" s="1">
        <f>IFERROR(__xludf.DUMMYFUNCTION("""COMPUTED_VALUE"""),4.73)</f>
        <v>4.73</v>
      </c>
      <c r="G1304" s="5">
        <f>IFERROR(__xludf.DUMMYFUNCTION("""COMPUTED_VALUE"""),10386.0)</f>
        <v>10386</v>
      </c>
      <c r="H1304" s="5">
        <f>IFERROR(__xludf.DUMMYFUNCTION("""COMPUTED_VALUE"""),2194.0)</f>
        <v>2194</v>
      </c>
    </row>
    <row r="1305">
      <c r="A1305" s="4">
        <f>IFERROR(__xludf.DUMMYFUNCTION("""COMPUTED_VALUE"""),43673.0)</f>
        <v>43673</v>
      </c>
      <c r="B1305" s="5">
        <f>IFERROR(__xludf.DUMMYFUNCTION("""COMPUTED_VALUE"""),1305.0)</f>
        <v>1305</v>
      </c>
      <c r="C1305" s="6">
        <f>IFERROR(__xludf.DUMMYFUNCTION("""COMPUTED_VALUE"""),0.4216)</f>
        <v>0.4216</v>
      </c>
      <c r="D1305" s="2">
        <f>IFERROR(__xludf.DUMMYFUNCTION("""COMPUTED_VALUE"""),0.002361111111111111)</f>
        <v>0.002361111111</v>
      </c>
      <c r="E1305" s="1">
        <f>IFERROR(__xludf.DUMMYFUNCTION("""COMPUTED_VALUE"""),1.09)</f>
        <v>1.09</v>
      </c>
      <c r="F1305" s="1">
        <f>IFERROR(__xludf.DUMMYFUNCTION("""COMPUTED_VALUE"""),4.51)</f>
        <v>4.51</v>
      </c>
      <c r="G1305" s="5">
        <f>IFERROR(__xludf.DUMMYFUNCTION("""COMPUTED_VALUE"""),6387.0)</f>
        <v>6387</v>
      </c>
      <c r="H1305" s="5">
        <f>IFERROR(__xludf.DUMMYFUNCTION("""COMPUTED_VALUE"""),1416.0)</f>
        <v>1416</v>
      </c>
    </row>
    <row r="1306">
      <c r="A1306" s="4">
        <f>IFERROR(__xludf.DUMMYFUNCTION("""COMPUTED_VALUE"""),43674.0)</f>
        <v>43674</v>
      </c>
      <c r="B1306" s="5">
        <f>IFERROR(__xludf.DUMMYFUNCTION("""COMPUTED_VALUE"""),1319.0)</f>
        <v>1319</v>
      </c>
      <c r="C1306" s="6">
        <f>IFERROR(__xludf.DUMMYFUNCTION("""COMPUTED_VALUE"""),0.5478)</f>
        <v>0.5478</v>
      </c>
      <c r="D1306" s="2">
        <f>IFERROR(__xludf.DUMMYFUNCTION("""COMPUTED_VALUE"""),0.0015972222222222223)</f>
        <v>0.001597222222</v>
      </c>
      <c r="E1306" s="1">
        <f>IFERROR(__xludf.DUMMYFUNCTION("""COMPUTED_VALUE"""),1.09)</f>
        <v>1.09</v>
      </c>
      <c r="F1306" s="1">
        <f>IFERROR(__xludf.DUMMYFUNCTION("""COMPUTED_VALUE"""),3.64)</f>
        <v>3.64</v>
      </c>
      <c r="G1306" s="5">
        <f>IFERROR(__xludf.DUMMYFUNCTION("""COMPUTED_VALUE"""),5263.0)</f>
        <v>5263</v>
      </c>
      <c r="H1306" s="5">
        <f>IFERROR(__xludf.DUMMYFUNCTION("""COMPUTED_VALUE"""),1444.0)</f>
        <v>1444</v>
      </c>
    </row>
    <row r="1307">
      <c r="A1307" s="4">
        <f>IFERROR(__xludf.DUMMYFUNCTION("""COMPUTED_VALUE"""),43675.0)</f>
        <v>43675</v>
      </c>
      <c r="B1307" s="5">
        <f>IFERROR(__xludf.DUMMYFUNCTION("""COMPUTED_VALUE"""),2124.0)</f>
        <v>2124</v>
      </c>
      <c r="C1307" s="6">
        <f>IFERROR(__xludf.DUMMYFUNCTION("""COMPUTED_VALUE"""),0.3664)</f>
        <v>0.3664</v>
      </c>
      <c r="D1307" s="2">
        <f>IFERROR(__xludf.DUMMYFUNCTION("""COMPUTED_VALUE"""),0.0015972222222222223)</f>
        <v>0.001597222222</v>
      </c>
      <c r="E1307" s="1">
        <f>IFERROR(__xludf.DUMMYFUNCTION("""COMPUTED_VALUE"""),1.12)</f>
        <v>1.12</v>
      </c>
      <c r="F1307" s="1">
        <f>IFERROR(__xludf.DUMMYFUNCTION("""COMPUTED_VALUE"""),4.75)</f>
        <v>4.75</v>
      </c>
      <c r="G1307" s="5">
        <f>IFERROR(__xludf.DUMMYFUNCTION("""COMPUTED_VALUE"""),11344.0)</f>
        <v>11344</v>
      </c>
      <c r="H1307" s="5">
        <f>IFERROR(__xludf.DUMMYFUNCTION("""COMPUTED_VALUE"""),2388.0)</f>
        <v>2388</v>
      </c>
    </row>
    <row r="1308">
      <c r="A1308" s="4">
        <f>IFERROR(__xludf.DUMMYFUNCTION("""COMPUTED_VALUE"""),43676.0)</f>
        <v>43676</v>
      </c>
      <c r="B1308" s="5">
        <f>IFERROR(__xludf.DUMMYFUNCTION("""COMPUTED_VALUE"""),2180.0)</f>
        <v>2180</v>
      </c>
      <c r="C1308" s="6">
        <f>IFERROR(__xludf.DUMMYFUNCTION("""COMPUTED_VALUE"""),0.4159)</f>
        <v>0.4159</v>
      </c>
      <c r="D1308" s="2">
        <f>IFERROR(__xludf.DUMMYFUNCTION("""COMPUTED_VALUE"""),0.0019675925925925924)</f>
        <v>0.001967592593</v>
      </c>
      <c r="E1308" s="1">
        <f>IFERROR(__xludf.DUMMYFUNCTION("""COMPUTED_VALUE"""),1.13)</f>
        <v>1.13</v>
      </c>
      <c r="F1308" s="1">
        <f>IFERROR(__xludf.DUMMYFUNCTION("""COMPUTED_VALUE"""),3.59)</f>
        <v>3.59</v>
      </c>
      <c r="G1308" s="5">
        <f>IFERROR(__xludf.DUMMYFUNCTION("""COMPUTED_VALUE"""),8873.0)</f>
        <v>8873</v>
      </c>
      <c r="H1308" s="5">
        <f>IFERROR(__xludf.DUMMYFUNCTION("""COMPUTED_VALUE"""),2472.0)</f>
        <v>2472</v>
      </c>
    </row>
    <row r="1309">
      <c r="A1309" s="4">
        <f>IFERROR(__xludf.DUMMYFUNCTION("""COMPUTED_VALUE"""),43677.0)</f>
        <v>43677</v>
      </c>
      <c r="B1309" s="5">
        <f>IFERROR(__xludf.DUMMYFUNCTION("""COMPUTED_VALUE"""),2027.0)</f>
        <v>2027</v>
      </c>
      <c r="C1309" s="6">
        <f>IFERROR(__xludf.DUMMYFUNCTION("""COMPUTED_VALUE"""),0.4304)</f>
        <v>0.4304</v>
      </c>
      <c r="D1309" s="2">
        <f>IFERROR(__xludf.DUMMYFUNCTION("""COMPUTED_VALUE"""),0.0020486111111111113)</f>
        <v>0.002048611111</v>
      </c>
      <c r="E1309" s="1">
        <f>IFERROR(__xludf.DUMMYFUNCTION("""COMPUTED_VALUE"""),1.13)</f>
        <v>1.13</v>
      </c>
      <c r="F1309" s="1">
        <f>IFERROR(__xludf.DUMMYFUNCTION("""COMPUTED_VALUE"""),4.44)</f>
        <v>4.44</v>
      </c>
      <c r="G1309" s="5">
        <f>IFERROR(__xludf.DUMMYFUNCTION("""COMPUTED_VALUE"""),10178.0)</f>
        <v>10178</v>
      </c>
      <c r="H1309" s="5">
        <f>IFERROR(__xludf.DUMMYFUNCTION("""COMPUTED_VALUE"""),2291.0)</f>
        <v>2291</v>
      </c>
    </row>
    <row r="1310">
      <c r="A1310" s="4">
        <f>IFERROR(__xludf.DUMMYFUNCTION("""COMPUTED_VALUE"""),43678.0)</f>
        <v>43678</v>
      </c>
      <c r="B1310" s="5">
        <f>IFERROR(__xludf.DUMMYFUNCTION("""COMPUTED_VALUE"""),1999.0)</f>
        <v>1999</v>
      </c>
      <c r="C1310" s="6">
        <f>IFERROR(__xludf.DUMMYFUNCTION("""COMPUTED_VALUE"""),0.4481)</f>
        <v>0.4481</v>
      </c>
      <c r="D1310" s="2">
        <f>IFERROR(__xludf.DUMMYFUNCTION("""COMPUTED_VALUE"""),0.001990740740740741)</f>
        <v>0.001990740741</v>
      </c>
      <c r="E1310" s="1">
        <f>IFERROR(__xludf.DUMMYFUNCTION("""COMPUTED_VALUE"""),1.13)</f>
        <v>1.13</v>
      </c>
      <c r="F1310" s="1">
        <f>IFERROR(__xludf.DUMMYFUNCTION("""COMPUTED_VALUE"""),4.44)</f>
        <v>4.44</v>
      </c>
      <c r="G1310" s="5">
        <f>IFERROR(__xludf.DUMMYFUNCTION("""COMPUTED_VALUE"""),10053.0)</f>
        <v>10053</v>
      </c>
      <c r="H1310" s="5">
        <f>IFERROR(__xludf.DUMMYFUNCTION("""COMPUTED_VALUE"""),2263.0)</f>
        <v>2263</v>
      </c>
    </row>
    <row r="1311">
      <c r="A1311" s="4">
        <f>IFERROR(__xludf.DUMMYFUNCTION("""COMPUTED_VALUE"""),43679.0)</f>
        <v>43679</v>
      </c>
      <c r="B1311" s="5">
        <f>IFERROR(__xludf.DUMMYFUNCTION("""COMPUTED_VALUE"""),1875.0)</f>
        <v>1875</v>
      </c>
      <c r="C1311" s="6">
        <f>IFERROR(__xludf.DUMMYFUNCTION("""COMPUTED_VALUE"""),0.4012)</f>
        <v>0.4012</v>
      </c>
      <c r="D1311" s="2">
        <f>IFERROR(__xludf.DUMMYFUNCTION("""COMPUTED_VALUE"""),0.0021064814814814813)</f>
        <v>0.002106481481</v>
      </c>
      <c r="E1311" s="1">
        <f>IFERROR(__xludf.DUMMYFUNCTION("""COMPUTED_VALUE"""),1.13)</f>
        <v>1.13</v>
      </c>
      <c r="F1311" s="1">
        <f>IFERROR(__xludf.DUMMYFUNCTION("""COMPUTED_VALUE"""),4.58)</f>
        <v>4.58</v>
      </c>
      <c r="G1311" s="5">
        <f>IFERROR(__xludf.DUMMYFUNCTION("""COMPUTED_VALUE"""),9678.0)</f>
        <v>9678</v>
      </c>
      <c r="H1311" s="5">
        <f>IFERROR(__xludf.DUMMYFUNCTION("""COMPUTED_VALUE"""),2111.0)</f>
        <v>2111</v>
      </c>
    </row>
    <row r="1312">
      <c r="A1312" s="4">
        <f>IFERROR(__xludf.DUMMYFUNCTION("""COMPUTED_VALUE"""),43680.0)</f>
        <v>43680</v>
      </c>
      <c r="B1312" s="5">
        <f>IFERROR(__xludf.DUMMYFUNCTION("""COMPUTED_VALUE"""),1083.0)</f>
        <v>1083</v>
      </c>
      <c r="C1312" s="6">
        <f>IFERROR(__xludf.DUMMYFUNCTION("""COMPUTED_VALUE"""),0.4545)</f>
        <v>0.4545</v>
      </c>
      <c r="D1312" s="2">
        <f>IFERROR(__xludf.DUMMYFUNCTION("""COMPUTED_VALUE"""),0.0017824074074074075)</f>
        <v>0.001782407407</v>
      </c>
      <c r="E1312" s="1">
        <f>IFERROR(__xludf.DUMMYFUNCTION("""COMPUTED_VALUE"""),1.27)</f>
        <v>1.27</v>
      </c>
      <c r="F1312" s="1">
        <f>IFERROR(__xludf.DUMMYFUNCTION("""COMPUTED_VALUE"""),4.56)</f>
        <v>4.56</v>
      </c>
      <c r="G1312" s="5">
        <f>IFERROR(__xludf.DUMMYFUNCTION("""COMPUTED_VALUE"""),6276.0)</f>
        <v>6276</v>
      </c>
      <c r="H1312" s="5">
        <f>IFERROR(__xludf.DUMMYFUNCTION("""COMPUTED_VALUE"""),1375.0)</f>
        <v>1375</v>
      </c>
    </row>
    <row r="1313">
      <c r="A1313" s="4">
        <f>IFERROR(__xludf.DUMMYFUNCTION("""COMPUTED_VALUE"""),43681.0)</f>
        <v>43681</v>
      </c>
      <c r="B1313" s="5">
        <f>IFERROR(__xludf.DUMMYFUNCTION("""COMPUTED_VALUE"""),1458.0)</f>
        <v>1458</v>
      </c>
      <c r="C1313" s="6">
        <f>IFERROR(__xludf.DUMMYFUNCTION("""COMPUTED_VALUE"""),0.5171)</f>
        <v>0.5171</v>
      </c>
      <c r="D1313" s="2">
        <f>IFERROR(__xludf.DUMMYFUNCTION("""COMPUTED_VALUE"""),0.0020717592592592593)</f>
        <v>0.002071759259</v>
      </c>
      <c r="E1313" s="1">
        <f>IFERROR(__xludf.DUMMYFUNCTION("""COMPUTED_VALUE"""),1.1)</f>
        <v>1.1</v>
      </c>
      <c r="F1313" s="1">
        <f>IFERROR(__xludf.DUMMYFUNCTION("""COMPUTED_VALUE"""),4.07)</f>
        <v>4.07</v>
      </c>
      <c r="G1313" s="5">
        <f>IFERROR(__xludf.DUMMYFUNCTION("""COMPUTED_VALUE"""),6554.0)</f>
        <v>6554</v>
      </c>
      <c r="H1313" s="5">
        <f>IFERROR(__xludf.DUMMYFUNCTION("""COMPUTED_VALUE"""),1611.0)</f>
        <v>1611</v>
      </c>
    </row>
    <row r="1314">
      <c r="A1314" s="4">
        <f>IFERROR(__xludf.DUMMYFUNCTION("""COMPUTED_VALUE"""),43682.0)</f>
        <v>43682</v>
      </c>
      <c r="B1314" s="5">
        <f>IFERROR(__xludf.DUMMYFUNCTION("""COMPUTED_VALUE"""),2249.0)</f>
        <v>2249</v>
      </c>
      <c r="C1314" s="6">
        <f>IFERROR(__xludf.DUMMYFUNCTION("""COMPUTED_VALUE"""),0.3784)</f>
        <v>0.3784</v>
      </c>
      <c r="D1314" s="2">
        <f>IFERROR(__xludf.DUMMYFUNCTION("""COMPUTED_VALUE"""),0.0014699074074074074)</f>
        <v>0.001469907407</v>
      </c>
      <c r="E1314" s="1">
        <f>IFERROR(__xludf.DUMMYFUNCTION("""COMPUTED_VALUE"""),1.09)</f>
        <v>1.09</v>
      </c>
      <c r="F1314" s="1">
        <f>IFERROR(__xludf.DUMMYFUNCTION("""COMPUTED_VALUE"""),4.01)</f>
        <v>4.01</v>
      </c>
      <c r="G1314" s="5">
        <f>IFERROR(__xludf.DUMMYFUNCTION("""COMPUTED_VALUE"""),9859.0)</f>
        <v>9859</v>
      </c>
      <c r="H1314" s="5">
        <f>IFERROR(__xludf.DUMMYFUNCTION("""COMPUTED_VALUE"""),2458.0)</f>
        <v>2458</v>
      </c>
    </row>
    <row r="1315">
      <c r="A1315" s="4">
        <f>IFERROR(__xludf.DUMMYFUNCTION("""COMPUTED_VALUE"""),43683.0)</f>
        <v>43683</v>
      </c>
      <c r="B1315" s="5">
        <f>IFERROR(__xludf.DUMMYFUNCTION("""COMPUTED_VALUE"""),3069.0)</f>
        <v>3069</v>
      </c>
      <c r="C1315" s="6">
        <f>IFERROR(__xludf.DUMMYFUNCTION("""COMPUTED_VALUE"""),0.3362)</f>
        <v>0.3362</v>
      </c>
      <c r="D1315" s="2">
        <f>IFERROR(__xludf.DUMMYFUNCTION("""COMPUTED_VALUE"""),0.002349537037037037)</f>
        <v>0.002349537037</v>
      </c>
      <c r="E1315" s="1">
        <f>IFERROR(__xludf.DUMMYFUNCTION("""COMPUTED_VALUE"""),1.08)</f>
        <v>1.08</v>
      </c>
      <c r="F1315" s="1">
        <f>IFERROR(__xludf.DUMMYFUNCTION("""COMPUTED_VALUE"""),5.84)</f>
        <v>5.84</v>
      </c>
      <c r="G1315" s="5">
        <f>IFERROR(__xludf.DUMMYFUNCTION("""COMPUTED_VALUE"""),19287.0)</f>
        <v>19287</v>
      </c>
      <c r="H1315" s="5">
        <f>IFERROR(__xludf.DUMMYFUNCTION("""COMPUTED_VALUE"""),3305.0)</f>
        <v>3305</v>
      </c>
    </row>
    <row r="1316">
      <c r="A1316" s="4">
        <f>IFERROR(__xludf.DUMMYFUNCTION("""COMPUTED_VALUE"""),43684.0)</f>
        <v>43684</v>
      </c>
      <c r="B1316" s="5">
        <f>IFERROR(__xludf.DUMMYFUNCTION("""COMPUTED_VALUE"""),2958.0)</f>
        <v>2958</v>
      </c>
      <c r="C1316" s="6">
        <f>IFERROR(__xludf.DUMMYFUNCTION("""COMPUTED_VALUE"""),0.4245)</f>
        <v>0.4245</v>
      </c>
      <c r="D1316" s="2">
        <f>IFERROR(__xludf.DUMMYFUNCTION("""COMPUTED_VALUE"""),0.001875)</f>
        <v>0.001875</v>
      </c>
      <c r="E1316" s="1">
        <f>IFERROR(__xludf.DUMMYFUNCTION("""COMPUTED_VALUE"""),1.15)</f>
        <v>1.15</v>
      </c>
      <c r="F1316" s="1">
        <f>IFERROR(__xludf.DUMMYFUNCTION("""COMPUTED_VALUE"""),3.77)</f>
        <v>3.77</v>
      </c>
      <c r="G1316" s="5">
        <f>IFERROR(__xludf.DUMMYFUNCTION("""COMPUTED_VALUE"""),12830.0)</f>
        <v>12830</v>
      </c>
      <c r="H1316" s="5">
        <f>IFERROR(__xludf.DUMMYFUNCTION("""COMPUTED_VALUE"""),3402.0)</f>
        <v>3402</v>
      </c>
    </row>
    <row r="1317">
      <c r="A1317" s="4">
        <f>IFERROR(__xludf.DUMMYFUNCTION("""COMPUTED_VALUE"""),43685.0)</f>
        <v>43685</v>
      </c>
      <c r="B1317" s="5">
        <f>IFERROR(__xludf.DUMMYFUNCTION("""COMPUTED_VALUE"""),2138.0)</f>
        <v>2138</v>
      </c>
      <c r="C1317" s="6">
        <f>IFERROR(__xludf.DUMMYFUNCTION("""COMPUTED_VALUE"""),0.5113)</f>
        <v>0.5113</v>
      </c>
      <c r="D1317" s="2">
        <f>IFERROR(__xludf.DUMMYFUNCTION("""COMPUTED_VALUE"""),0.0015162037037037036)</f>
        <v>0.001516203704</v>
      </c>
      <c r="E1317" s="1">
        <f>IFERROR(__xludf.DUMMYFUNCTION("""COMPUTED_VALUE"""),1.16)</f>
        <v>1.16</v>
      </c>
      <c r="F1317" s="1">
        <f>IFERROR(__xludf.DUMMYFUNCTION("""COMPUTED_VALUE"""),3.85)</f>
        <v>3.85</v>
      </c>
      <c r="G1317" s="5">
        <f>IFERROR(__xludf.DUMMYFUNCTION("""COMPUTED_VALUE"""),9525.0)</f>
        <v>9525</v>
      </c>
      <c r="H1317" s="5">
        <f>IFERROR(__xludf.DUMMYFUNCTION("""COMPUTED_VALUE"""),2472.0)</f>
        <v>2472</v>
      </c>
    </row>
    <row r="1318">
      <c r="A1318" s="4">
        <f>IFERROR(__xludf.DUMMYFUNCTION("""COMPUTED_VALUE"""),43686.0)</f>
        <v>43686</v>
      </c>
      <c r="B1318" s="5">
        <f>IFERROR(__xludf.DUMMYFUNCTION("""COMPUTED_VALUE"""),2152.0)</f>
        <v>2152</v>
      </c>
      <c r="C1318" s="6">
        <f>IFERROR(__xludf.DUMMYFUNCTION("""COMPUTED_VALUE"""),0.3897)</f>
        <v>0.3897</v>
      </c>
      <c r="D1318" s="2">
        <f>IFERROR(__xludf.DUMMYFUNCTION("""COMPUTED_VALUE"""),0.0024074074074074076)</f>
        <v>0.002407407407</v>
      </c>
      <c r="E1318" s="1">
        <f>IFERROR(__xludf.DUMMYFUNCTION("""COMPUTED_VALUE"""),1.14)</f>
        <v>1.14</v>
      </c>
      <c r="F1318" s="1">
        <f>IFERROR(__xludf.DUMMYFUNCTION("""COMPUTED_VALUE"""),5.77)</f>
        <v>5.77</v>
      </c>
      <c r="G1318" s="5">
        <f>IFERROR(__xludf.DUMMYFUNCTION("""COMPUTED_VALUE"""),14191.0)</f>
        <v>14191</v>
      </c>
      <c r="H1318" s="5">
        <f>IFERROR(__xludf.DUMMYFUNCTION("""COMPUTED_VALUE"""),2458.0)</f>
        <v>2458</v>
      </c>
    </row>
    <row r="1319">
      <c r="A1319" s="4">
        <f>IFERROR(__xludf.DUMMYFUNCTION("""COMPUTED_VALUE"""),43687.0)</f>
        <v>43687</v>
      </c>
      <c r="B1319" s="5">
        <f>IFERROR(__xludf.DUMMYFUNCTION("""COMPUTED_VALUE"""),1541.0)</f>
        <v>1541</v>
      </c>
      <c r="C1319" s="6">
        <f>IFERROR(__xludf.DUMMYFUNCTION("""COMPUTED_VALUE"""),0.5)</f>
        <v>0.5</v>
      </c>
      <c r="D1319" s="2">
        <f>IFERROR(__xludf.DUMMYFUNCTION("""COMPUTED_VALUE"""),0.002361111111111111)</f>
        <v>0.002361111111</v>
      </c>
      <c r="E1319" s="1">
        <f>IFERROR(__xludf.DUMMYFUNCTION("""COMPUTED_VALUE"""),1.08)</f>
        <v>1.08</v>
      </c>
      <c r="F1319" s="1">
        <f>IFERROR(__xludf.DUMMYFUNCTION("""COMPUTED_VALUE"""),4.94)</f>
        <v>4.94</v>
      </c>
      <c r="G1319" s="5">
        <f>IFERROR(__xludf.DUMMYFUNCTION("""COMPUTED_VALUE"""),8234.0)</f>
        <v>8234</v>
      </c>
      <c r="H1319" s="5">
        <f>IFERROR(__xludf.DUMMYFUNCTION("""COMPUTED_VALUE"""),1666.0)</f>
        <v>1666</v>
      </c>
    </row>
    <row r="1320">
      <c r="A1320" s="4">
        <f>IFERROR(__xludf.DUMMYFUNCTION("""COMPUTED_VALUE"""),43688.0)</f>
        <v>43688</v>
      </c>
      <c r="B1320" s="5">
        <f>IFERROR(__xludf.DUMMYFUNCTION("""COMPUTED_VALUE"""),1389.0)</f>
        <v>1389</v>
      </c>
      <c r="C1320" s="6">
        <f>IFERROR(__xludf.DUMMYFUNCTION("""COMPUTED_VALUE"""),0.4806)</f>
        <v>0.4806</v>
      </c>
      <c r="D1320" s="2">
        <f>IFERROR(__xludf.DUMMYFUNCTION("""COMPUTED_VALUE"""),0.0011805555555555556)</f>
        <v>0.001180555556</v>
      </c>
      <c r="E1320" s="1">
        <f>IFERROR(__xludf.DUMMYFUNCTION("""COMPUTED_VALUE"""),1.04)</f>
        <v>1.04</v>
      </c>
      <c r="F1320" s="1">
        <f>IFERROR(__xludf.DUMMYFUNCTION("""COMPUTED_VALUE"""),3.89)</f>
        <v>3.89</v>
      </c>
      <c r="G1320" s="5">
        <f>IFERROR(__xludf.DUMMYFUNCTION("""COMPUTED_VALUE"""),5624.0)</f>
        <v>5624</v>
      </c>
      <c r="H1320" s="5">
        <f>IFERROR(__xludf.DUMMYFUNCTION("""COMPUTED_VALUE"""),1444.0)</f>
        <v>1444</v>
      </c>
    </row>
    <row r="1321">
      <c r="A1321" s="4">
        <f>IFERROR(__xludf.DUMMYFUNCTION("""COMPUTED_VALUE"""),43689.0)</f>
        <v>43689</v>
      </c>
      <c r="B1321" s="5">
        <f>IFERROR(__xludf.DUMMYFUNCTION("""COMPUTED_VALUE"""),2124.0)</f>
        <v>2124</v>
      </c>
      <c r="C1321" s="6">
        <f>IFERROR(__xludf.DUMMYFUNCTION("""COMPUTED_VALUE"""),0.4342)</f>
        <v>0.4342</v>
      </c>
      <c r="D1321" s="2">
        <f>IFERROR(__xludf.DUMMYFUNCTION("""COMPUTED_VALUE"""),0.0019097222222222222)</f>
        <v>0.001909722222</v>
      </c>
      <c r="E1321" s="1">
        <f>IFERROR(__xludf.DUMMYFUNCTION("""COMPUTED_VALUE"""),1.14)</f>
        <v>1.14</v>
      </c>
      <c r="F1321" s="1">
        <f>IFERROR(__xludf.DUMMYFUNCTION("""COMPUTED_VALUE"""),4.19)</f>
        <v>4.19</v>
      </c>
      <c r="G1321" s="5">
        <f>IFERROR(__xludf.DUMMYFUNCTION("""COMPUTED_VALUE"""),10192.0)</f>
        <v>10192</v>
      </c>
      <c r="H1321" s="5">
        <f>IFERROR(__xludf.DUMMYFUNCTION("""COMPUTED_VALUE"""),2430.0)</f>
        <v>2430</v>
      </c>
    </row>
    <row r="1322">
      <c r="A1322" s="4">
        <f>IFERROR(__xludf.DUMMYFUNCTION("""COMPUTED_VALUE"""),43690.0)</f>
        <v>43690</v>
      </c>
      <c r="B1322" s="5">
        <f>IFERROR(__xludf.DUMMYFUNCTION("""COMPUTED_VALUE"""),2180.0)</f>
        <v>2180</v>
      </c>
      <c r="C1322" s="6">
        <f>IFERROR(__xludf.DUMMYFUNCTION("""COMPUTED_VALUE"""),0.4551)</f>
        <v>0.4551</v>
      </c>
      <c r="D1322" s="2">
        <f>IFERROR(__xludf.DUMMYFUNCTION("""COMPUTED_VALUE"""),0.0023148148148148147)</f>
        <v>0.002314814815</v>
      </c>
      <c r="E1322" s="1">
        <f>IFERROR(__xludf.DUMMYFUNCTION("""COMPUTED_VALUE"""),1.13)</f>
        <v>1.13</v>
      </c>
      <c r="F1322" s="1">
        <f>IFERROR(__xludf.DUMMYFUNCTION("""COMPUTED_VALUE"""),4.38)</f>
        <v>4.38</v>
      </c>
      <c r="G1322" s="5">
        <f>IFERROR(__xludf.DUMMYFUNCTION("""COMPUTED_VALUE"""),10831.0)</f>
        <v>10831</v>
      </c>
      <c r="H1322" s="5">
        <f>IFERROR(__xludf.DUMMYFUNCTION("""COMPUTED_VALUE"""),2472.0)</f>
        <v>2472</v>
      </c>
    </row>
    <row r="1323">
      <c r="A1323" s="4">
        <f>IFERROR(__xludf.DUMMYFUNCTION("""COMPUTED_VALUE"""),43691.0)</f>
        <v>43691</v>
      </c>
      <c r="B1323" s="5">
        <f>IFERROR(__xludf.DUMMYFUNCTION("""COMPUTED_VALUE"""),1958.0)</f>
        <v>1958</v>
      </c>
      <c r="C1323" s="6">
        <f>IFERROR(__xludf.DUMMYFUNCTION("""COMPUTED_VALUE"""),0.4001)</f>
        <v>0.4001</v>
      </c>
      <c r="D1323" s="2">
        <f>IFERROR(__xludf.DUMMYFUNCTION("""COMPUTED_VALUE"""),0.0021412037037037038)</f>
        <v>0.002141203704</v>
      </c>
      <c r="E1323" s="1">
        <f>IFERROR(__xludf.DUMMYFUNCTION("""COMPUTED_VALUE"""),1.13)</f>
        <v>1.13</v>
      </c>
      <c r="F1323" s="1">
        <f>IFERROR(__xludf.DUMMYFUNCTION("""COMPUTED_VALUE"""),5.11)</f>
        <v>5.11</v>
      </c>
      <c r="G1323" s="5">
        <f>IFERROR(__xludf.DUMMYFUNCTION("""COMPUTED_VALUE"""),11358.0)</f>
        <v>11358</v>
      </c>
      <c r="H1323" s="5">
        <f>IFERROR(__xludf.DUMMYFUNCTION("""COMPUTED_VALUE"""),2222.0)</f>
        <v>2222</v>
      </c>
    </row>
    <row r="1324">
      <c r="A1324" s="4">
        <f>IFERROR(__xludf.DUMMYFUNCTION("""COMPUTED_VALUE"""),43692.0)</f>
        <v>43692</v>
      </c>
      <c r="B1324" s="5">
        <f>IFERROR(__xludf.DUMMYFUNCTION("""COMPUTED_VALUE"""),1958.0)</f>
        <v>1958</v>
      </c>
      <c r="C1324" s="6">
        <f>IFERROR(__xludf.DUMMYFUNCTION("""COMPUTED_VALUE"""),0.4546)</f>
        <v>0.4546</v>
      </c>
      <c r="D1324" s="2">
        <f>IFERROR(__xludf.DUMMYFUNCTION("""COMPUTED_VALUE"""),0.0026157407407407405)</f>
        <v>0.002615740741</v>
      </c>
      <c r="E1324" s="1">
        <f>IFERROR(__xludf.DUMMYFUNCTION("""COMPUTED_VALUE"""),1.09)</f>
        <v>1.09</v>
      </c>
      <c r="F1324" s="1">
        <f>IFERROR(__xludf.DUMMYFUNCTION("""COMPUTED_VALUE"""),5.59)</f>
        <v>5.59</v>
      </c>
      <c r="G1324" s="5">
        <f>IFERROR(__xludf.DUMMYFUNCTION("""COMPUTED_VALUE"""),11941.0)</f>
        <v>11941</v>
      </c>
      <c r="H1324" s="5">
        <f>IFERROR(__xludf.DUMMYFUNCTION("""COMPUTED_VALUE"""),2138.0)</f>
        <v>2138</v>
      </c>
    </row>
    <row r="1325">
      <c r="A1325" s="4">
        <f>IFERROR(__xludf.DUMMYFUNCTION("""COMPUTED_VALUE"""),43693.0)</f>
        <v>43693</v>
      </c>
      <c r="B1325" s="5">
        <f>IFERROR(__xludf.DUMMYFUNCTION("""COMPUTED_VALUE"""),1819.0)</f>
        <v>1819</v>
      </c>
      <c r="C1325" s="6">
        <f>IFERROR(__xludf.DUMMYFUNCTION("""COMPUTED_VALUE"""),0.4671)</f>
        <v>0.4671</v>
      </c>
      <c r="D1325" s="2">
        <f>IFERROR(__xludf.DUMMYFUNCTION("""COMPUTED_VALUE"""),0.0022222222222222222)</f>
        <v>0.002222222222</v>
      </c>
      <c r="E1325" s="1">
        <f>IFERROR(__xludf.DUMMYFUNCTION("""COMPUTED_VALUE"""),1.16)</f>
        <v>1.16</v>
      </c>
      <c r="F1325" s="1">
        <f>IFERROR(__xludf.DUMMYFUNCTION("""COMPUTED_VALUE"""),5.1)</f>
        <v>5.1</v>
      </c>
      <c r="G1325" s="5">
        <f>IFERROR(__xludf.DUMMYFUNCTION("""COMPUTED_VALUE"""),10761.0)</f>
        <v>10761</v>
      </c>
      <c r="H1325" s="5">
        <f>IFERROR(__xludf.DUMMYFUNCTION("""COMPUTED_VALUE"""),2111.0)</f>
        <v>2111</v>
      </c>
    </row>
    <row r="1326">
      <c r="A1326" s="4">
        <f>IFERROR(__xludf.DUMMYFUNCTION("""COMPUTED_VALUE"""),43694.0)</f>
        <v>43694</v>
      </c>
      <c r="B1326" s="5">
        <f>IFERROR(__xludf.DUMMYFUNCTION("""COMPUTED_VALUE"""),1236.0)</f>
        <v>1236</v>
      </c>
      <c r="C1326" s="6">
        <f>IFERROR(__xludf.DUMMYFUNCTION("""COMPUTED_VALUE"""),0.5291)</f>
        <v>0.5291</v>
      </c>
      <c r="D1326" s="2">
        <f>IFERROR(__xludf.DUMMYFUNCTION("""COMPUTED_VALUE"""),0.0013194444444444445)</f>
        <v>0.001319444444</v>
      </c>
      <c r="E1326" s="1">
        <f>IFERROR(__xludf.DUMMYFUNCTION("""COMPUTED_VALUE"""),1.17)</f>
        <v>1.17</v>
      </c>
      <c r="F1326" s="1">
        <f>IFERROR(__xludf.DUMMYFUNCTION("""COMPUTED_VALUE"""),3.26)</f>
        <v>3.26</v>
      </c>
      <c r="G1326" s="5">
        <f>IFERROR(__xludf.DUMMYFUNCTION("""COMPUTED_VALUE"""),4707.0)</f>
        <v>4707</v>
      </c>
      <c r="H1326" s="5">
        <f>IFERROR(__xludf.DUMMYFUNCTION("""COMPUTED_VALUE"""),1444.0)</f>
        <v>1444</v>
      </c>
    </row>
    <row r="1327">
      <c r="A1327" s="4">
        <f>IFERROR(__xludf.DUMMYFUNCTION("""COMPUTED_VALUE"""),43695.0)</f>
        <v>43695</v>
      </c>
      <c r="B1327" s="5">
        <f>IFERROR(__xludf.DUMMYFUNCTION("""COMPUTED_VALUE"""),1430.0)</f>
        <v>1430</v>
      </c>
      <c r="C1327" s="6">
        <f>IFERROR(__xludf.DUMMYFUNCTION("""COMPUTED_VALUE"""),0.4643)</f>
        <v>0.4643</v>
      </c>
      <c r="D1327" s="2">
        <f>IFERROR(__xludf.DUMMYFUNCTION("""COMPUTED_VALUE"""),0.0018171296296296297)</f>
        <v>0.00181712963</v>
      </c>
      <c r="E1327" s="1">
        <f>IFERROR(__xludf.DUMMYFUNCTION("""COMPUTED_VALUE"""),1.09)</f>
        <v>1.09</v>
      </c>
      <c r="F1327" s="1">
        <f>IFERROR(__xludf.DUMMYFUNCTION("""COMPUTED_VALUE"""),4.17)</f>
        <v>4.17</v>
      </c>
      <c r="G1327" s="5">
        <f>IFERROR(__xludf.DUMMYFUNCTION("""COMPUTED_VALUE"""),6484.0)</f>
        <v>6484</v>
      </c>
      <c r="H1327" s="5">
        <f>IFERROR(__xludf.DUMMYFUNCTION("""COMPUTED_VALUE"""),1555.0)</f>
        <v>1555</v>
      </c>
    </row>
    <row r="1328">
      <c r="A1328" s="4">
        <f>IFERROR(__xludf.DUMMYFUNCTION("""COMPUTED_VALUE"""),43696.0)</f>
        <v>43696</v>
      </c>
      <c r="B1328" s="5">
        <f>IFERROR(__xludf.DUMMYFUNCTION("""COMPUTED_VALUE"""),2569.0)</f>
        <v>2569</v>
      </c>
      <c r="C1328" s="6">
        <f>IFERROR(__xludf.DUMMYFUNCTION("""COMPUTED_VALUE"""),0.444)</f>
        <v>0.444</v>
      </c>
      <c r="D1328" s="2">
        <f>IFERROR(__xludf.DUMMYFUNCTION("""COMPUTED_VALUE"""),0.0020949074074074073)</f>
        <v>0.002094907407</v>
      </c>
      <c r="E1328" s="1">
        <f>IFERROR(__xludf.DUMMYFUNCTION("""COMPUTED_VALUE"""),1.11)</f>
        <v>1.11</v>
      </c>
      <c r="F1328" s="1">
        <f>IFERROR(__xludf.DUMMYFUNCTION("""COMPUTED_VALUE"""),4.79)</f>
        <v>4.79</v>
      </c>
      <c r="G1328" s="5">
        <f>IFERROR(__xludf.DUMMYFUNCTION("""COMPUTED_VALUE"""),13649.0)</f>
        <v>13649</v>
      </c>
      <c r="H1328" s="5">
        <f>IFERROR(__xludf.DUMMYFUNCTION("""COMPUTED_VALUE"""),2847.0)</f>
        <v>2847</v>
      </c>
    </row>
    <row r="1329">
      <c r="A1329" s="4">
        <f>IFERROR(__xludf.DUMMYFUNCTION("""COMPUTED_VALUE"""),43697.0)</f>
        <v>43697</v>
      </c>
      <c r="B1329" s="5">
        <f>IFERROR(__xludf.DUMMYFUNCTION("""COMPUTED_VALUE"""),3124.0)</f>
        <v>3124</v>
      </c>
      <c r="C1329" s="6">
        <f>IFERROR(__xludf.DUMMYFUNCTION("""COMPUTED_VALUE"""),0.5619)</f>
        <v>0.5619</v>
      </c>
      <c r="D1329" s="2">
        <f>IFERROR(__xludf.DUMMYFUNCTION("""COMPUTED_VALUE"""),0.0012847222222222223)</f>
        <v>0.001284722222</v>
      </c>
      <c r="E1329" s="1">
        <f>IFERROR(__xludf.DUMMYFUNCTION("""COMPUTED_VALUE"""),1.08)</f>
        <v>1.08</v>
      </c>
      <c r="F1329" s="1">
        <f>IFERROR(__xludf.DUMMYFUNCTION("""COMPUTED_VALUE"""),3.09)</f>
        <v>3.09</v>
      </c>
      <c r="G1329" s="5">
        <f>IFERROR(__xludf.DUMMYFUNCTION("""COMPUTED_VALUE"""),10372.0)</f>
        <v>10372</v>
      </c>
      <c r="H1329" s="5">
        <f>IFERROR(__xludf.DUMMYFUNCTION("""COMPUTED_VALUE"""),3360.0)</f>
        <v>3360</v>
      </c>
    </row>
    <row r="1330">
      <c r="A1330" s="4">
        <f>IFERROR(__xludf.DUMMYFUNCTION("""COMPUTED_VALUE"""),43698.0)</f>
        <v>43698</v>
      </c>
      <c r="B1330" s="5">
        <f>IFERROR(__xludf.DUMMYFUNCTION("""COMPUTED_VALUE"""),2138.0)</f>
        <v>2138</v>
      </c>
      <c r="C1330" s="6">
        <f>IFERROR(__xludf.DUMMYFUNCTION("""COMPUTED_VALUE"""),0.4365)</f>
        <v>0.4365</v>
      </c>
      <c r="D1330" s="2">
        <f>IFERROR(__xludf.DUMMYFUNCTION("""COMPUTED_VALUE"""),0.002511574074074074)</f>
        <v>0.002511574074</v>
      </c>
      <c r="E1330" s="1">
        <f>IFERROR(__xludf.DUMMYFUNCTION("""COMPUTED_VALUE"""),1.18)</f>
        <v>1.18</v>
      </c>
      <c r="F1330" s="1">
        <f>IFERROR(__xludf.DUMMYFUNCTION("""COMPUTED_VALUE"""),5.45)</f>
        <v>5.45</v>
      </c>
      <c r="G1330" s="5">
        <f>IFERROR(__xludf.DUMMYFUNCTION("""COMPUTED_VALUE"""),13705.0)</f>
        <v>13705</v>
      </c>
      <c r="H1330" s="5">
        <f>IFERROR(__xludf.DUMMYFUNCTION("""COMPUTED_VALUE"""),2513.0)</f>
        <v>2513</v>
      </c>
    </row>
    <row r="1331">
      <c r="A1331" s="4">
        <f>IFERROR(__xludf.DUMMYFUNCTION("""COMPUTED_VALUE"""),43699.0)</f>
        <v>43699</v>
      </c>
      <c r="B1331" s="5">
        <f>IFERROR(__xludf.DUMMYFUNCTION("""COMPUTED_VALUE"""),2277.0)</f>
        <v>2277</v>
      </c>
      <c r="C1331" s="6">
        <f>IFERROR(__xludf.DUMMYFUNCTION("""COMPUTED_VALUE"""),0.412)</f>
        <v>0.412</v>
      </c>
      <c r="D1331" s="2">
        <f>IFERROR(__xludf.DUMMYFUNCTION("""COMPUTED_VALUE"""),0.0023263888888888887)</f>
        <v>0.002326388889</v>
      </c>
      <c r="E1331" s="1">
        <f>IFERROR(__xludf.DUMMYFUNCTION("""COMPUTED_VALUE"""),1.11)</f>
        <v>1.11</v>
      </c>
      <c r="F1331" s="1">
        <f>IFERROR(__xludf.DUMMYFUNCTION("""COMPUTED_VALUE"""),4.51)</f>
        <v>4.51</v>
      </c>
      <c r="G1331" s="5">
        <f>IFERROR(__xludf.DUMMYFUNCTION("""COMPUTED_VALUE"""),11400.0)</f>
        <v>11400</v>
      </c>
      <c r="H1331" s="5">
        <f>IFERROR(__xludf.DUMMYFUNCTION("""COMPUTED_VALUE"""),2527.0)</f>
        <v>2527</v>
      </c>
    </row>
    <row r="1332">
      <c r="A1332" s="4">
        <f>IFERROR(__xludf.DUMMYFUNCTION("""COMPUTED_VALUE"""),43700.0)</f>
        <v>43700</v>
      </c>
      <c r="B1332" s="5">
        <f>IFERROR(__xludf.DUMMYFUNCTION("""COMPUTED_VALUE"""),2138.0)</f>
        <v>2138</v>
      </c>
      <c r="C1332" s="6">
        <f>IFERROR(__xludf.DUMMYFUNCTION("""COMPUTED_VALUE"""),0.395)</f>
        <v>0.395</v>
      </c>
      <c r="D1332" s="2">
        <f>IFERROR(__xludf.DUMMYFUNCTION("""COMPUTED_VALUE"""),0.0016898148148148148)</f>
        <v>0.001689814815</v>
      </c>
      <c r="E1332" s="1">
        <f>IFERROR(__xludf.DUMMYFUNCTION("""COMPUTED_VALUE"""),1.08)</f>
        <v>1.08</v>
      </c>
      <c r="F1332" s="1">
        <f>IFERROR(__xludf.DUMMYFUNCTION("""COMPUTED_VALUE"""),4.28)</f>
        <v>4.28</v>
      </c>
      <c r="G1332" s="5">
        <f>IFERROR(__xludf.DUMMYFUNCTION("""COMPUTED_VALUE"""),9928.0)</f>
        <v>9928</v>
      </c>
      <c r="H1332" s="5">
        <f>IFERROR(__xludf.DUMMYFUNCTION("""COMPUTED_VALUE"""),2319.0)</f>
        <v>2319</v>
      </c>
    </row>
    <row r="1333">
      <c r="A1333" s="4">
        <f>IFERROR(__xludf.DUMMYFUNCTION("""COMPUTED_VALUE"""),43701.0)</f>
        <v>43701</v>
      </c>
      <c r="B1333" s="5">
        <f>IFERROR(__xludf.DUMMYFUNCTION("""COMPUTED_VALUE"""),1541.0)</f>
        <v>1541</v>
      </c>
      <c r="C1333" s="6">
        <f>IFERROR(__xludf.DUMMYFUNCTION("""COMPUTED_VALUE"""),0.5)</f>
        <v>0.5</v>
      </c>
      <c r="D1333" s="2">
        <f>IFERROR(__xludf.DUMMYFUNCTION("""COMPUTED_VALUE"""),0.001574074074074074)</f>
        <v>0.001574074074</v>
      </c>
      <c r="E1333" s="1">
        <f>IFERROR(__xludf.DUMMYFUNCTION("""COMPUTED_VALUE"""),1.1)</f>
        <v>1.1</v>
      </c>
      <c r="F1333" s="1">
        <f>IFERROR(__xludf.DUMMYFUNCTION("""COMPUTED_VALUE"""),3.84)</f>
        <v>3.84</v>
      </c>
      <c r="G1333" s="5">
        <f>IFERROR(__xludf.DUMMYFUNCTION("""COMPUTED_VALUE"""),6512.0)</f>
        <v>6512</v>
      </c>
      <c r="H1333" s="5">
        <f>IFERROR(__xludf.DUMMYFUNCTION("""COMPUTED_VALUE"""),1694.0)</f>
        <v>1694</v>
      </c>
    </row>
    <row r="1334">
      <c r="A1334" s="4">
        <f>IFERROR(__xludf.DUMMYFUNCTION("""COMPUTED_VALUE"""),43702.0)</f>
        <v>43702</v>
      </c>
      <c r="B1334" s="5">
        <f>IFERROR(__xludf.DUMMYFUNCTION("""COMPUTED_VALUE"""),1389.0)</f>
        <v>1389</v>
      </c>
      <c r="C1334" s="6">
        <f>IFERROR(__xludf.DUMMYFUNCTION("""COMPUTED_VALUE"""),0.5177)</f>
        <v>0.5177</v>
      </c>
      <c r="D1334" s="2">
        <f>IFERROR(__xludf.DUMMYFUNCTION("""COMPUTED_VALUE"""),0.001712962962962963)</f>
        <v>0.001712962963</v>
      </c>
      <c r="E1334" s="1">
        <f>IFERROR(__xludf.DUMMYFUNCTION("""COMPUTED_VALUE"""),1.12)</f>
        <v>1.12</v>
      </c>
      <c r="F1334" s="1">
        <f>IFERROR(__xludf.DUMMYFUNCTION("""COMPUTED_VALUE"""),3.93)</f>
        <v>3.93</v>
      </c>
      <c r="G1334" s="5">
        <f>IFERROR(__xludf.DUMMYFUNCTION("""COMPUTED_VALUE"""),6110.0)</f>
        <v>6110</v>
      </c>
      <c r="H1334" s="5">
        <f>IFERROR(__xludf.DUMMYFUNCTION("""COMPUTED_VALUE"""),1555.0)</f>
        <v>1555</v>
      </c>
    </row>
    <row r="1335">
      <c r="A1335" s="4">
        <f>IFERROR(__xludf.DUMMYFUNCTION("""COMPUTED_VALUE"""),43703.0)</f>
        <v>43703</v>
      </c>
      <c r="B1335" s="5">
        <f>IFERROR(__xludf.DUMMYFUNCTION("""COMPUTED_VALUE"""),2166.0)</f>
        <v>2166</v>
      </c>
      <c r="C1335" s="6">
        <f>IFERROR(__xludf.DUMMYFUNCTION("""COMPUTED_VALUE"""),0.4489)</f>
        <v>0.4489</v>
      </c>
      <c r="D1335" s="2">
        <f>IFERROR(__xludf.DUMMYFUNCTION("""COMPUTED_VALUE"""),0.002638888888888889)</f>
        <v>0.002638888889</v>
      </c>
      <c r="E1335" s="1">
        <f>IFERROR(__xludf.DUMMYFUNCTION("""COMPUTED_VALUE"""),1.13)</f>
        <v>1.13</v>
      </c>
      <c r="F1335" s="1">
        <f>IFERROR(__xludf.DUMMYFUNCTION("""COMPUTED_VALUE"""),4.37)</f>
        <v>4.37</v>
      </c>
      <c r="G1335" s="5">
        <f>IFERROR(__xludf.DUMMYFUNCTION("""COMPUTED_VALUE"""),10692.0)</f>
        <v>10692</v>
      </c>
      <c r="H1335" s="5">
        <f>IFERROR(__xludf.DUMMYFUNCTION("""COMPUTED_VALUE"""),2444.0)</f>
        <v>2444</v>
      </c>
    </row>
    <row r="1336">
      <c r="A1336" s="4">
        <f>IFERROR(__xludf.DUMMYFUNCTION("""COMPUTED_VALUE"""),43704.0)</f>
        <v>43704</v>
      </c>
      <c r="B1336" s="5">
        <f>IFERROR(__xludf.DUMMYFUNCTION("""COMPUTED_VALUE"""),2374.0)</f>
        <v>2374</v>
      </c>
      <c r="C1336" s="6">
        <f>IFERROR(__xludf.DUMMYFUNCTION("""COMPUTED_VALUE"""),0.4507)</f>
        <v>0.4507</v>
      </c>
      <c r="D1336" s="2">
        <f>IFERROR(__xludf.DUMMYFUNCTION("""COMPUTED_VALUE"""),0.002002314814814815)</f>
        <v>0.002002314815</v>
      </c>
      <c r="E1336" s="1">
        <f>IFERROR(__xludf.DUMMYFUNCTION("""COMPUTED_VALUE"""),1.13)</f>
        <v>1.13</v>
      </c>
      <c r="F1336" s="1">
        <f>IFERROR(__xludf.DUMMYFUNCTION("""COMPUTED_VALUE"""),4.95)</f>
        <v>4.95</v>
      </c>
      <c r="G1336" s="5">
        <f>IFERROR(__xludf.DUMMYFUNCTION("""COMPUTED_VALUE"""),13261.0)</f>
        <v>13261</v>
      </c>
      <c r="H1336" s="5">
        <f>IFERROR(__xludf.DUMMYFUNCTION("""COMPUTED_VALUE"""),2680.0)</f>
        <v>2680</v>
      </c>
    </row>
    <row r="1337">
      <c r="A1337" s="4">
        <f>IFERROR(__xludf.DUMMYFUNCTION("""COMPUTED_VALUE"""),43705.0)</f>
        <v>43705</v>
      </c>
      <c r="B1337" s="5">
        <f>IFERROR(__xludf.DUMMYFUNCTION("""COMPUTED_VALUE"""),2069.0)</f>
        <v>2069</v>
      </c>
      <c r="C1337" s="6">
        <f>IFERROR(__xludf.DUMMYFUNCTION("""COMPUTED_VALUE"""),0.4599)</f>
        <v>0.4599</v>
      </c>
      <c r="D1337" s="2">
        <f>IFERROR(__xludf.DUMMYFUNCTION("""COMPUTED_VALUE"""),0.001736111111111111)</f>
        <v>0.001736111111</v>
      </c>
      <c r="E1337" s="1">
        <f>IFERROR(__xludf.DUMMYFUNCTION("""COMPUTED_VALUE"""),1.17)</f>
        <v>1.17</v>
      </c>
      <c r="F1337" s="1">
        <f>IFERROR(__xludf.DUMMYFUNCTION("""COMPUTED_VALUE"""),4.43)</f>
        <v>4.43</v>
      </c>
      <c r="G1337" s="5">
        <f>IFERROR(__xludf.DUMMYFUNCTION("""COMPUTED_VALUE"""),10692.0)</f>
        <v>10692</v>
      </c>
      <c r="H1337" s="5">
        <f>IFERROR(__xludf.DUMMYFUNCTION("""COMPUTED_VALUE"""),2416.0)</f>
        <v>2416</v>
      </c>
    </row>
    <row r="1338">
      <c r="A1338" s="4">
        <f>IFERROR(__xludf.DUMMYFUNCTION("""COMPUTED_VALUE"""),43706.0)</f>
        <v>43706</v>
      </c>
      <c r="B1338" s="5">
        <f>IFERROR(__xludf.DUMMYFUNCTION("""COMPUTED_VALUE"""),2138.0)</f>
        <v>2138</v>
      </c>
      <c r="C1338" s="6">
        <f>IFERROR(__xludf.DUMMYFUNCTION("""COMPUTED_VALUE"""),0.4608)</f>
        <v>0.4608</v>
      </c>
      <c r="D1338" s="2">
        <f>IFERROR(__xludf.DUMMYFUNCTION("""COMPUTED_VALUE"""),0.0015046296296296296)</f>
        <v>0.00150462963</v>
      </c>
      <c r="E1338" s="1">
        <f>IFERROR(__xludf.DUMMYFUNCTION("""COMPUTED_VALUE"""),1.16)</f>
        <v>1.16</v>
      </c>
      <c r="F1338" s="1">
        <f>IFERROR(__xludf.DUMMYFUNCTION("""COMPUTED_VALUE"""),4.2)</f>
        <v>4.2</v>
      </c>
      <c r="G1338" s="5">
        <f>IFERROR(__xludf.DUMMYFUNCTION("""COMPUTED_VALUE"""),10372.0)</f>
        <v>10372</v>
      </c>
      <c r="H1338" s="5">
        <f>IFERROR(__xludf.DUMMYFUNCTION("""COMPUTED_VALUE"""),2472.0)</f>
        <v>2472</v>
      </c>
    </row>
    <row r="1339">
      <c r="A1339" s="4">
        <f>IFERROR(__xludf.DUMMYFUNCTION("""COMPUTED_VALUE"""),43707.0)</f>
        <v>43707</v>
      </c>
      <c r="B1339" s="5">
        <f>IFERROR(__xludf.DUMMYFUNCTION("""COMPUTED_VALUE"""),1875.0)</f>
        <v>1875</v>
      </c>
      <c r="C1339" s="6">
        <f>IFERROR(__xludf.DUMMYFUNCTION("""COMPUTED_VALUE"""),0.3557)</f>
        <v>0.3557</v>
      </c>
      <c r="D1339" s="2">
        <f>IFERROR(__xludf.DUMMYFUNCTION("""COMPUTED_VALUE"""),0.001979166666666667)</f>
        <v>0.001979166667</v>
      </c>
      <c r="E1339" s="1">
        <f>IFERROR(__xludf.DUMMYFUNCTION("""COMPUTED_VALUE"""),1.1)</f>
        <v>1.1</v>
      </c>
      <c r="F1339" s="1">
        <f>IFERROR(__xludf.DUMMYFUNCTION("""COMPUTED_VALUE"""),4.66)</f>
        <v>4.66</v>
      </c>
      <c r="G1339" s="5">
        <f>IFERROR(__xludf.DUMMYFUNCTION("""COMPUTED_VALUE"""),9650.0)</f>
        <v>9650</v>
      </c>
      <c r="H1339" s="5">
        <f>IFERROR(__xludf.DUMMYFUNCTION("""COMPUTED_VALUE"""),2069.0)</f>
        <v>2069</v>
      </c>
    </row>
    <row r="1340">
      <c r="A1340" s="4">
        <f>IFERROR(__xludf.DUMMYFUNCTION("""COMPUTED_VALUE"""),43708.0)</f>
        <v>43708</v>
      </c>
      <c r="B1340" s="5">
        <f>IFERROR(__xludf.DUMMYFUNCTION("""COMPUTED_VALUE"""),1375.0)</f>
        <v>1375</v>
      </c>
      <c r="C1340" s="6">
        <f>IFERROR(__xludf.DUMMYFUNCTION("""COMPUTED_VALUE"""),0.5273)</f>
        <v>0.5273</v>
      </c>
      <c r="D1340" s="2">
        <f>IFERROR(__xludf.DUMMYFUNCTION("""COMPUTED_VALUE"""),0.002523148148148148)</f>
        <v>0.002523148148</v>
      </c>
      <c r="E1340" s="1">
        <f>IFERROR(__xludf.DUMMYFUNCTION("""COMPUTED_VALUE"""),1.09)</f>
        <v>1.09</v>
      </c>
      <c r="F1340" s="1">
        <f>IFERROR(__xludf.DUMMYFUNCTION("""COMPUTED_VALUE"""),4.77)</f>
        <v>4.77</v>
      </c>
      <c r="G1340" s="5">
        <f>IFERROR(__xludf.DUMMYFUNCTION("""COMPUTED_VALUE"""),7151.0)</f>
        <v>7151</v>
      </c>
      <c r="H1340" s="5">
        <f>IFERROR(__xludf.DUMMYFUNCTION("""COMPUTED_VALUE"""),1500.0)</f>
        <v>1500</v>
      </c>
    </row>
    <row r="1341">
      <c r="A1341" s="4">
        <f>IFERROR(__xludf.DUMMYFUNCTION("""COMPUTED_VALUE"""),43709.0)</f>
        <v>43709</v>
      </c>
      <c r="B1341" s="5">
        <f>IFERROR(__xludf.DUMMYFUNCTION("""COMPUTED_VALUE"""),1333.0)</f>
        <v>1333</v>
      </c>
      <c r="C1341" s="6">
        <f>IFERROR(__xludf.DUMMYFUNCTION("""COMPUTED_VALUE"""),0.4524)</f>
        <v>0.4524</v>
      </c>
      <c r="D1341" s="2">
        <f>IFERROR(__xludf.DUMMYFUNCTION("""COMPUTED_VALUE"""),0.0027314814814814814)</f>
        <v>0.002731481481</v>
      </c>
      <c r="E1341" s="1">
        <f>IFERROR(__xludf.DUMMYFUNCTION("""COMPUTED_VALUE"""),1.1)</f>
        <v>1.1</v>
      </c>
      <c r="F1341" s="1">
        <f>IFERROR(__xludf.DUMMYFUNCTION("""COMPUTED_VALUE"""),4.35)</f>
        <v>4.35</v>
      </c>
      <c r="G1341" s="5">
        <f>IFERROR(__xludf.DUMMYFUNCTION("""COMPUTED_VALUE"""),6401.0)</f>
        <v>6401</v>
      </c>
      <c r="H1341" s="5">
        <f>IFERROR(__xludf.DUMMYFUNCTION("""COMPUTED_VALUE"""),1472.0)</f>
        <v>1472</v>
      </c>
    </row>
    <row r="1342">
      <c r="A1342" s="4">
        <f>IFERROR(__xludf.DUMMYFUNCTION("""COMPUTED_VALUE"""),43710.0)</f>
        <v>43710</v>
      </c>
      <c r="B1342" s="5">
        <f>IFERROR(__xludf.DUMMYFUNCTION("""COMPUTED_VALUE"""),1736.0)</f>
        <v>1736</v>
      </c>
      <c r="C1342" s="6">
        <f>IFERROR(__xludf.DUMMYFUNCTION("""COMPUTED_VALUE"""),0.5506)</f>
        <v>0.5506</v>
      </c>
      <c r="D1342" s="2">
        <f>IFERROR(__xludf.DUMMYFUNCTION("""COMPUTED_VALUE"""),0.0012268518518518518)</f>
        <v>0.001226851852</v>
      </c>
      <c r="E1342" s="1">
        <f>IFERROR(__xludf.DUMMYFUNCTION("""COMPUTED_VALUE"""),1.1)</f>
        <v>1.1</v>
      </c>
      <c r="F1342" s="1">
        <f>IFERROR(__xludf.DUMMYFUNCTION("""COMPUTED_VALUE"""),3.38)</f>
        <v>3.38</v>
      </c>
      <c r="G1342" s="5">
        <f>IFERROR(__xludf.DUMMYFUNCTION("""COMPUTED_VALUE"""),6471.0)</f>
        <v>6471</v>
      </c>
      <c r="H1342" s="5">
        <f>IFERROR(__xludf.DUMMYFUNCTION("""COMPUTED_VALUE"""),1916.0)</f>
        <v>1916</v>
      </c>
    </row>
    <row r="1343">
      <c r="A1343" s="4">
        <f>IFERROR(__xludf.DUMMYFUNCTION("""COMPUTED_VALUE"""),43711.0)</f>
        <v>43711</v>
      </c>
      <c r="B1343" s="5">
        <f>IFERROR(__xludf.DUMMYFUNCTION("""COMPUTED_VALUE"""),2277.0)</f>
        <v>2277</v>
      </c>
      <c r="C1343" s="6">
        <f>IFERROR(__xludf.DUMMYFUNCTION("""COMPUTED_VALUE"""),0.4971)</f>
        <v>0.4971</v>
      </c>
      <c r="D1343" s="2">
        <f>IFERROR(__xludf.DUMMYFUNCTION("""COMPUTED_VALUE"""),0.0014930555555555556)</f>
        <v>0.001493055556</v>
      </c>
      <c r="E1343" s="1">
        <f>IFERROR(__xludf.DUMMYFUNCTION("""COMPUTED_VALUE"""),1.14)</f>
        <v>1.14</v>
      </c>
      <c r="F1343" s="1">
        <f>IFERROR(__xludf.DUMMYFUNCTION("""COMPUTED_VALUE"""),3.42)</f>
        <v>3.42</v>
      </c>
      <c r="G1343" s="5">
        <f>IFERROR(__xludf.DUMMYFUNCTION("""COMPUTED_VALUE"""),8887.0)</f>
        <v>8887</v>
      </c>
      <c r="H1343" s="5">
        <f>IFERROR(__xludf.DUMMYFUNCTION("""COMPUTED_VALUE"""),2597.0)</f>
        <v>2597</v>
      </c>
    </row>
    <row r="1344">
      <c r="A1344" s="4">
        <f>IFERROR(__xludf.DUMMYFUNCTION("""COMPUTED_VALUE"""),43712.0)</f>
        <v>43712</v>
      </c>
      <c r="B1344" s="5">
        <f>IFERROR(__xludf.DUMMYFUNCTION("""COMPUTED_VALUE"""),2277.0)</f>
        <v>2277</v>
      </c>
      <c r="C1344" s="6">
        <f>IFERROR(__xludf.DUMMYFUNCTION("""COMPUTED_VALUE"""),0.4947)</f>
        <v>0.4947</v>
      </c>
      <c r="D1344" s="2">
        <f>IFERROR(__xludf.DUMMYFUNCTION("""COMPUTED_VALUE"""),0.0016203703703703703)</f>
        <v>0.00162037037</v>
      </c>
      <c r="E1344" s="1">
        <f>IFERROR(__xludf.DUMMYFUNCTION("""COMPUTED_VALUE"""),1.16)</f>
        <v>1.16</v>
      </c>
      <c r="F1344" s="1">
        <f>IFERROR(__xludf.DUMMYFUNCTION("""COMPUTED_VALUE"""),4.94)</f>
        <v>4.94</v>
      </c>
      <c r="G1344" s="5">
        <f>IFERROR(__xludf.DUMMYFUNCTION("""COMPUTED_VALUE"""),13038.0)</f>
        <v>13038</v>
      </c>
      <c r="H1344" s="5">
        <f>IFERROR(__xludf.DUMMYFUNCTION("""COMPUTED_VALUE"""),2638.0)</f>
        <v>2638</v>
      </c>
    </row>
    <row r="1345">
      <c r="A1345" s="4">
        <f>IFERROR(__xludf.DUMMYFUNCTION("""COMPUTED_VALUE"""),43713.0)</f>
        <v>43713</v>
      </c>
      <c r="B1345" s="5">
        <f>IFERROR(__xludf.DUMMYFUNCTION("""COMPUTED_VALUE"""),2166.0)</f>
        <v>2166</v>
      </c>
      <c r="C1345" s="6">
        <f>IFERROR(__xludf.DUMMYFUNCTION("""COMPUTED_VALUE"""),0.3849)</f>
        <v>0.3849</v>
      </c>
      <c r="D1345" s="2">
        <f>IFERROR(__xludf.DUMMYFUNCTION("""COMPUTED_VALUE"""),0.0027546296296296294)</f>
        <v>0.00275462963</v>
      </c>
      <c r="E1345" s="1">
        <f>IFERROR(__xludf.DUMMYFUNCTION("""COMPUTED_VALUE"""),1.12)</f>
        <v>1.12</v>
      </c>
      <c r="F1345" s="1">
        <f>IFERROR(__xludf.DUMMYFUNCTION("""COMPUTED_VALUE"""),5.28)</f>
        <v>5.28</v>
      </c>
      <c r="G1345" s="5">
        <f>IFERROR(__xludf.DUMMYFUNCTION("""COMPUTED_VALUE"""),12747.0)</f>
        <v>12747</v>
      </c>
      <c r="H1345" s="5">
        <f>IFERROR(__xludf.DUMMYFUNCTION("""COMPUTED_VALUE"""),2416.0)</f>
        <v>2416</v>
      </c>
    </row>
    <row r="1346">
      <c r="A1346" s="4">
        <f>IFERROR(__xludf.DUMMYFUNCTION("""COMPUTED_VALUE"""),43714.0)</f>
        <v>43714</v>
      </c>
      <c r="B1346" s="5">
        <f>IFERROR(__xludf.DUMMYFUNCTION("""COMPUTED_VALUE"""),2069.0)</f>
        <v>2069</v>
      </c>
      <c r="C1346" s="6">
        <f>IFERROR(__xludf.DUMMYFUNCTION("""COMPUTED_VALUE"""),0.4706)</f>
        <v>0.4706</v>
      </c>
      <c r="D1346" s="2">
        <f>IFERROR(__xludf.DUMMYFUNCTION("""COMPUTED_VALUE"""),0.0017592592592592592)</f>
        <v>0.001759259259</v>
      </c>
      <c r="E1346" s="1">
        <f>IFERROR(__xludf.DUMMYFUNCTION("""COMPUTED_VALUE"""),1.14)</f>
        <v>1.14</v>
      </c>
      <c r="F1346" s="1">
        <f>IFERROR(__xludf.DUMMYFUNCTION("""COMPUTED_VALUE"""),4.32)</f>
        <v>4.32</v>
      </c>
      <c r="G1346" s="5">
        <f>IFERROR(__xludf.DUMMYFUNCTION("""COMPUTED_VALUE"""),10206.0)</f>
        <v>10206</v>
      </c>
      <c r="H1346" s="5">
        <f>IFERROR(__xludf.DUMMYFUNCTION("""COMPUTED_VALUE"""),2361.0)</f>
        <v>2361</v>
      </c>
    </row>
    <row r="1347">
      <c r="A1347" s="4">
        <f>IFERROR(__xludf.DUMMYFUNCTION("""COMPUTED_VALUE"""),43715.0)</f>
        <v>43715</v>
      </c>
      <c r="B1347" s="5">
        <f>IFERROR(__xludf.DUMMYFUNCTION("""COMPUTED_VALUE"""),1291.0)</f>
        <v>1291</v>
      </c>
      <c r="C1347" s="6">
        <f>IFERROR(__xludf.DUMMYFUNCTION("""COMPUTED_VALUE"""),0.5374)</f>
        <v>0.5374</v>
      </c>
      <c r="D1347" s="2">
        <f>IFERROR(__xludf.DUMMYFUNCTION("""COMPUTED_VALUE"""),0.0022569444444444442)</f>
        <v>0.002256944444</v>
      </c>
      <c r="E1347" s="1">
        <f>IFERROR(__xludf.DUMMYFUNCTION("""COMPUTED_VALUE"""),1.14)</f>
        <v>1.14</v>
      </c>
      <c r="F1347" s="1">
        <f>IFERROR(__xludf.DUMMYFUNCTION("""COMPUTED_VALUE"""),3.84)</f>
        <v>3.84</v>
      </c>
      <c r="G1347" s="5">
        <f>IFERROR(__xludf.DUMMYFUNCTION("""COMPUTED_VALUE"""),5651.0)</f>
        <v>5651</v>
      </c>
      <c r="H1347" s="5">
        <f>IFERROR(__xludf.DUMMYFUNCTION("""COMPUTED_VALUE"""),1472.0)</f>
        <v>1472</v>
      </c>
    </row>
    <row r="1348">
      <c r="A1348" s="4">
        <f>IFERROR(__xludf.DUMMYFUNCTION("""COMPUTED_VALUE"""),43716.0)</f>
        <v>43716</v>
      </c>
      <c r="B1348" s="5">
        <f>IFERROR(__xludf.DUMMYFUNCTION("""COMPUTED_VALUE"""),1527.0)</f>
        <v>1527</v>
      </c>
      <c r="C1348" s="6">
        <f>IFERROR(__xludf.DUMMYFUNCTION("""COMPUTED_VALUE"""),0.4798)</f>
        <v>0.4798</v>
      </c>
      <c r="D1348" s="2">
        <f>IFERROR(__xludf.DUMMYFUNCTION("""COMPUTED_VALUE"""),0.002372685185185185)</f>
        <v>0.002372685185</v>
      </c>
      <c r="E1348" s="1">
        <f>IFERROR(__xludf.DUMMYFUNCTION("""COMPUTED_VALUE"""),1.14)</f>
        <v>1.14</v>
      </c>
      <c r="F1348" s="1">
        <f>IFERROR(__xludf.DUMMYFUNCTION("""COMPUTED_VALUE"""),4.41)</f>
        <v>4.41</v>
      </c>
      <c r="G1348" s="5">
        <f>IFERROR(__xludf.DUMMYFUNCTION("""COMPUTED_VALUE"""),7651.0)</f>
        <v>7651</v>
      </c>
      <c r="H1348" s="5">
        <f>IFERROR(__xludf.DUMMYFUNCTION("""COMPUTED_VALUE"""),1736.0)</f>
        <v>1736</v>
      </c>
    </row>
    <row r="1349">
      <c r="A1349" s="4">
        <f>IFERROR(__xludf.DUMMYFUNCTION("""COMPUTED_VALUE"""),43717.0)</f>
        <v>43717</v>
      </c>
      <c r="B1349" s="5">
        <f>IFERROR(__xludf.DUMMYFUNCTION("""COMPUTED_VALUE"""),2222.0)</f>
        <v>2222</v>
      </c>
      <c r="C1349" s="6">
        <f>IFERROR(__xludf.DUMMYFUNCTION("""COMPUTED_VALUE"""),0.4349)</f>
        <v>0.4349</v>
      </c>
      <c r="D1349" s="2">
        <f>IFERROR(__xludf.DUMMYFUNCTION("""COMPUTED_VALUE"""),0.0023032407407407407)</f>
        <v>0.002303240741</v>
      </c>
      <c r="E1349" s="1">
        <f>IFERROR(__xludf.DUMMYFUNCTION("""COMPUTED_VALUE"""),1.11)</f>
        <v>1.11</v>
      </c>
      <c r="F1349" s="1">
        <f>IFERROR(__xludf.DUMMYFUNCTION("""COMPUTED_VALUE"""),5.03)</f>
        <v>5.03</v>
      </c>
      <c r="G1349" s="5">
        <f>IFERROR(__xludf.DUMMYFUNCTION("""COMPUTED_VALUE"""),12372.0)</f>
        <v>12372</v>
      </c>
      <c r="H1349" s="5">
        <f>IFERROR(__xludf.DUMMYFUNCTION("""COMPUTED_VALUE"""),2458.0)</f>
        <v>2458</v>
      </c>
    </row>
    <row r="1350">
      <c r="A1350" s="4">
        <f>IFERROR(__xludf.DUMMYFUNCTION("""COMPUTED_VALUE"""),43718.0)</f>
        <v>43718</v>
      </c>
      <c r="B1350" s="5">
        <f>IFERROR(__xludf.DUMMYFUNCTION("""COMPUTED_VALUE"""),2569.0)</f>
        <v>2569</v>
      </c>
      <c r="C1350" s="6">
        <f>IFERROR(__xludf.DUMMYFUNCTION("""COMPUTED_VALUE"""),0.4145)</f>
        <v>0.4145</v>
      </c>
      <c r="D1350" s="2">
        <f>IFERROR(__xludf.DUMMYFUNCTION("""COMPUTED_VALUE"""),0.002025462962962963)</f>
        <v>0.002025462963</v>
      </c>
      <c r="E1350" s="1">
        <f>IFERROR(__xludf.DUMMYFUNCTION("""COMPUTED_VALUE"""),1.11)</f>
        <v>1.11</v>
      </c>
      <c r="F1350" s="1">
        <f>IFERROR(__xludf.DUMMYFUNCTION("""COMPUTED_VALUE"""),4.38)</f>
        <v>4.38</v>
      </c>
      <c r="G1350" s="5">
        <f>IFERROR(__xludf.DUMMYFUNCTION("""COMPUTED_VALUE"""),12483.0)</f>
        <v>12483</v>
      </c>
      <c r="H1350" s="5">
        <f>IFERROR(__xludf.DUMMYFUNCTION("""COMPUTED_VALUE"""),2847.0)</f>
        <v>2847</v>
      </c>
    </row>
    <row r="1351">
      <c r="A1351" s="4">
        <f>IFERROR(__xludf.DUMMYFUNCTION("""COMPUTED_VALUE"""),43719.0)</f>
        <v>43719</v>
      </c>
      <c r="B1351" s="5">
        <f>IFERROR(__xludf.DUMMYFUNCTION("""COMPUTED_VALUE"""),2319.0)</f>
        <v>2319</v>
      </c>
      <c r="C1351" s="6">
        <f>IFERROR(__xludf.DUMMYFUNCTION("""COMPUTED_VALUE"""),0.4467)</f>
        <v>0.4467</v>
      </c>
      <c r="D1351" s="2">
        <f>IFERROR(__xludf.DUMMYFUNCTION("""COMPUTED_VALUE"""),0.0021643518518518518)</f>
        <v>0.002164351852</v>
      </c>
      <c r="E1351" s="1">
        <f>IFERROR(__xludf.DUMMYFUNCTION("""COMPUTED_VALUE"""),1.13)</f>
        <v>1.13</v>
      </c>
      <c r="F1351" s="1">
        <f>IFERROR(__xludf.DUMMYFUNCTION("""COMPUTED_VALUE"""),4.46)</f>
        <v>4.46</v>
      </c>
      <c r="G1351" s="5">
        <f>IFERROR(__xludf.DUMMYFUNCTION("""COMPUTED_VALUE"""),11636.0)</f>
        <v>11636</v>
      </c>
      <c r="H1351" s="5">
        <f>IFERROR(__xludf.DUMMYFUNCTION("""COMPUTED_VALUE"""),2610.0)</f>
        <v>2610</v>
      </c>
    </row>
    <row r="1352">
      <c r="A1352" s="4">
        <f>IFERROR(__xludf.DUMMYFUNCTION("""COMPUTED_VALUE"""),43720.0)</f>
        <v>43720</v>
      </c>
      <c r="B1352" s="5">
        <f>IFERROR(__xludf.DUMMYFUNCTION("""COMPUTED_VALUE"""),2402.0)</f>
        <v>2402</v>
      </c>
      <c r="C1352" s="6">
        <f>IFERROR(__xludf.DUMMYFUNCTION("""COMPUTED_VALUE"""),0.4127)</f>
        <v>0.4127</v>
      </c>
      <c r="D1352" s="2">
        <f>IFERROR(__xludf.DUMMYFUNCTION("""COMPUTED_VALUE"""),0.001574074074074074)</f>
        <v>0.001574074074</v>
      </c>
      <c r="E1352" s="1">
        <f>IFERROR(__xludf.DUMMYFUNCTION("""COMPUTED_VALUE"""),1.09)</f>
        <v>1.09</v>
      </c>
      <c r="F1352" s="1">
        <f>IFERROR(__xludf.DUMMYFUNCTION("""COMPUTED_VALUE"""),4.15)</f>
        <v>4.15</v>
      </c>
      <c r="G1352" s="5">
        <f>IFERROR(__xludf.DUMMYFUNCTION("""COMPUTED_VALUE"""),10886.0)</f>
        <v>10886</v>
      </c>
      <c r="H1352" s="5">
        <f>IFERROR(__xludf.DUMMYFUNCTION("""COMPUTED_VALUE"""),2624.0)</f>
        <v>2624</v>
      </c>
    </row>
    <row r="1353">
      <c r="A1353" s="4">
        <f>IFERROR(__xludf.DUMMYFUNCTION("""COMPUTED_VALUE"""),43721.0)</f>
        <v>43721</v>
      </c>
      <c r="B1353" s="5">
        <f>IFERROR(__xludf.DUMMYFUNCTION("""COMPUTED_VALUE"""),1986.0)</f>
        <v>1986</v>
      </c>
      <c r="C1353" s="6">
        <f>IFERROR(__xludf.DUMMYFUNCTION("""COMPUTED_VALUE"""),0.4384)</f>
        <v>0.4384</v>
      </c>
      <c r="D1353" s="2">
        <f>IFERROR(__xludf.DUMMYFUNCTION("""COMPUTED_VALUE"""),0.0021412037037037038)</f>
        <v>0.002141203704</v>
      </c>
      <c r="E1353" s="1">
        <f>IFERROR(__xludf.DUMMYFUNCTION("""COMPUTED_VALUE"""),1.13)</f>
        <v>1.13</v>
      </c>
      <c r="F1353" s="1">
        <f>IFERROR(__xludf.DUMMYFUNCTION("""COMPUTED_VALUE"""),4.8)</f>
        <v>4.8</v>
      </c>
      <c r="G1353" s="5">
        <f>IFERROR(__xludf.DUMMYFUNCTION("""COMPUTED_VALUE"""),10789.0)</f>
        <v>10789</v>
      </c>
      <c r="H1353" s="5">
        <f>IFERROR(__xludf.DUMMYFUNCTION("""COMPUTED_VALUE"""),2249.0)</f>
        <v>2249</v>
      </c>
    </row>
    <row r="1354">
      <c r="A1354" s="4">
        <f>IFERROR(__xludf.DUMMYFUNCTION("""COMPUTED_VALUE"""),43722.0)</f>
        <v>43722</v>
      </c>
      <c r="B1354" s="5">
        <f>IFERROR(__xludf.DUMMYFUNCTION("""COMPUTED_VALUE"""),1458.0)</f>
        <v>1458</v>
      </c>
      <c r="C1354" s="6">
        <f>IFERROR(__xludf.DUMMYFUNCTION("""COMPUTED_VALUE"""),0.4271)</f>
        <v>0.4271</v>
      </c>
      <c r="D1354" s="2">
        <f>IFERROR(__xludf.DUMMYFUNCTION("""COMPUTED_VALUE"""),0.0018055555555555555)</f>
        <v>0.001805555556</v>
      </c>
      <c r="E1354" s="1">
        <f>IFERROR(__xludf.DUMMYFUNCTION("""COMPUTED_VALUE"""),1.11)</f>
        <v>1.11</v>
      </c>
      <c r="F1354" s="1">
        <f>IFERROR(__xludf.DUMMYFUNCTION("""COMPUTED_VALUE"""),4.26)</f>
        <v>4.26</v>
      </c>
      <c r="G1354" s="5">
        <f>IFERROR(__xludf.DUMMYFUNCTION("""COMPUTED_VALUE"""),6915.0)</f>
        <v>6915</v>
      </c>
      <c r="H1354" s="5">
        <f>IFERROR(__xludf.DUMMYFUNCTION("""COMPUTED_VALUE"""),1625.0)</f>
        <v>1625</v>
      </c>
    </row>
    <row r="1355">
      <c r="A1355" s="4">
        <f>IFERROR(__xludf.DUMMYFUNCTION("""COMPUTED_VALUE"""),43723.0)</f>
        <v>43723</v>
      </c>
      <c r="B1355" s="5">
        <f>IFERROR(__xludf.DUMMYFUNCTION("""COMPUTED_VALUE"""),1527.0)</f>
        <v>1527</v>
      </c>
      <c r="C1355" s="6">
        <f>IFERROR(__xludf.DUMMYFUNCTION("""COMPUTED_VALUE"""),0.5193)</f>
        <v>0.5193</v>
      </c>
      <c r="D1355" s="2">
        <f>IFERROR(__xludf.DUMMYFUNCTION("""COMPUTED_VALUE"""),0.0024189814814814816)</f>
        <v>0.002418981481</v>
      </c>
      <c r="E1355" s="1">
        <f>IFERROR(__xludf.DUMMYFUNCTION("""COMPUTED_VALUE"""),1.17)</f>
        <v>1.17</v>
      </c>
      <c r="F1355" s="1">
        <f>IFERROR(__xludf.DUMMYFUNCTION("""COMPUTED_VALUE"""),4.22)</f>
        <v>4.22</v>
      </c>
      <c r="G1355" s="5">
        <f>IFERROR(__xludf.DUMMYFUNCTION("""COMPUTED_VALUE"""),7554.0)</f>
        <v>7554</v>
      </c>
      <c r="H1355" s="5">
        <f>IFERROR(__xludf.DUMMYFUNCTION("""COMPUTED_VALUE"""),1791.0)</f>
        <v>1791</v>
      </c>
    </row>
    <row r="1356">
      <c r="A1356" s="4">
        <f>IFERROR(__xludf.DUMMYFUNCTION("""COMPUTED_VALUE"""),43724.0)</f>
        <v>43724</v>
      </c>
      <c r="B1356" s="5">
        <f>IFERROR(__xludf.DUMMYFUNCTION("""COMPUTED_VALUE"""),2777.0)</f>
        <v>2777</v>
      </c>
      <c r="C1356" s="6">
        <f>IFERROR(__xludf.DUMMYFUNCTION("""COMPUTED_VALUE"""),0.4956)</f>
        <v>0.4956</v>
      </c>
      <c r="D1356" s="2">
        <f>IFERROR(__xludf.DUMMYFUNCTION("""COMPUTED_VALUE"""),0.0020833333333333333)</f>
        <v>0.002083333333</v>
      </c>
      <c r="E1356" s="1">
        <f>IFERROR(__xludf.DUMMYFUNCTION("""COMPUTED_VALUE"""),1.14)</f>
        <v>1.14</v>
      </c>
      <c r="F1356" s="1">
        <f>IFERROR(__xludf.DUMMYFUNCTION("""COMPUTED_VALUE"""),4.29)</f>
        <v>4.29</v>
      </c>
      <c r="G1356" s="5">
        <f>IFERROR(__xludf.DUMMYFUNCTION("""COMPUTED_VALUE"""),13580.0)</f>
        <v>13580</v>
      </c>
      <c r="H1356" s="5">
        <f>IFERROR(__xludf.DUMMYFUNCTION("""COMPUTED_VALUE"""),3166.0)</f>
        <v>3166</v>
      </c>
    </row>
    <row r="1357">
      <c r="A1357" s="4">
        <f>IFERROR(__xludf.DUMMYFUNCTION("""COMPUTED_VALUE"""),43725.0)</f>
        <v>43725</v>
      </c>
      <c r="B1357" s="5">
        <f>IFERROR(__xludf.DUMMYFUNCTION("""COMPUTED_VALUE"""),3249.0)</f>
        <v>3249</v>
      </c>
      <c r="C1357" s="6">
        <f>IFERROR(__xludf.DUMMYFUNCTION("""COMPUTED_VALUE"""),0.4829)</f>
        <v>0.4829</v>
      </c>
      <c r="D1357" s="2">
        <f>IFERROR(__xludf.DUMMYFUNCTION("""COMPUTED_VALUE"""),0.001990740740740741)</f>
        <v>0.001990740741</v>
      </c>
      <c r="E1357" s="1">
        <f>IFERROR(__xludf.DUMMYFUNCTION("""COMPUTED_VALUE"""),1.13)</f>
        <v>1.13</v>
      </c>
      <c r="F1357" s="1">
        <f>IFERROR(__xludf.DUMMYFUNCTION("""COMPUTED_VALUE"""),3.78)</f>
        <v>3.78</v>
      </c>
      <c r="G1357" s="5">
        <f>IFERROR(__xludf.DUMMYFUNCTION("""COMPUTED_VALUE"""),13899.0)</f>
        <v>13899</v>
      </c>
      <c r="H1357" s="5">
        <f>IFERROR(__xludf.DUMMYFUNCTION("""COMPUTED_VALUE"""),3680.0)</f>
        <v>3680</v>
      </c>
    </row>
    <row r="1358">
      <c r="A1358" s="4">
        <f>IFERROR(__xludf.DUMMYFUNCTION("""COMPUTED_VALUE"""),43726.0)</f>
        <v>43726</v>
      </c>
      <c r="B1358" s="5">
        <f>IFERROR(__xludf.DUMMYFUNCTION("""COMPUTED_VALUE"""),2402.0)</f>
        <v>2402</v>
      </c>
      <c r="C1358" s="6">
        <f>IFERROR(__xludf.DUMMYFUNCTION("""COMPUTED_VALUE"""),0.4114)</f>
        <v>0.4114</v>
      </c>
      <c r="D1358" s="2">
        <f>IFERROR(__xludf.DUMMYFUNCTION("""COMPUTED_VALUE"""),0.002025462962962963)</f>
        <v>0.002025462963</v>
      </c>
      <c r="E1358" s="1">
        <f>IFERROR(__xludf.DUMMYFUNCTION("""COMPUTED_VALUE"""),1.21)</f>
        <v>1.21</v>
      </c>
      <c r="F1358" s="1">
        <f>IFERROR(__xludf.DUMMYFUNCTION("""COMPUTED_VALUE"""),4.64)</f>
        <v>4.64</v>
      </c>
      <c r="G1358" s="5">
        <f>IFERROR(__xludf.DUMMYFUNCTION("""COMPUTED_VALUE"""),13455.0)</f>
        <v>13455</v>
      </c>
      <c r="H1358" s="5">
        <f>IFERROR(__xludf.DUMMYFUNCTION("""COMPUTED_VALUE"""),2902.0)</f>
        <v>2902</v>
      </c>
    </row>
    <row r="1359">
      <c r="A1359" s="4">
        <f>IFERROR(__xludf.DUMMYFUNCTION("""COMPUTED_VALUE"""),43727.0)</f>
        <v>43727</v>
      </c>
      <c r="B1359" s="5">
        <f>IFERROR(__xludf.DUMMYFUNCTION("""COMPUTED_VALUE"""),2361.0)</f>
        <v>2361</v>
      </c>
      <c r="C1359" s="6">
        <f>IFERROR(__xludf.DUMMYFUNCTION("""COMPUTED_VALUE"""),0.4307)</f>
        <v>0.4307</v>
      </c>
      <c r="D1359" s="2">
        <f>IFERROR(__xludf.DUMMYFUNCTION("""COMPUTED_VALUE"""),0.002025462962962963)</f>
        <v>0.002025462963</v>
      </c>
      <c r="E1359" s="1">
        <f>IFERROR(__xludf.DUMMYFUNCTION("""COMPUTED_VALUE"""),1.19)</f>
        <v>1.19</v>
      </c>
      <c r="F1359" s="1">
        <f>IFERROR(__xludf.DUMMYFUNCTION("""COMPUTED_VALUE"""),5.04)</f>
        <v>5.04</v>
      </c>
      <c r="G1359" s="5">
        <f>IFERROR(__xludf.DUMMYFUNCTION("""COMPUTED_VALUE"""),14149.0)</f>
        <v>14149</v>
      </c>
      <c r="H1359" s="5">
        <f>IFERROR(__xludf.DUMMYFUNCTION("""COMPUTED_VALUE"""),2805.0)</f>
        <v>2805</v>
      </c>
    </row>
    <row r="1360">
      <c r="A1360" s="4">
        <f>IFERROR(__xludf.DUMMYFUNCTION("""COMPUTED_VALUE"""),43728.0)</f>
        <v>43728</v>
      </c>
      <c r="B1360" s="5">
        <f>IFERROR(__xludf.DUMMYFUNCTION("""COMPUTED_VALUE"""),2374.0)</f>
        <v>2374</v>
      </c>
      <c r="C1360" s="6">
        <f>IFERROR(__xludf.DUMMYFUNCTION("""COMPUTED_VALUE"""),0.4367)</f>
        <v>0.4367</v>
      </c>
      <c r="D1360" s="2">
        <f>IFERROR(__xludf.DUMMYFUNCTION("""COMPUTED_VALUE"""),0.0016435185185185185)</f>
        <v>0.001643518519</v>
      </c>
      <c r="E1360" s="1">
        <f>IFERROR(__xludf.DUMMYFUNCTION("""COMPUTED_VALUE"""),1.11)</f>
        <v>1.11</v>
      </c>
      <c r="F1360" s="1">
        <f>IFERROR(__xludf.DUMMYFUNCTION("""COMPUTED_VALUE"""),4.91)</f>
        <v>4.91</v>
      </c>
      <c r="G1360" s="5">
        <f>IFERROR(__xludf.DUMMYFUNCTION("""COMPUTED_VALUE"""),12941.0)</f>
        <v>12941</v>
      </c>
      <c r="H1360" s="5">
        <f>IFERROR(__xludf.DUMMYFUNCTION("""COMPUTED_VALUE"""),2638.0)</f>
        <v>2638</v>
      </c>
    </row>
    <row r="1361">
      <c r="A1361" s="4">
        <f>IFERROR(__xludf.DUMMYFUNCTION("""COMPUTED_VALUE"""),43729.0)</f>
        <v>43729</v>
      </c>
      <c r="B1361" s="5">
        <f>IFERROR(__xludf.DUMMYFUNCTION("""COMPUTED_VALUE"""),1569.0)</f>
        <v>1569</v>
      </c>
      <c r="C1361" s="6">
        <f>IFERROR(__xludf.DUMMYFUNCTION("""COMPUTED_VALUE"""),0.5155)</f>
        <v>0.5155</v>
      </c>
      <c r="D1361" s="2">
        <f>IFERROR(__xludf.DUMMYFUNCTION("""COMPUTED_VALUE"""),0.002002314814814815)</f>
        <v>0.002002314815</v>
      </c>
      <c r="E1361" s="1">
        <f>IFERROR(__xludf.DUMMYFUNCTION("""COMPUTED_VALUE"""),1.13)</f>
        <v>1.13</v>
      </c>
      <c r="F1361" s="1">
        <f>IFERROR(__xludf.DUMMYFUNCTION("""COMPUTED_VALUE"""),4.09)</f>
        <v>4.09</v>
      </c>
      <c r="G1361" s="5">
        <f>IFERROR(__xludf.DUMMYFUNCTION("""COMPUTED_VALUE"""),7276.0)</f>
        <v>7276</v>
      </c>
      <c r="H1361" s="5">
        <f>IFERROR(__xludf.DUMMYFUNCTION("""COMPUTED_VALUE"""),1777.0)</f>
        <v>1777</v>
      </c>
    </row>
    <row r="1362">
      <c r="A1362" s="4">
        <f>IFERROR(__xludf.DUMMYFUNCTION("""COMPUTED_VALUE"""),43730.0)</f>
        <v>43730</v>
      </c>
      <c r="B1362" s="5">
        <f>IFERROR(__xludf.DUMMYFUNCTION("""COMPUTED_VALUE"""),1666.0)</f>
        <v>1666</v>
      </c>
      <c r="C1362" s="6">
        <f>IFERROR(__xludf.DUMMYFUNCTION("""COMPUTED_VALUE"""),0.5427)</f>
        <v>0.5427</v>
      </c>
      <c r="D1362" s="2">
        <f>IFERROR(__xludf.DUMMYFUNCTION("""COMPUTED_VALUE"""),0.0015046296296296296)</f>
        <v>0.00150462963</v>
      </c>
      <c r="E1362" s="1">
        <f>IFERROR(__xludf.DUMMYFUNCTION("""COMPUTED_VALUE"""),1.08)</f>
        <v>1.08</v>
      </c>
      <c r="F1362" s="1">
        <f>IFERROR(__xludf.DUMMYFUNCTION("""COMPUTED_VALUE"""),3.42)</f>
        <v>3.42</v>
      </c>
      <c r="G1362" s="5">
        <f>IFERROR(__xludf.DUMMYFUNCTION("""COMPUTED_VALUE"""),6123.0)</f>
        <v>6123</v>
      </c>
      <c r="H1362" s="5">
        <f>IFERROR(__xludf.DUMMYFUNCTION("""COMPUTED_VALUE"""),1791.0)</f>
        <v>1791</v>
      </c>
    </row>
    <row r="1363">
      <c r="A1363" s="4">
        <f>IFERROR(__xludf.DUMMYFUNCTION("""COMPUTED_VALUE"""),43731.0)</f>
        <v>43731</v>
      </c>
      <c r="B1363" s="5">
        <f>IFERROR(__xludf.DUMMYFUNCTION("""COMPUTED_VALUE"""),2569.0)</f>
        <v>2569</v>
      </c>
      <c r="C1363" s="6">
        <f>IFERROR(__xludf.DUMMYFUNCTION("""COMPUTED_VALUE"""),0.5002)</f>
        <v>0.5002</v>
      </c>
      <c r="D1363" s="2">
        <f>IFERROR(__xludf.DUMMYFUNCTION("""COMPUTED_VALUE"""),0.0017939814814814815)</f>
        <v>0.001793981481</v>
      </c>
      <c r="E1363" s="1">
        <f>IFERROR(__xludf.DUMMYFUNCTION("""COMPUTED_VALUE"""),1.08)</f>
        <v>1.08</v>
      </c>
      <c r="F1363" s="1">
        <f>IFERROR(__xludf.DUMMYFUNCTION("""COMPUTED_VALUE"""),3.69)</f>
        <v>3.69</v>
      </c>
      <c r="G1363" s="5">
        <f>IFERROR(__xludf.DUMMYFUNCTION("""COMPUTED_VALUE"""),10247.0)</f>
        <v>10247</v>
      </c>
      <c r="H1363" s="5">
        <f>IFERROR(__xludf.DUMMYFUNCTION("""COMPUTED_VALUE"""),2777.0)</f>
        <v>2777</v>
      </c>
    </row>
    <row r="1364">
      <c r="A1364" s="4">
        <f>IFERROR(__xludf.DUMMYFUNCTION("""COMPUTED_VALUE"""),43732.0)</f>
        <v>43732</v>
      </c>
      <c r="B1364" s="5">
        <f>IFERROR(__xludf.DUMMYFUNCTION("""COMPUTED_VALUE"""),2666.0)</f>
        <v>2666</v>
      </c>
      <c r="C1364" s="6">
        <f>IFERROR(__xludf.DUMMYFUNCTION("""COMPUTED_VALUE"""),0.4273)</f>
        <v>0.4273</v>
      </c>
      <c r="D1364" s="2">
        <f>IFERROR(__xludf.DUMMYFUNCTION("""COMPUTED_VALUE"""),0.0019328703703703704)</f>
        <v>0.00193287037</v>
      </c>
      <c r="E1364" s="1">
        <f>IFERROR(__xludf.DUMMYFUNCTION("""COMPUTED_VALUE"""),1.11)</f>
        <v>1.11</v>
      </c>
      <c r="F1364" s="1">
        <f>IFERROR(__xludf.DUMMYFUNCTION("""COMPUTED_VALUE"""),5.81)</f>
        <v>5.81</v>
      </c>
      <c r="G1364" s="5">
        <f>IFERROR(__xludf.DUMMYFUNCTION("""COMPUTED_VALUE"""),17190.0)</f>
        <v>17190</v>
      </c>
      <c r="H1364" s="5">
        <f>IFERROR(__xludf.DUMMYFUNCTION("""COMPUTED_VALUE"""),2958.0)</f>
        <v>2958</v>
      </c>
    </row>
    <row r="1365">
      <c r="A1365" s="4">
        <f>IFERROR(__xludf.DUMMYFUNCTION("""COMPUTED_VALUE"""),43733.0)</f>
        <v>43733</v>
      </c>
      <c r="B1365" s="5">
        <f>IFERROR(__xludf.DUMMYFUNCTION("""COMPUTED_VALUE"""),2652.0)</f>
        <v>2652</v>
      </c>
      <c r="C1365" s="6">
        <f>IFERROR(__xludf.DUMMYFUNCTION("""COMPUTED_VALUE"""),0.4318)</f>
        <v>0.4318</v>
      </c>
      <c r="D1365" s="2">
        <f>IFERROR(__xludf.DUMMYFUNCTION("""COMPUTED_VALUE"""),0.002037037037037037)</f>
        <v>0.002037037037</v>
      </c>
      <c r="E1365" s="1">
        <f>IFERROR(__xludf.DUMMYFUNCTION("""COMPUTED_VALUE"""),1.15)</f>
        <v>1.15</v>
      </c>
      <c r="F1365" s="1">
        <f>IFERROR(__xludf.DUMMYFUNCTION("""COMPUTED_VALUE"""),4.1)</f>
        <v>4.1</v>
      </c>
      <c r="G1365" s="5">
        <f>IFERROR(__xludf.DUMMYFUNCTION("""COMPUTED_VALUE"""),12525.0)</f>
        <v>12525</v>
      </c>
      <c r="H1365" s="5">
        <f>IFERROR(__xludf.DUMMYFUNCTION("""COMPUTED_VALUE"""),3055.0)</f>
        <v>3055</v>
      </c>
    </row>
    <row r="1366">
      <c r="A1366" s="4">
        <f>IFERROR(__xludf.DUMMYFUNCTION("""COMPUTED_VALUE"""),43734.0)</f>
        <v>43734</v>
      </c>
      <c r="B1366" s="5">
        <f>IFERROR(__xludf.DUMMYFUNCTION("""COMPUTED_VALUE"""),2624.0)</f>
        <v>2624</v>
      </c>
      <c r="C1366" s="6">
        <f>IFERROR(__xludf.DUMMYFUNCTION("""COMPUTED_VALUE"""),0.4273)</f>
        <v>0.4273</v>
      </c>
      <c r="D1366" s="2">
        <f>IFERROR(__xludf.DUMMYFUNCTION("""COMPUTED_VALUE"""),0.0017592592592592592)</f>
        <v>0.001759259259</v>
      </c>
      <c r="E1366" s="1">
        <f>IFERROR(__xludf.DUMMYFUNCTION("""COMPUTED_VALUE"""),1.13)</f>
        <v>1.13</v>
      </c>
      <c r="F1366" s="1">
        <f>IFERROR(__xludf.DUMMYFUNCTION("""COMPUTED_VALUE"""),4.38)</f>
        <v>4.38</v>
      </c>
      <c r="G1366" s="5">
        <f>IFERROR(__xludf.DUMMYFUNCTION("""COMPUTED_VALUE"""),12955.0)</f>
        <v>12955</v>
      </c>
      <c r="H1366" s="5">
        <f>IFERROR(__xludf.DUMMYFUNCTION("""COMPUTED_VALUE"""),2958.0)</f>
        <v>2958</v>
      </c>
    </row>
    <row r="1367">
      <c r="A1367" s="4">
        <f>IFERROR(__xludf.DUMMYFUNCTION("""COMPUTED_VALUE"""),43735.0)</f>
        <v>43735</v>
      </c>
      <c r="B1367" s="5">
        <f>IFERROR(__xludf.DUMMYFUNCTION("""COMPUTED_VALUE"""),2722.0)</f>
        <v>2722</v>
      </c>
      <c r="C1367" s="6">
        <f>IFERROR(__xludf.DUMMYFUNCTION("""COMPUTED_VALUE"""),0.4648)</f>
        <v>0.4648</v>
      </c>
      <c r="D1367" s="2">
        <f>IFERROR(__xludf.DUMMYFUNCTION("""COMPUTED_VALUE"""),0.0017592592592592592)</f>
        <v>0.001759259259</v>
      </c>
      <c r="E1367" s="1">
        <f>IFERROR(__xludf.DUMMYFUNCTION("""COMPUTED_VALUE"""),1.09)</f>
        <v>1.09</v>
      </c>
      <c r="F1367" s="1">
        <f>IFERROR(__xludf.DUMMYFUNCTION("""COMPUTED_VALUE"""),3.68)</f>
        <v>3.68</v>
      </c>
      <c r="G1367" s="5">
        <f>IFERROR(__xludf.DUMMYFUNCTION("""COMPUTED_VALUE"""),10872.0)</f>
        <v>10872</v>
      </c>
      <c r="H1367" s="5">
        <f>IFERROR(__xludf.DUMMYFUNCTION("""COMPUTED_VALUE"""),2958.0)</f>
        <v>2958</v>
      </c>
    </row>
    <row r="1368">
      <c r="A1368" s="4">
        <f>IFERROR(__xludf.DUMMYFUNCTION("""COMPUTED_VALUE"""),43736.0)</f>
        <v>43736</v>
      </c>
      <c r="B1368" s="5">
        <f>IFERROR(__xludf.DUMMYFUNCTION("""COMPUTED_VALUE"""),1361.0)</f>
        <v>1361</v>
      </c>
      <c r="C1368" s="6">
        <f>IFERROR(__xludf.DUMMYFUNCTION("""COMPUTED_VALUE"""),0.5647)</f>
        <v>0.5647</v>
      </c>
      <c r="D1368" s="2">
        <f>IFERROR(__xludf.DUMMYFUNCTION("""COMPUTED_VALUE"""),0.0016898148148148148)</f>
        <v>0.001689814815</v>
      </c>
      <c r="E1368" s="1">
        <f>IFERROR(__xludf.DUMMYFUNCTION("""COMPUTED_VALUE"""),1.1)</f>
        <v>1.1</v>
      </c>
      <c r="F1368" s="1">
        <f>IFERROR(__xludf.DUMMYFUNCTION("""COMPUTED_VALUE"""),3.16)</f>
        <v>3.16</v>
      </c>
      <c r="G1368" s="5">
        <f>IFERROR(__xludf.DUMMYFUNCTION("""COMPUTED_VALUE"""),4735.0)</f>
        <v>4735</v>
      </c>
      <c r="H1368" s="5">
        <f>IFERROR(__xludf.DUMMYFUNCTION("""COMPUTED_VALUE"""),1500.0)</f>
        <v>1500</v>
      </c>
    </row>
    <row r="1369">
      <c r="A1369" s="4">
        <f>IFERROR(__xludf.DUMMYFUNCTION("""COMPUTED_VALUE"""),43737.0)</f>
        <v>43737</v>
      </c>
      <c r="B1369" s="5">
        <f>IFERROR(__xludf.DUMMYFUNCTION("""COMPUTED_VALUE"""),1458.0)</f>
        <v>1458</v>
      </c>
      <c r="C1369" s="6">
        <f>IFERROR(__xludf.DUMMYFUNCTION("""COMPUTED_VALUE"""),0.5085)</f>
        <v>0.5085</v>
      </c>
      <c r="D1369" s="2">
        <f>IFERROR(__xludf.DUMMYFUNCTION("""COMPUTED_VALUE"""),0.0027314814814814814)</f>
        <v>0.002731481481</v>
      </c>
      <c r="E1369" s="1">
        <f>IFERROR(__xludf.DUMMYFUNCTION("""COMPUTED_VALUE"""),1.12)</f>
        <v>1.12</v>
      </c>
      <c r="F1369" s="1">
        <f>IFERROR(__xludf.DUMMYFUNCTION("""COMPUTED_VALUE"""),4.53)</f>
        <v>4.53</v>
      </c>
      <c r="G1369" s="5">
        <f>IFERROR(__xludf.DUMMYFUNCTION("""COMPUTED_VALUE"""),7415.0)</f>
        <v>7415</v>
      </c>
      <c r="H1369" s="5">
        <f>IFERROR(__xludf.DUMMYFUNCTION("""COMPUTED_VALUE"""),1638.0)</f>
        <v>1638</v>
      </c>
    </row>
    <row r="1370">
      <c r="A1370" s="4">
        <f>IFERROR(__xludf.DUMMYFUNCTION("""COMPUTED_VALUE"""),43738.0)</f>
        <v>43738</v>
      </c>
      <c r="B1370" s="5">
        <f>IFERROR(__xludf.DUMMYFUNCTION("""COMPUTED_VALUE"""),2138.0)</f>
        <v>2138</v>
      </c>
      <c r="C1370" s="6">
        <f>IFERROR(__xludf.DUMMYFUNCTION("""COMPUTED_VALUE"""),0.4372)</f>
        <v>0.4372</v>
      </c>
      <c r="D1370" s="2">
        <f>IFERROR(__xludf.DUMMYFUNCTION("""COMPUTED_VALUE"""),0.0021412037037037038)</f>
        <v>0.002141203704</v>
      </c>
      <c r="E1370" s="1">
        <f>IFERROR(__xludf.DUMMYFUNCTION("""COMPUTED_VALUE"""),1.19)</f>
        <v>1.19</v>
      </c>
      <c r="F1370" s="1">
        <f>IFERROR(__xludf.DUMMYFUNCTION("""COMPUTED_VALUE"""),3.88)</f>
        <v>3.88</v>
      </c>
      <c r="G1370" s="5">
        <f>IFERROR(__xludf.DUMMYFUNCTION("""COMPUTED_VALUE"""),9859.0)</f>
        <v>9859</v>
      </c>
      <c r="H1370" s="5">
        <f>IFERROR(__xludf.DUMMYFUNCTION("""COMPUTED_VALUE"""),2541.0)</f>
        <v>2541</v>
      </c>
    </row>
    <row r="1371">
      <c r="A1371" s="4">
        <f>IFERROR(__xludf.DUMMYFUNCTION("""COMPUTED_VALUE"""),43739.0)</f>
        <v>43739</v>
      </c>
      <c r="B1371" s="5">
        <f>IFERROR(__xludf.DUMMYFUNCTION("""COMPUTED_VALUE"""),2347.0)</f>
        <v>2347</v>
      </c>
      <c r="C1371" s="6">
        <f>IFERROR(__xludf.DUMMYFUNCTION("""COMPUTED_VALUE"""),0.3803)</f>
        <v>0.3803</v>
      </c>
      <c r="D1371" s="2">
        <f>IFERROR(__xludf.DUMMYFUNCTION("""COMPUTED_VALUE"""),0.002476851851851852)</f>
        <v>0.002476851852</v>
      </c>
      <c r="E1371" s="1">
        <f>IFERROR(__xludf.DUMMYFUNCTION("""COMPUTED_VALUE"""),1.14)</f>
        <v>1.14</v>
      </c>
      <c r="F1371" s="1">
        <f>IFERROR(__xludf.DUMMYFUNCTION("""COMPUTED_VALUE"""),4.4)</f>
        <v>4.4</v>
      </c>
      <c r="G1371" s="5">
        <f>IFERROR(__xludf.DUMMYFUNCTION("""COMPUTED_VALUE"""),11733.0)</f>
        <v>11733</v>
      </c>
      <c r="H1371" s="5">
        <f>IFERROR(__xludf.DUMMYFUNCTION("""COMPUTED_VALUE"""),2666.0)</f>
        <v>2666</v>
      </c>
    </row>
    <row r="1372">
      <c r="A1372" s="4">
        <f>IFERROR(__xludf.DUMMYFUNCTION("""COMPUTED_VALUE"""),43740.0)</f>
        <v>43740</v>
      </c>
      <c r="B1372" s="5">
        <f>IFERROR(__xludf.DUMMYFUNCTION("""COMPUTED_VALUE"""),2319.0)</f>
        <v>2319</v>
      </c>
      <c r="C1372" s="6">
        <f>IFERROR(__xludf.DUMMYFUNCTION("""COMPUTED_VALUE"""),0.4813)</f>
        <v>0.4813</v>
      </c>
      <c r="D1372" s="2">
        <f>IFERROR(__xludf.DUMMYFUNCTION("""COMPUTED_VALUE"""),0.0019675925925925924)</f>
        <v>0.001967592593</v>
      </c>
      <c r="E1372" s="1">
        <f>IFERROR(__xludf.DUMMYFUNCTION("""COMPUTED_VALUE"""),1.12)</f>
        <v>1.12</v>
      </c>
      <c r="F1372" s="1">
        <f>IFERROR(__xludf.DUMMYFUNCTION("""COMPUTED_VALUE"""),3.89)</f>
        <v>3.89</v>
      </c>
      <c r="G1372" s="5">
        <f>IFERROR(__xludf.DUMMYFUNCTION("""COMPUTED_VALUE"""),10095.0)</f>
        <v>10095</v>
      </c>
      <c r="H1372" s="5">
        <f>IFERROR(__xludf.DUMMYFUNCTION("""COMPUTED_VALUE"""),2597.0)</f>
        <v>2597</v>
      </c>
    </row>
    <row r="1373">
      <c r="A1373" s="4">
        <f>IFERROR(__xludf.DUMMYFUNCTION("""COMPUTED_VALUE"""),43741.0)</f>
        <v>43741</v>
      </c>
      <c r="B1373" s="5">
        <f>IFERROR(__xludf.DUMMYFUNCTION("""COMPUTED_VALUE"""),2583.0)</f>
        <v>2583</v>
      </c>
      <c r="C1373" s="6">
        <f>IFERROR(__xludf.DUMMYFUNCTION("""COMPUTED_VALUE"""),0.3963)</f>
        <v>0.3963</v>
      </c>
      <c r="D1373" s="2">
        <f>IFERROR(__xludf.DUMMYFUNCTION("""COMPUTED_VALUE"""),0.001875)</f>
        <v>0.001875</v>
      </c>
      <c r="E1373" s="1">
        <f>IFERROR(__xludf.DUMMYFUNCTION("""COMPUTED_VALUE"""),1.17)</f>
        <v>1.17</v>
      </c>
      <c r="F1373" s="1">
        <f>IFERROR(__xludf.DUMMYFUNCTION("""COMPUTED_VALUE"""),3.52)</f>
        <v>3.52</v>
      </c>
      <c r="G1373" s="5">
        <f>IFERROR(__xludf.DUMMYFUNCTION("""COMPUTED_VALUE"""),10608.0)</f>
        <v>10608</v>
      </c>
      <c r="H1373" s="5">
        <f>IFERROR(__xludf.DUMMYFUNCTION("""COMPUTED_VALUE"""),3013.0)</f>
        <v>3013</v>
      </c>
    </row>
    <row r="1374">
      <c r="A1374" s="4">
        <f>IFERROR(__xludf.DUMMYFUNCTION("""COMPUTED_VALUE"""),43742.0)</f>
        <v>43742</v>
      </c>
      <c r="B1374" s="5">
        <f>IFERROR(__xludf.DUMMYFUNCTION("""COMPUTED_VALUE"""),2041.0)</f>
        <v>2041</v>
      </c>
      <c r="C1374" s="6">
        <f>IFERROR(__xludf.DUMMYFUNCTION("""COMPUTED_VALUE"""),0.3851)</f>
        <v>0.3851</v>
      </c>
      <c r="D1374" s="2">
        <f>IFERROR(__xludf.DUMMYFUNCTION("""COMPUTED_VALUE"""),0.0019097222222222222)</f>
        <v>0.001909722222</v>
      </c>
      <c r="E1374" s="1">
        <f>IFERROR(__xludf.DUMMYFUNCTION("""COMPUTED_VALUE"""),1.1)</f>
        <v>1.1</v>
      </c>
      <c r="F1374" s="1">
        <f>IFERROR(__xludf.DUMMYFUNCTION("""COMPUTED_VALUE"""),4.37)</f>
        <v>4.37</v>
      </c>
      <c r="G1374" s="5">
        <f>IFERROR(__xludf.DUMMYFUNCTION("""COMPUTED_VALUE"""),9775.0)</f>
        <v>9775</v>
      </c>
      <c r="H1374" s="5">
        <f>IFERROR(__xludf.DUMMYFUNCTION("""COMPUTED_VALUE"""),2236.0)</f>
        <v>2236</v>
      </c>
    </row>
    <row r="1375">
      <c r="A1375" s="4">
        <f>IFERROR(__xludf.DUMMYFUNCTION("""COMPUTED_VALUE"""),43743.0)</f>
        <v>43743</v>
      </c>
      <c r="B1375" s="5">
        <f>IFERROR(__xludf.DUMMYFUNCTION("""COMPUTED_VALUE"""),1291.0)</f>
        <v>1291</v>
      </c>
      <c r="C1375" s="6">
        <f>IFERROR(__xludf.DUMMYFUNCTION("""COMPUTED_VALUE"""),0.5742)</f>
        <v>0.5742</v>
      </c>
      <c r="D1375" s="2">
        <f>IFERROR(__xludf.DUMMYFUNCTION("""COMPUTED_VALUE"""),9.490740740740741E-4)</f>
        <v>0.0009490740741</v>
      </c>
      <c r="E1375" s="1">
        <f>IFERROR(__xludf.DUMMYFUNCTION("""COMPUTED_VALUE"""),1.09)</f>
        <v>1.09</v>
      </c>
      <c r="F1375" s="1">
        <f>IFERROR(__xludf.DUMMYFUNCTION("""COMPUTED_VALUE"""),2.23)</f>
        <v>2.23</v>
      </c>
      <c r="G1375" s="5">
        <f>IFERROR(__xludf.DUMMYFUNCTION("""COMPUTED_VALUE"""),3124.0)</f>
        <v>3124</v>
      </c>
      <c r="H1375" s="5">
        <f>IFERROR(__xludf.DUMMYFUNCTION("""COMPUTED_VALUE"""),1402.0)</f>
        <v>1402</v>
      </c>
    </row>
    <row r="1376">
      <c r="A1376" s="4">
        <f>IFERROR(__xludf.DUMMYFUNCTION("""COMPUTED_VALUE"""),43744.0)</f>
        <v>43744</v>
      </c>
      <c r="B1376" s="5">
        <f>IFERROR(__xludf.DUMMYFUNCTION("""COMPUTED_VALUE"""),1319.0)</f>
        <v>1319</v>
      </c>
      <c r="C1376" s="6">
        <f>IFERROR(__xludf.DUMMYFUNCTION("""COMPUTED_VALUE"""),0.5)</f>
        <v>0.5</v>
      </c>
      <c r="D1376" s="2">
        <f>IFERROR(__xludf.DUMMYFUNCTION("""COMPUTED_VALUE"""),0.0018055555555555555)</f>
        <v>0.001805555556</v>
      </c>
      <c r="E1376" s="1">
        <f>IFERROR(__xludf.DUMMYFUNCTION("""COMPUTED_VALUE"""),1.07)</f>
        <v>1.07</v>
      </c>
      <c r="F1376" s="1">
        <f>IFERROR(__xludf.DUMMYFUNCTION("""COMPUTED_VALUE"""),3.82)</f>
        <v>3.82</v>
      </c>
      <c r="G1376" s="5">
        <f>IFERROR(__xludf.DUMMYFUNCTION("""COMPUTED_VALUE"""),5415.0)</f>
        <v>5415</v>
      </c>
      <c r="H1376" s="5">
        <f>IFERROR(__xludf.DUMMYFUNCTION("""COMPUTED_VALUE"""),1416.0)</f>
        <v>1416</v>
      </c>
    </row>
    <row r="1377">
      <c r="A1377" s="4">
        <f>IFERROR(__xludf.DUMMYFUNCTION("""COMPUTED_VALUE"""),43745.0)</f>
        <v>43745</v>
      </c>
      <c r="B1377" s="5">
        <f>IFERROR(__xludf.DUMMYFUNCTION("""COMPUTED_VALUE"""),2472.0)</f>
        <v>2472</v>
      </c>
      <c r="C1377" s="6">
        <f>IFERROR(__xludf.DUMMYFUNCTION("""COMPUTED_VALUE"""),0.4318)</f>
        <v>0.4318</v>
      </c>
      <c r="D1377" s="2">
        <f>IFERROR(__xludf.DUMMYFUNCTION("""COMPUTED_VALUE"""),0.001724537037037037)</f>
        <v>0.001724537037</v>
      </c>
      <c r="E1377" s="1">
        <f>IFERROR(__xludf.DUMMYFUNCTION("""COMPUTED_VALUE"""),1.07)</f>
        <v>1.07</v>
      </c>
      <c r="F1377" s="1">
        <f>IFERROR(__xludf.DUMMYFUNCTION("""COMPUTED_VALUE"""),3.32)</f>
        <v>3.32</v>
      </c>
      <c r="G1377" s="5">
        <f>IFERROR(__xludf.DUMMYFUNCTION("""COMPUTED_VALUE"""),8762.0)</f>
        <v>8762</v>
      </c>
      <c r="H1377" s="5">
        <f>IFERROR(__xludf.DUMMYFUNCTION("""COMPUTED_VALUE"""),2638.0)</f>
        <v>2638</v>
      </c>
    </row>
    <row r="1378">
      <c r="A1378" s="4">
        <f>IFERROR(__xludf.DUMMYFUNCTION("""COMPUTED_VALUE"""),43746.0)</f>
        <v>43746</v>
      </c>
      <c r="B1378" s="5">
        <f>IFERROR(__xludf.DUMMYFUNCTION("""COMPUTED_VALUE"""),2208.0)</f>
        <v>2208</v>
      </c>
      <c r="C1378" s="6">
        <f>IFERROR(__xludf.DUMMYFUNCTION("""COMPUTED_VALUE"""),0.4887)</f>
        <v>0.4887</v>
      </c>
      <c r="D1378" s="2">
        <f>IFERROR(__xludf.DUMMYFUNCTION("""COMPUTED_VALUE"""),0.0013310185185185185)</f>
        <v>0.001331018519</v>
      </c>
      <c r="E1378" s="1">
        <f>IFERROR(__xludf.DUMMYFUNCTION("""COMPUTED_VALUE"""),1.12)</f>
        <v>1.12</v>
      </c>
      <c r="F1378" s="1">
        <f>IFERROR(__xludf.DUMMYFUNCTION("""COMPUTED_VALUE"""),3.31)</f>
        <v>3.31</v>
      </c>
      <c r="G1378" s="5">
        <f>IFERROR(__xludf.DUMMYFUNCTION("""COMPUTED_VALUE"""),8192.0)</f>
        <v>8192</v>
      </c>
      <c r="H1378" s="5">
        <f>IFERROR(__xludf.DUMMYFUNCTION("""COMPUTED_VALUE"""),2472.0)</f>
        <v>2472</v>
      </c>
    </row>
    <row r="1379">
      <c r="A1379" s="4">
        <f>IFERROR(__xludf.DUMMYFUNCTION("""COMPUTED_VALUE"""),43747.0)</f>
        <v>43747</v>
      </c>
      <c r="B1379" s="5">
        <f>IFERROR(__xludf.DUMMYFUNCTION("""COMPUTED_VALUE"""),2361.0)</f>
        <v>2361</v>
      </c>
      <c r="C1379" s="6">
        <f>IFERROR(__xludf.DUMMYFUNCTION("""COMPUTED_VALUE"""),0.4536)</f>
        <v>0.4536</v>
      </c>
      <c r="D1379" s="2">
        <f>IFERROR(__xludf.DUMMYFUNCTION("""COMPUTED_VALUE"""),0.0018171296296296297)</f>
        <v>0.00181712963</v>
      </c>
      <c r="E1379" s="1">
        <f>IFERROR(__xludf.DUMMYFUNCTION("""COMPUTED_VALUE"""),1.14)</f>
        <v>1.14</v>
      </c>
      <c r="F1379" s="1">
        <f>IFERROR(__xludf.DUMMYFUNCTION("""COMPUTED_VALUE"""),3.55)</f>
        <v>3.55</v>
      </c>
      <c r="G1379" s="5">
        <f>IFERROR(__xludf.DUMMYFUNCTION("""COMPUTED_VALUE"""),9567.0)</f>
        <v>9567</v>
      </c>
      <c r="H1379" s="5">
        <f>IFERROR(__xludf.DUMMYFUNCTION("""COMPUTED_VALUE"""),2694.0)</f>
        <v>2694</v>
      </c>
    </row>
    <row r="1380">
      <c r="A1380" s="4">
        <f>IFERROR(__xludf.DUMMYFUNCTION("""COMPUTED_VALUE"""),43748.0)</f>
        <v>43748</v>
      </c>
      <c r="B1380" s="5">
        <f>IFERROR(__xludf.DUMMYFUNCTION("""COMPUTED_VALUE"""),2236.0)</f>
        <v>2236</v>
      </c>
      <c r="C1380" s="6">
        <f>IFERROR(__xludf.DUMMYFUNCTION("""COMPUTED_VALUE"""),0.4705)</f>
        <v>0.4705</v>
      </c>
      <c r="D1380" s="2">
        <f>IFERROR(__xludf.DUMMYFUNCTION("""COMPUTED_VALUE"""),0.0015277777777777779)</f>
        <v>0.001527777778</v>
      </c>
      <c r="E1380" s="1">
        <f>IFERROR(__xludf.DUMMYFUNCTION("""COMPUTED_VALUE"""),1.16)</f>
        <v>1.16</v>
      </c>
      <c r="F1380" s="1">
        <f>IFERROR(__xludf.DUMMYFUNCTION("""COMPUTED_VALUE"""),3.01)</f>
        <v>3.01</v>
      </c>
      <c r="G1380" s="5">
        <f>IFERROR(__xludf.DUMMYFUNCTION("""COMPUTED_VALUE"""),7804.0)</f>
        <v>7804</v>
      </c>
      <c r="H1380" s="5">
        <f>IFERROR(__xludf.DUMMYFUNCTION("""COMPUTED_VALUE"""),2597.0)</f>
        <v>2597</v>
      </c>
    </row>
    <row r="1381">
      <c r="A1381" s="4">
        <f>IFERROR(__xludf.DUMMYFUNCTION("""COMPUTED_VALUE"""),43749.0)</f>
        <v>43749</v>
      </c>
      <c r="B1381" s="5">
        <f>IFERROR(__xludf.DUMMYFUNCTION("""COMPUTED_VALUE"""),1791.0)</f>
        <v>1791</v>
      </c>
      <c r="C1381" s="6">
        <f>IFERROR(__xludf.DUMMYFUNCTION("""COMPUTED_VALUE"""),0.4722)</f>
        <v>0.4722</v>
      </c>
      <c r="D1381" s="2">
        <f>IFERROR(__xludf.DUMMYFUNCTION("""COMPUTED_VALUE"""),0.0017708333333333332)</f>
        <v>0.001770833333</v>
      </c>
      <c r="E1381" s="1">
        <f>IFERROR(__xludf.DUMMYFUNCTION("""COMPUTED_VALUE"""),1.12)</f>
        <v>1.12</v>
      </c>
      <c r="F1381" s="1">
        <f>IFERROR(__xludf.DUMMYFUNCTION("""COMPUTED_VALUE"""),3.18)</f>
        <v>3.18</v>
      </c>
      <c r="G1381" s="5">
        <f>IFERROR(__xludf.DUMMYFUNCTION("""COMPUTED_VALUE"""),6360.0)</f>
        <v>6360</v>
      </c>
      <c r="H1381" s="5">
        <f>IFERROR(__xludf.DUMMYFUNCTION("""COMPUTED_VALUE"""),1999.0)</f>
        <v>1999</v>
      </c>
    </row>
    <row r="1382">
      <c r="A1382" s="4">
        <f>IFERROR(__xludf.DUMMYFUNCTION("""COMPUTED_VALUE"""),43750.0)</f>
        <v>43750</v>
      </c>
      <c r="B1382" s="5">
        <f>IFERROR(__xludf.DUMMYFUNCTION("""COMPUTED_VALUE"""),1152.0)</f>
        <v>1152</v>
      </c>
      <c r="C1382" s="6">
        <f>IFERROR(__xludf.DUMMYFUNCTION("""COMPUTED_VALUE"""),0.564)</f>
        <v>0.564</v>
      </c>
      <c r="D1382" s="2">
        <f>IFERROR(__xludf.DUMMYFUNCTION("""COMPUTED_VALUE"""),0.001990740740740741)</f>
        <v>0.001990740741</v>
      </c>
      <c r="E1382" s="1">
        <f>IFERROR(__xludf.DUMMYFUNCTION("""COMPUTED_VALUE"""),1.13)</f>
        <v>1.13</v>
      </c>
      <c r="F1382" s="1">
        <f>IFERROR(__xludf.DUMMYFUNCTION("""COMPUTED_VALUE"""),3.09)</f>
        <v>3.09</v>
      </c>
      <c r="G1382" s="5">
        <f>IFERROR(__xludf.DUMMYFUNCTION("""COMPUTED_VALUE"""),4027.0)</f>
        <v>4027</v>
      </c>
      <c r="H1382" s="5">
        <f>IFERROR(__xludf.DUMMYFUNCTION("""COMPUTED_VALUE"""),1305.0)</f>
        <v>1305</v>
      </c>
    </row>
    <row r="1383">
      <c r="A1383" s="4">
        <f>IFERROR(__xludf.DUMMYFUNCTION("""COMPUTED_VALUE"""),43751.0)</f>
        <v>43751</v>
      </c>
      <c r="B1383" s="5">
        <f>IFERROR(__xludf.DUMMYFUNCTION("""COMPUTED_VALUE"""),1222.0)</f>
        <v>1222</v>
      </c>
      <c r="C1383" s="6">
        <f>IFERROR(__xludf.DUMMYFUNCTION("""COMPUTED_VALUE"""),0.485)</f>
        <v>0.485</v>
      </c>
      <c r="D1383" s="2">
        <f>IFERROR(__xludf.DUMMYFUNCTION("""COMPUTED_VALUE"""),0.0011689814814814816)</f>
        <v>0.001168981481</v>
      </c>
      <c r="E1383" s="1">
        <f>IFERROR(__xludf.DUMMYFUNCTION("""COMPUTED_VALUE"""),1.15)</f>
        <v>1.15</v>
      </c>
      <c r="F1383" s="1">
        <f>IFERROR(__xludf.DUMMYFUNCTION("""COMPUTED_VALUE"""),2.77)</f>
        <v>2.77</v>
      </c>
      <c r="G1383" s="5">
        <f>IFERROR(__xludf.DUMMYFUNCTION("""COMPUTED_VALUE"""),3888.0)</f>
        <v>3888</v>
      </c>
      <c r="H1383" s="5">
        <f>IFERROR(__xludf.DUMMYFUNCTION("""COMPUTED_VALUE"""),1402.0)</f>
        <v>1402</v>
      </c>
    </row>
    <row r="1384">
      <c r="A1384" s="4">
        <f>IFERROR(__xludf.DUMMYFUNCTION("""COMPUTED_VALUE"""),43752.0)</f>
        <v>43752</v>
      </c>
      <c r="B1384" s="5">
        <f>IFERROR(__xludf.DUMMYFUNCTION("""COMPUTED_VALUE"""),2041.0)</f>
        <v>2041</v>
      </c>
      <c r="C1384" s="6">
        <f>IFERROR(__xludf.DUMMYFUNCTION("""COMPUTED_VALUE"""),0.4406)</f>
        <v>0.4406</v>
      </c>
      <c r="D1384" s="2">
        <f>IFERROR(__xludf.DUMMYFUNCTION("""COMPUTED_VALUE"""),0.0019675925925925924)</f>
        <v>0.001967592593</v>
      </c>
      <c r="E1384" s="1">
        <f>IFERROR(__xludf.DUMMYFUNCTION("""COMPUTED_VALUE"""),1.14)</f>
        <v>1.14</v>
      </c>
      <c r="F1384" s="1">
        <f>IFERROR(__xludf.DUMMYFUNCTION("""COMPUTED_VALUE"""),3.92)</f>
        <v>3.92</v>
      </c>
      <c r="G1384" s="5">
        <f>IFERROR(__xludf.DUMMYFUNCTION("""COMPUTED_VALUE"""),9150.0)</f>
        <v>9150</v>
      </c>
      <c r="H1384" s="5">
        <f>IFERROR(__xludf.DUMMYFUNCTION("""COMPUTED_VALUE"""),2333.0)</f>
        <v>2333</v>
      </c>
    </row>
    <row r="1385">
      <c r="A1385" s="4">
        <f>IFERROR(__xludf.DUMMYFUNCTION("""COMPUTED_VALUE"""),43753.0)</f>
        <v>43753</v>
      </c>
      <c r="B1385" s="5">
        <f>IFERROR(__xludf.DUMMYFUNCTION("""COMPUTED_VALUE"""),2874.0)</f>
        <v>2874</v>
      </c>
      <c r="C1385" s="6">
        <f>IFERROR(__xludf.DUMMYFUNCTION("""COMPUTED_VALUE"""),0.4773)</f>
        <v>0.4773</v>
      </c>
      <c r="D1385" s="2">
        <f>IFERROR(__xludf.DUMMYFUNCTION("""COMPUTED_VALUE"""),0.0023148148148148147)</f>
        <v>0.002314814815</v>
      </c>
      <c r="E1385" s="1">
        <f>IFERROR(__xludf.DUMMYFUNCTION("""COMPUTED_VALUE"""),1.16)</f>
        <v>1.16</v>
      </c>
      <c r="F1385" s="1">
        <f>IFERROR(__xludf.DUMMYFUNCTION("""COMPUTED_VALUE"""),3.53)</f>
        <v>3.53</v>
      </c>
      <c r="G1385" s="5">
        <f>IFERROR(__xludf.DUMMYFUNCTION("""COMPUTED_VALUE"""),11816.0)</f>
        <v>11816</v>
      </c>
      <c r="H1385" s="5">
        <f>IFERROR(__xludf.DUMMYFUNCTION("""COMPUTED_VALUE"""),3346.0)</f>
        <v>3346</v>
      </c>
    </row>
    <row r="1386">
      <c r="A1386" s="4">
        <f>IFERROR(__xludf.DUMMYFUNCTION("""COMPUTED_VALUE"""),43754.0)</f>
        <v>43754</v>
      </c>
      <c r="B1386" s="5">
        <f>IFERROR(__xludf.DUMMYFUNCTION("""COMPUTED_VALUE"""),2694.0)</f>
        <v>2694</v>
      </c>
      <c r="C1386" s="6">
        <f>IFERROR(__xludf.DUMMYFUNCTION("""COMPUTED_VALUE"""),0.444)</f>
        <v>0.444</v>
      </c>
      <c r="D1386" s="2">
        <f>IFERROR(__xludf.DUMMYFUNCTION("""COMPUTED_VALUE"""),0.001990740740740741)</f>
        <v>0.001990740741</v>
      </c>
      <c r="E1386" s="1">
        <f>IFERROR(__xludf.DUMMYFUNCTION("""COMPUTED_VALUE"""),1.1)</f>
        <v>1.1</v>
      </c>
      <c r="F1386" s="1">
        <f>IFERROR(__xludf.DUMMYFUNCTION("""COMPUTED_VALUE"""),3.6)</f>
        <v>3.6</v>
      </c>
      <c r="G1386" s="5">
        <f>IFERROR(__xludf.DUMMYFUNCTION("""COMPUTED_VALUE"""),10706.0)</f>
        <v>10706</v>
      </c>
      <c r="H1386" s="5">
        <f>IFERROR(__xludf.DUMMYFUNCTION("""COMPUTED_VALUE"""),2971.0)</f>
        <v>2971</v>
      </c>
    </row>
    <row r="1387">
      <c r="A1387" s="4">
        <f>IFERROR(__xludf.DUMMYFUNCTION("""COMPUTED_VALUE"""),43755.0)</f>
        <v>43755</v>
      </c>
      <c r="B1387" s="5">
        <f>IFERROR(__xludf.DUMMYFUNCTION("""COMPUTED_VALUE"""),2485.0)</f>
        <v>2485</v>
      </c>
      <c r="C1387" s="6">
        <f>IFERROR(__xludf.DUMMYFUNCTION("""COMPUTED_VALUE"""),0.3916)</f>
        <v>0.3916</v>
      </c>
      <c r="D1387" s="2">
        <f>IFERROR(__xludf.DUMMYFUNCTION("""COMPUTED_VALUE"""),0.002337962962962963)</f>
        <v>0.002337962963</v>
      </c>
      <c r="E1387" s="1">
        <f>IFERROR(__xludf.DUMMYFUNCTION("""COMPUTED_VALUE"""),1.08)</f>
        <v>1.08</v>
      </c>
      <c r="F1387" s="1">
        <f>IFERROR(__xludf.DUMMYFUNCTION("""COMPUTED_VALUE"""),4.69)</f>
        <v>4.69</v>
      </c>
      <c r="G1387" s="5">
        <f>IFERROR(__xludf.DUMMYFUNCTION("""COMPUTED_VALUE"""),12636.0)</f>
        <v>12636</v>
      </c>
      <c r="H1387" s="5">
        <f>IFERROR(__xludf.DUMMYFUNCTION("""COMPUTED_VALUE"""),2694.0)</f>
        <v>2694</v>
      </c>
    </row>
    <row r="1388">
      <c r="A1388" s="4">
        <f>IFERROR(__xludf.DUMMYFUNCTION("""COMPUTED_VALUE"""),43756.0)</f>
        <v>43756</v>
      </c>
      <c r="B1388" s="5">
        <f>IFERROR(__xludf.DUMMYFUNCTION("""COMPUTED_VALUE"""),2152.0)</f>
        <v>2152</v>
      </c>
      <c r="C1388" s="6">
        <f>IFERROR(__xludf.DUMMYFUNCTION("""COMPUTED_VALUE"""),0.4)</f>
        <v>0.4</v>
      </c>
      <c r="D1388" s="2">
        <f>IFERROR(__xludf.DUMMYFUNCTION("""COMPUTED_VALUE"""),0.001712962962962963)</f>
        <v>0.001712962963</v>
      </c>
      <c r="E1388" s="1">
        <f>IFERROR(__xludf.DUMMYFUNCTION("""COMPUTED_VALUE"""),1.13)</f>
        <v>1.13</v>
      </c>
      <c r="F1388" s="1">
        <f>IFERROR(__xludf.DUMMYFUNCTION("""COMPUTED_VALUE"""),3.27)</f>
        <v>3.27</v>
      </c>
      <c r="G1388" s="5">
        <f>IFERROR(__xludf.DUMMYFUNCTION("""COMPUTED_VALUE"""),7942.0)</f>
        <v>7942</v>
      </c>
      <c r="H1388" s="5">
        <f>IFERROR(__xludf.DUMMYFUNCTION("""COMPUTED_VALUE"""),2430.0)</f>
        <v>2430</v>
      </c>
    </row>
    <row r="1389">
      <c r="A1389" s="4">
        <f>IFERROR(__xludf.DUMMYFUNCTION("""COMPUTED_VALUE"""),43757.0)</f>
        <v>43757</v>
      </c>
      <c r="B1389" s="5">
        <f>IFERROR(__xludf.DUMMYFUNCTION("""COMPUTED_VALUE"""),1402.0)</f>
        <v>1402</v>
      </c>
      <c r="C1389" s="6">
        <f>IFERROR(__xludf.DUMMYFUNCTION("""COMPUTED_VALUE"""),0.4097)</f>
        <v>0.4097</v>
      </c>
      <c r="D1389" s="2">
        <f>IFERROR(__xludf.DUMMYFUNCTION("""COMPUTED_VALUE"""),0.0028819444444444444)</f>
        <v>0.002881944444</v>
      </c>
      <c r="E1389" s="1">
        <f>IFERROR(__xludf.DUMMYFUNCTION("""COMPUTED_VALUE"""),1.21)</f>
        <v>1.21</v>
      </c>
      <c r="F1389" s="1">
        <f>IFERROR(__xludf.DUMMYFUNCTION("""COMPUTED_VALUE"""),3.53)</f>
        <v>3.53</v>
      </c>
      <c r="G1389" s="5">
        <f>IFERROR(__xludf.DUMMYFUNCTION("""COMPUTED_VALUE"""),5985.0)</f>
        <v>5985</v>
      </c>
      <c r="H1389" s="5">
        <f>IFERROR(__xludf.DUMMYFUNCTION("""COMPUTED_VALUE"""),1694.0)</f>
        <v>1694</v>
      </c>
    </row>
    <row r="1390">
      <c r="A1390" s="4">
        <f>IFERROR(__xludf.DUMMYFUNCTION("""COMPUTED_VALUE"""),43758.0)</f>
        <v>43758</v>
      </c>
      <c r="B1390" s="5">
        <f>IFERROR(__xludf.DUMMYFUNCTION("""COMPUTED_VALUE"""),1430.0)</f>
        <v>1430</v>
      </c>
      <c r="C1390" s="6">
        <f>IFERROR(__xludf.DUMMYFUNCTION("""COMPUTED_VALUE"""),0.4615)</f>
        <v>0.4615</v>
      </c>
      <c r="D1390" s="2">
        <f>IFERROR(__xludf.DUMMYFUNCTION("""COMPUTED_VALUE"""),0.0025)</f>
        <v>0.0025</v>
      </c>
      <c r="E1390" s="1">
        <f>IFERROR(__xludf.DUMMYFUNCTION("""COMPUTED_VALUE"""),1.14)</f>
        <v>1.14</v>
      </c>
      <c r="F1390" s="1">
        <f>IFERROR(__xludf.DUMMYFUNCTION("""COMPUTED_VALUE"""),4.26)</f>
        <v>4.26</v>
      </c>
      <c r="G1390" s="5">
        <f>IFERROR(__xludf.DUMMYFUNCTION("""COMPUTED_VALUE"""),6929.0)</f>
        <v>6929</v>
      </c>
      <c r="H1390" s="5">
        <f>IFERROR(__xludf.DUMMYFUNCTION("""COMPUTED_VALUE"""),1625.0)</f>
        <v>1625</v>
      </c>
    </row>
    <row r="1391">
      <c r="A1391" s="4">
        <f>IFERROR(__xludf.DUMMYFUNCTION("""COMPUTED_VALUE"""),43759.0)</f>
        <v>43759</v>
      </c>
      <c r="B1391" s="5">
        <f>IFERROR(__xludf.DUMMYFUNCTION("""COMPUTED_VALUE"""),2555.0)</f>
        <v>2555</v>
      </c>
      <c r="C1391" s="6">
        <f>IFERROR(__xludf.DUMMYFUNCTION("""COMPUTED_VALUE"""),0.397)</f>
        <v>0.397</v>
      </c>
      <c r="D1391" s="2">
        <f>IFERROR(__xludf.DUMMYFUNCTION("""COMPUTED_VALUE"""),0.0017592592592592592)</f>
        <v>0.001759259259</v>
      </c>
      <c r="E1391" s="1">
        <f>IFERROR(__xludf.DUMMYFUNCTION("""COMPUTED_VALUE"""),1.14)</f>
        <v>1.14</v>
      </c>
      <c r="F1391" s="1">
        <f>IFERROR(__xludf.DUMMYFUNCTION("""COMPUTED_VALUE"""),3.6)</f>
        <v>3.6</v>
      </c>
      <c r="G1391" s="5">
        <f>IFERROR(__xludf.DUMMYFUNCTION("""COMPUTED_VALUE"""),10456.0)</f>
        <v>10456</v>
      </c>
      <c r="H1391" s="5">
        <f>IFERROR(__xludf.DUMMYFUNCTION("""COMPUTED_VALUE"""),2902.0)</f>
        <v>2902</v>
      </c>
    </row>
    <row r="1392">
      <c r="A1392" s="4">
        <f>IFERROR(__xludf.DUMMYFUNCTION("""COMPUTED_VALUE"""),43760.0)</f>
        <v>43760</v>
      </c>
      <c r="B1392" s="5">
        <f>IFERROR(__xludf.DUMMYFUNCTION("""COMPUTED_VALUE"""),2624.0)</f>
        <v>2624</v>
      </c>
      <c r="C1392" s="6">
        <f>IFERROR(__xludf.DUMMYFUNCTION("""COMPUTED_VALUE"""),0.461)</f>
        <v>0.461</v>
      </c>
      <c r="D1392" s="2">
        <f>IFERROR(__xludf.DUMMYFUNCTION("""COMPUTED_VALUE"""),0.0022453703703703702)</f>
        <v>0.00224537037</v>
      </c>
      <c r="E1392" s="1">
        <f>IFERROR(__xludf.DUMMYFUNCTION("""COMPUTED_VALUE"""),1.16)</f>
        <v>1.16</v>
      </c>
      <c r="F1392" s="1">
        <f>IFERROR(__xludf.DUMMYFUNCTION("""COMPUTED_VALUE"""),3.47)</f>
        <v>3.47</v>
      </c>
      <c r="G1392" s="5">
        <f>IFERROR(__xludf.DUMMYFUNCTION("""COMPUTED_VALUE"""),10539.0)</f>
        <v>10539</v>
      </c>
      <c r="H1392" s="5">
        <f>IFERROR(__xludf.DUMMYFUNCTION("""COMPUTED_VALUE"""),3041.0)</f>
        <v>3041</v>
      </c>
    </row>
    <row r="1393">
      <c r="A1393" s="4">
        <f>IFERROR(__xludf.DUMMYFUNCTION("""COMPUTED_VALUE"""),43761.0)</f>
        <v>43761</v>
      </c>
      <c r="B1393" s="5">
        <f>IFERROR(__xludf.DUMMYFUNCTION("""COMPUTED_VALUE"""),2583.0)</f>
        <v>2583</v>
      </c>
      <c r="C1393" s="6">
        <f>IFERROR(__xludf.DUMMYFUNCTION("""COMPUTED_VALUE"""),0.5044)</f>
        <v>0.5044</v>
      </c>
      <c r="D1393" s="2">
        <f>IFERROR(__xludf.DUMMYFUNCTION("""COMPUTED_VALUE"""),0.0016319444444444445)</f>
        <v>0.001631944444</v>
      </c>
      <c r="E1393" s="1">
        <f>IFERROR(__xludf.DUMMYFUNCTION("""COMPUTED_VALUE"""),1.19)</f>
        <v>1.19</v>
      </c>
      <c r="F1393" s="1">
        <f>IFERROR(__xludf.DUMMYFUNCTION("""COMPUTED_VALUE"""),3.21)</f>
        <v>3.21</v>
      </c>
      <c r="G1393" s="5">
        <f>IFERROR(__xludf.DUMMYFUNCTION("""COMPUTED_VALUE"""),9886.0)</f>
        <v>9886</v>
      </c>
      <c r="H1393" s="5">
        <f>IFERROR(__xludf.DUMMYFUNCTION("""COMPUTED_VALUE"""),3083.0)</f>
        <v>3083</v>
      </c>
    </row>
    <row r="1394">
      <c r="A1394" s="4">
        <f>IFERROR(__xludf.DUMMYFUNCTION("""COMPUTED_VALUE"""),43762.0)</f>
        <v>43762</v>
      </c>
      <c r="B1394" s="5">
        <f>IFERROR(__xludf.DUMMYFUNCTION("""COMPUTED_VALUE"""),2319.0)</f>
        <v>2319</v>
      </c>
      <c r="C1394" s="6">
        <f>IFERROR(__xludf.DUMMYFUNCTION("""COMPUTED_VALUE"""),0.4116)</f>
        <v>0.4116</v>
      </c>
      <c r="D1394" s="2">
        <f>IFERROR(__xludf.DUMMYFUNCTION("""COMPUTED_VALUE"""),0.0020601851851851853)</f>
        <v>0.002060185185</v>
      </c>
      <c r="E1394" s="1">
        <f>IFERROR(__xludf.DUMMYFUNCTION("""COMPUTED_VALUE"""),1.12)</f>
        <v>1.12</v>
      </c>
      <c r="F1394" s="1">
        <f>IFERROR(__xludf.DUMMYFUNCTION("""COMPUTED_VALUE"""),4.33)</f>
        <v>4.33</v>
      </c>
      <c r="G1394" s="5">
        <f>IFERROR(__xludf.DUMMYFUNCTION("""COMPUTED_VALUE"""),11233.0)</f>
        <v>11233</v>
      </c>
      <c r="H1394" s="5">
        <f>IFERROR(__xludf.DUMMYFUNCTION("""COMPUTED_VALUE"""),2597.0)</f>
        <v>2597</v>
      </c>
    </row>
    <row r="1395">
      <c r="A1395" s="4">
        <f>IFERROR(__xludf.DUMMYFUNCTION("""COMPUTED_VALUE"""),43763.0)</f>
        <v>43763</v>
      </c>
      <c r="B1395" s="5">
        <f>IFERROR(__xludf.DUMMYFUNCTION("""COMPUTED_VALUE"""),1930.0)</f>
        <v>1930</v>
      </c>
      <c r="C1395" s="6">
        <f>IFERROR(__xludf.DUMMYFUNCTION("""COMPUTED_VALUE"""),0.4243)</f>
        <v>0.4243</v>
      </c>
      <c r="D1395" s="2">
        <f>IFERROR(__xludf.DUMMYFUNCTION("""COMPUTED_VALUE"""),0.0022453703703703702)</f>
        <v>0.00224537037</v>
      </c>
      <c r="E1395" s="1">
        <f>IFERROR(__xludf.DUMMYFUNCTION("""COMPUTED_VALUE"""),1.19)</f>
        <v>1.19</v>
      </c>
      <c r="F1395" s="1">
        <f>IFERROR(__xludf.DUMMYFUNCTION("""COMPUTED_VALUE"""),3.94)</f>
        <v>3.94</v>
      </c>
      <c r="G1395" s="5">
        <f>IFERROR(__xludf.DUMMYFUNCTION("""COMPUTED_VALUE"""),9025.0)</f>
        <v>9025</v>
      </c>
      <c r="H1395" s="5">
        <f>IFERROR(__xludf.DUMMYFUNCTION("""COMPUTED_VALUE"""),2291.0)</f>
        <v>2291</v>
      </c>
    </row>
    <row r="1396">
      <c r="A1396" s="4">
        <f>IFERROR(__xludf.DUMMYFUNCTION("""COMPUTED_VALUE"""),43764.0)</f>
        <v>43764</v>
      </c>
      <c r="B1396" s="5">
        <f>IFERROR(__xludf.DUMMYFUNCTION("""COMPUTED_VALUE"""),1319.0)</f>
        <v>1319</v>
      </c>
      <c r="C1396" s="6">
        <f>IFERROR(__xludf.DUMMYFUNCTION("""COMPUTED_VALUE"""),0.5417)</f>
        <v>0.5417</v>
      </c>
      <c r="D1396" s="2">
        <f>IFERROR(__xludf.DUMMYFUNCTION("""COMPUTED_VALUE"""),0.0016319444444444445)</f>
        <v>0.001631944444</v>
      </c>
      <c r="E1396" s="1">
        <f>IFERROR(__xludf.DUMMYFUNCTION("""COMPUTED_VALUE"""),1.13)</f>
        <v>1.13</v>
      </c>
      <c r="F1396" s="1">
        <f>IFERROR(__xludf.DUMMYFUNCTION("""COMPUTED_VALUE"""),2.94)</f>
        <v>2.94</v>
      </c>
      <c r="G1396" s="5">
        <f>IFERROR(__xludf.DUMMYFUNCTION("""COMPUTED_VALUE"""),4374.0)</f>
        <v>4374</v>
      </c>
      <c r="H1396" s="5">
        <f>IFERROR(__xludf.DUMMYFUNCTION("""COMPUTED_VALUE"""),1486.0)</f>
        <v>1486</v>
      </c>
    </row>
    <row r="1397">
      <c r="A1397" s="4">
        <f>IFERROR(__xludf.DUMMYFUNCTION("""COMPUTED_VALUE"""),43765.0)</f>
        <v>43765</v>
      </c>
      <c r="B1397" s="5">
        <f>IFERROR(__xludf.DUMMYFUNCTION("""COMPUTED_VALUE"""),1264.0)</f>
        <v>1264</v>
      </c>
      <c r="C1397" s="6">
        <f>IFERROR(__xludf.DUMMYFUNCTION("""COMPUTED_VALUE"""),0.3919)</f>
        <v>0.3919</v>
      </c>
      <c r="D1397" s="2">
        <f>IFERROR(__xludf.DUMMYFUNCTION("""COMPUTED_VALUE"""),0.001979166666666667)</f>
        <v>0.001979166667</v>
      </c>
      <c r="E1397" s="1">
        <f>IFERROR(__xludf.DUMMYFUNCTION("""COMPUTED_VALUE"""),1.12)</f>
        <v>1.12</v>
      </c>
      <c r="F1397" s="1">
        <f>IFERROR(__xludf.DUMMYFUNCTION("""COMPUTED_VALUE"""),4.36)</f>
        <v>4.36</v>
      </c>
      <c r="G1397" s="5">
        <f>IFERROR(__xludf.DUMMYFUNCTION("""COMPUTED_VALUE"""),6179.0)</f>
        <v>6179</v>
      </c>
      <c r="H1397" s="5">
        <f>IFERROR(__xludf.DUMMYFUNCTION("""COMPUTED_VALUE"""),1416.0)</f>
        <v>1416</v>
      </c>
    </row>
    <row r="1398">
      <c r="A1398" s="4">
        <f>IFERROR(__xludf.DUMMYFUNCTION("""COMPUTED_VALUE"""),43766.0)</f>
        <v>43766</v>
      </c>
      <c r="B1398" s="5">
        <f>IFERROR(__xludf.DUMMYFUNCTION("""COMPUTED_VALUE"""),2263.0)</f>
        <v>2263</v>
      </c>
      <c r="C1398" s="6">
        <f>IFERROR(__xludf.DUMMYFUNCTION("""COMPUTED_VALUE"""),0.4341)</f>
        <v>0.4341</v>
      </c>
      <c r="D1398" s="2">
        <f>IFERROR(__xludf.DUMMYFUNCTION("""COMPUTED_VALUE"""),0.001400462962962963)</f>
        <v>0.001400462963</v>
      </c>
      <c r="E1398" s="1">
        <f>IFERROR(__xludf.DUMMYFUNCTION("""COMPUTED_VALUE"""),1.12)</f>
        <v>1.12</v>
      </c>
      <c r="F1398" s="1">
        <f>IFERROR(__xludf.DUMMYFUNCTION("""COMPUTED_VALUE"""),3.83)</f>
        <v>3.83</v>
      </c>
      <c r="G1398" s="5">
        <f>IFERROR(__xludf.DUMMYFUNCTION("""COMPUTED_VALUE"""),9678.0)</f>
        <v>9678</v>
      </c>
      <c r="H1398" s="5">
        <f>IFERROR(__xludf.DUMMYFUNCTION("""COMPUTED_VALUE"""),2527.0)</f>
        <v>2527</v>
      </c>
    </row>
    <row r="1399">
      <c r="A1399" s="4">
        <f>IFERROR(__xludf.DUMMYFUNCTION("""COMPUTED_VALUE"""),43767.0)</f>
        <v>43767</v>
      </c>
      <c r="B1399" s="5">
        <f>IFERROR(__xludf.DUMMYFUNCTION("""COMPUTED_VALUE"""),2388.0)</f>
        <v>2388</v>
      </c>
      <c r="C1399" s="6">
        <f>IFERROR(__xludf.DUMMYFUNCTION("""COMPUTED_VALUE"""),0.5078)</f>
        <v>0.5078</v>
      </c>
      <c r="D1399" s="2">
        <f>IFERROR(__xludf.DUMMYFUNCTION("""COMPUTED_VALUE"""),0.002673611111111111)</f>
        <v>0.002673611111</v>
      </c>
      <c r="E1399" s="1">
        <f>IFERROR(__xludf.DUMMYFUNCTION("""COMPUTED_VALUE"""),1.12)</f>
        <v>1.12</v>
      </c>
      <c r="F1399" s="1">
        <f>IFERROR(__xludf.DUMMYFUNCTION("""COMPUTED_VALUE"""),4.14)</f>
        <v>4.14</v>
      </c>
      <c r="G1399" s="5">
        <f>IFERROR(__xludf.DUMMYFUNCTION("""COMPUTED_VALUE"""),11094.0)</f>
        <v>11094</v>
      </c>
      <c r="H1399" s="5">
        <f>IFERROR(__xludf.DUMMYFUNCTION("""COMPUTED_VALUE"""),2680.0)</f>
        <v>2680</v>
      </c>
    </row>
    <row r="1400">
      <c r="A1400" s="4">
        <f>IFERROR(__xludf.DUMMYFUNCTION("""COMPUTED_VALUE"""),43768.0)</f>
        <v>43768</v>
      </c>
      <c r="B1400" s="5">
        <f>IFERROR(__xludf.DUMMYFUNCTION("""COMPUTED_VALUE"""),2361.0)</f>
        <v>2361</v>
      </c>
      <c r="C1400" s="6">
        <f>IFERROR(__xludf.DUMMYFUNCTION("""COMPUTED_VALUE"""),0.4622)</f>
        <v>0.4622</v>
      </c>
      <c r="D1400" s="2">
        <f>IFERROR(__xludf.DUMMYFUNCTION("""COMPUTED_VALUE"""),0.0023263888888888887)</f>
        <v>0.002326388889</v>
      </c>
      <c r="E1400" s="1">
        <f>IFERROR(__xludf.DUMMYFUNCTION("""COMPUTED_VALUE"""),1.16)</f>
        <v>1.16</v>
      </c>
      <c r="F1400" s="1">
        <f>IFERROR(__xludf.DUMMYFUNCTION("""COMPUTED_VALUE"""),4.32)</f>
        <v>4.32</v>
      </c>
      <c r="G1400" s="5">
        <f>IFERROR(__xludf.DUMMYFUNCTION("""COMPUTED_VALUE"""),11803.0)</f>
        <v>11803</v>
      </c>
      <c r="H1400" s="5">
        <f>IFERROR(__xludf.DUMMYFUNCTION("""COMPUTED_VALUE"""),2735.0)</f>
        <v>2735</v>
      </c>
    </row>
    <row r="1401">
      <c r="A1401" s="4">
        <f>IFERROR(__xludf.DUMMYFUNCTION("""COMPUTED_VALUE"""),43769.0)</f>
        <v>43769</v>
      </c>
      <c r="B1401" s="5">
        <f>IFERROR(__xludf.DUMMYFUNCTION("""COMPUTED_VALUE"""),2180.0)</f>
        <v>2180</v>
      </c>
      <c r="C1401" s="6">
        <f>IFERROR(__xludf.DUMMYFUNCTION("""COMPUTED_VALUE"""),0.4302)</f>
        <v>0.4302</v>
      </c>
      <c r="D1401" s="2">
        <f>IFERROR(__xludf.DUMMYFUNCTION("""COMPUTED_VALUE"""),0.0017476851851851852)</f>
        <v>0.001747685185</v>
      </c>
      <c r="E1401" s="1">
        <f>IFERROR(__xludf.DUMMYFUNCTION("""COMPUTED_VALUE"""),1.14)</f>
        <v>1.14</v>
      </c>
      <c r="F1401" s="1">
        <f>IFERROR(__xludf.DUMMYFUNCTION("""COMPUTED_VALUE"""),4.09)</f>
        <v>4.09</v>
      </c>
      <c r="G1401" s="5">
        <f>IFERROR(__xludf.DUMMYFUNCTION("""COMPUTED_VALUE"""),10164.0)</f>
        <v>10164</v>
      </c>
      <c r="H1401" s="5">
        <f>IFERROR(__xludf.DUMMYFUNCTION("""COMPUTED_VALUE"""),2485.0)</f>
        <v>2485</v>
      </c>
    </row>
    <row r="1402">
      <c r="A1402" s="4">
        <f>IFERROR(__xludf.DUMMYFUNCTION("""COMPUTED_VALUE"""),43770.0)</f>
        <v>43770</v>
      </c>
      <c r="B1402" s="5">
        <f>IFERROR(__xludf.DUMMYFUNCTION("""COMPUTED_VALUE"""),2111.0)</f>
        <v>2111</v>
      </c>
      <c r="C1402" s="6">
        <f>IFERROR(__xludf.DUMMYFUNCTION("""COMPUTED_VALUE"""),0.473)</f>
        <v>0.473</v>
      </c>
      <c r="D1402" s="2">
        <f>IFERROR(__xludf.DUMMYFUNCTION("""COMPUTED_VALUE"""),0.0019097222222222222)</f>
        <v>0.001909722222</v>
      </c>
      <c r="E1402" s="1">
        <f>IFERROR(__xludf.DUMMYFUNCTION("""COMPUTED_VALUE"""),1.1)</f>
        <v>1.1</v>
      </c>
      <c r="F1402" s="1">
        <f>IFERROR(__xludf.DUMMYFUNCTION("""COMPUTED_VALUE"""),4.58)</f>
        <v>4.58</v>
      </c>
      <c r="G1402" s="5">
        <f>IFERROR(__xludf.DUMMYFUNCTION("""COMPUTED_VALUE"""),10622.0)</f>
        <v>10622</v>
      </c>
      <c r="H1402" s="5">
        <f>IFERROR(__xludf.DUMMYFUNCTION("""COMPUTED_VALUE"""),2319.0)</f>
        <v>2319</v>
      </c>
    </row>
    <row r="1403">
      <c r="A1403" s="4">
        <f>IFERROR(__xludf.DUMMYFUNCTION("""COMPUTED_VALUE"""),43771.0)</f>
        <v>43771</v>
      </c>
      <c r="B1403" s="5">
        <f>IFERROR(__xludf.DUMMYFUNCTION("""COMPUTED_VALUE"""),1194.0)</f>
        <v>1194</v>
      </c>
      <c r="C1403" s="6">
        <f>IFERROR(__xludf.DUMMYFUNCTION("""COMPUTED_VALUE"""),0.4802)</f>
        <v>0.4802</v>
      </c>
      <c r="D1403" s="2">
        <f>IFERROR(__xludf.DUMMYFUNCTION("""COMPUTED_VALUE"""),0.0021180555555555558)</f>
        <v>0.002118055556</v>
      </c>
      <c r="E1403" s="1">
        <f>IFERROR(__xludf.DUMMYFUNCTION("""COMPUTED_VALUE"""),1.19)</f>
        <v>1.19</v>
      </c>
      <c r="F1403" s="1">
        <f>IFERROR(__xludf.DUMMYFUNCTION("""COMPUTED_VALUE"""),5.18)</f>
        <v>5.18</v>
      </c>
      <c r="G1403" s="5">
        <f>IFERROR(__xludf.DUMMYFUNCTION("""COMPUTED_VALUE"""),7331.0)</f>
        <v>7331</v>
      </c>
      <c r="H1403" s="5">
        <f>IFERROR(__xludf.DUMMYFUNCTION("""COMPUTED_VALUE"""),1416.0)</f>
        <v>1416</v>
      </c>
    </row>
    <row r="1404">
      <c r="A1404" s="4">
        <f>IFERROR(__xludf.DUMMYFUNCTION("""COMPUTED_VALUE"""),43772.0)</f>
        <v>43772</v>
      </c>
      <c r="B1404" s="5">
        <f>IFERROR(__xludf.DUMMYFUNCTION("""COMPUTED_VALUE"""),1430.0)</f>
        <v>1430</v>
      </c>
      <c r="C1404" s="6">
        <f>IFERROR(__xludf.DUMMYFUNCTION("""COMPUTED_VALUE"""),0.4473)</f>
        <v>0.4473</v>
      </c>
      <c r="D1404" s="2">
        <f>IFERROR(__xludf.DUMMYFUNCTION("""COMPUTED_VALUE"""),0.002025462962962963)</f>
        <v>0.002025462963</v>
      </c>
      <c r="E1404" s="1">
        <f>IFERROR(__xludf.DUMMYFUNCTION("""COMPUTED_VALUE"""),1.11)</f>
        <v>1.11</v>
      </c>
      <c r="F1404" s="1">
        <f>IFERROR(__xludf.DUMMYFUNCTION("""COMPUTED_VALUE"""),3.79)</f>
        <v>3.79</v>
      </c>
      <c r="G1404" s="5">
        <f>IFERROR(__xludf.DUMMYFUNCTION("""COMPUTED_VALUE"""),5998.0)</f>
        <v>5998</v>
      </c>
      <c r="H1404" s="5">
        <f>IFERROR(__xludf.DUMMYFUNCTION("""COMPUTED_VALUE"""),1583.0)</f>
        <v>1583</v>
      </c>
    </row>
    <row r="1405">
      <c r="A1405" s="4">
        <f>IFERROR(__xludf.DUMMYFUNCTION("""COMPUTED_VALUE"""),43773.0)</f>
        <v>43773</v>
      </c>
      <c r="B1405" s="5">
        <f>IFERROR(__xludf.DUMMYFUNCTION("""COMPUTED_VALUE"""),2333.0)</f>
        <v>2333</v>
      </c>
      <c r="C1405" s="6">
        <f>IFERROR(__xludf.DUMMYFUNCTION("""COMPUTED_VALUE"""),0.4107)</f>
        <v>0.4107</v>
      </c>
      <c r="D1405" s="2">
        <f>IFERROR(__xludf.DUMMYFUNCTION("""COMPUTED_VALUE"""),0.001979166666666667)</f>
        <v>0.001979166667</v>
      </c>
      <c r="E1405" s="1">
        <f>IFERROR(__xludf.DUMMYFUNCTION("""COMPUTED_VALUE"""),1.1)</f>
        <v>1.1</v>
      </c>
      <c r="F1405" s="1">
        <f>IFERROR(__xludf.DUMMYFUNCTION("""COMPUTED_VALUE"""),4.33)</f>
        <v>4.33</v>
      </c>
      <c r="G1405" s="5">
        <f>IFERROR(__xludf.DUMMYFUNCTION("""COMPUTED_VALUE"""),11122.0)</f>
        <v>11122</v>
      </c>
      <c r="H1405" s="5">
        <f>IFERROR(__xludf.DUMMYFUNCTION("""COMPUTED_VALUE"""),2569.0)</f>
        <v>2569</v>
      </c>
    </row>
    <row r="1406">
      <c r="A1406" s="4">
        <f>IFERROR(__xludf.DUMMYFUNCTION("""COMPUTED_VALUE"""),43774.0)</f>
        <v>43774</v>
      </c>
      <c r="B1406" s="5">
        <f>IFERROR(__xludf.DUMMYFUNCTION("""COMPUTED_VALUE"""),2610.0)</f>
        <v>2610</v>
      </c>
      <c r="C1406" s="6">
        <f>IFERROR(__xludf.DUMMYFUNCTION("""COMPUTED_VALUE"""),0.4364)</f>
        <v>0.4364</v>
      </c>
      <c r="D1406" s="2">
        <f>IFERROR(__xludf.DUMMYFUNCTION("""COMPUTED_VALUE"""),0.002962962962962963)</f>
        <v>0.002962962963</v>
      </c>
      <c r="E1406" s="1">
        <f>IFERROR(__xludf.DUMMYFUNCTION("""COMPUTED_VALUE"""),1.13)</f>
        <v>1.13</v>
      </c>
      <c r="F1406" s="1">
        <f>IFERROR(__xludf.DUMMYFUNCTION("""COMPUTED_VALUE"""),4.71)</f>
        <v>4.71</v>
      </c>
      <c r="G1406" s="5">
        <f>IFERROR(__xludf.DUMMYFUNCTION("""COMPUTED_VALUE"""),13927.0)</f>
        <v>13927</v>
      </c>
      <c r="H1406" s="5">
        <f>IFERROR(__xludf.DUMMYFUNCTION("""COMPUTED_VALUE"""),2958.0)</f>
        <v>2958</v>
      </c>
    </row>
    <row r="1407">
      <c r="A1407" s="4">
        <f>IFERROR(__xludf.DUMMYFUNCTION("""COMPUTED_VALUE"""),43775.0)</f>
        <v>43775</v>
      </c>
      <c r="B1407" s="5">
        <f>IFERROR(__xludf.DUMMYFUNCTION("""COMPUTED_VALUE"""),2652.0)</f>
        <v>2652</v>
      </c>
      <c r="C1407" s="6">
        <f>IFERROR(__xludf.DUMMYFUNCTION("""COMPUTED_VALUE"""),0.4547)</f>
        <v>0.4547</v>
      </c>
      <c r="D1407" s="2">
        <f>IFERROR(__xludf.DUMMYFUNCTION("""COMPUTED_VALUE"""),0.0016087962962962963)</f>
        <v>0.001608796296</v>
      </c>
      <c r="E1407" s="1">
        <f>IFERROR(__xludf.DUMMYFUNCTION("""COMPUTED_VALUE"""),1.15)</f>
        <v>1.15</v>
      </c>
      <c r="F1407" s="1">
        <f>IFERROR(__xludf.DUMMYFUNCTION("""COMPUTED_VALUE"""),4.19)</f>
        <v>4.19</v>
      </c>
      <c r="G1407" s="5">
        <f>IFERROR(__xludf.DUMMYFUNCTION("""COMPUTED_VALUE"""),12788.0)</f>
        <v>12788</v>
      </c>
      <c r="H1407" s="5">
        <f>IFERROR(__xludf.DUMMYFUNCTION("""COMPUTED_VALUE"""),3055.0)</f>
        <v>3055</v>
      </c>
    </row>
    <row r="1408">
      <c r="A1408" s="4">
        <f>IFERROR(__xludf.DUMMYFUNCTION("""COMPUTED_VALUE"""),43776.0)</f>
        <v>43776</v>
      </c>
      <c r="B1408" s="5">
        <f>IFERROR(__xludf.DUMMYFUNCTION("""COMPUTED_VALUE"""),2444.0)</f>
        <v>2444</v>
      </c>
      <c r="C1408" s="6">
        <f>IFERROR(__xludf.DUMMYFUNCTION("""COMPUTED_VALUE"""),0.3869)</f>
        <v>0.3869</v>
      </c>
      <c r="D1408" s="2">
        <f>IFERROR(__xludf.DUMMYFUNCTION("""COMPUTED_VALUE"""),0.0022569444444444442)</f>
        <v>0.002256944444</v>
      </c>
      <c r="E1408" s="1">
        <f>IFERROR(__xludf.DUMMYFUNCTION("""COMPUTED_VALUE"""),1.2)</f>
        <v>1.2</v>
      </c>
      <c r="F1408" s="1">
        <f>IFERROR(__xludf.DUMMYFUNCTION("""COMPUTED_VALUE"""),5.85)</f>
        <v>5.85</v>
      </c>
      <c r="G1408" s="5">
        <f>IFERROR(__xludf.DUMMYFUNCTION("""COMPUTED_VALUE"""),17232.0)</f>
        <v>17232</v>
      </c>
      <c r="H1408" s="5">
        <f>IFERROR(__xludf.DUMMYFUNCTION("""COMPUTED_VALUE"""),2944.0)</f>
        <v>2944</v>
      </c>
    </row>
    <row r="1409">
      <c r="A1409" s="4">
        <f>IFERROR(__xludf.DUMMYFUNCTION("""COMPUTED_VALUE"""),43777.0)</f>
        <v>43777</v>
      </c>
      <c r="B1409" s="5">
        <f>IFERROR(__xludf.DUMMYFUNCTION("""COMPUTED_VALUE"""),2041.0)</f>
        <v>2041</v>
      </c>
      <c r="C1409" s="6">
        <f>IFERROR(__xludf.DUMMYFUNCTION("""COMPUTED_VALUE"""),0.4765)</f>
        <v>0.4765</v>
      </c>
      <c r="D1409" s="2">
        <f>IFERROR(__xludf.DUMMYFUNCTION("""COMPUTED_VALUE"""),0.0020486111111111113)</f>
        <v>0.002048611111</v>
      </c>
      <c r="E1409" s="1">
        <f>IFERROR(__xludf.DUMMYFUNCTION("""COMPUTED_VALUE"""),1.16)</f>
        <v>1.16</v>
      </c>
      <c r="F1409" s="1">
        <f>IFERROR(__xludf.DUMMYFUNCTION("""COMPUTED_VALUE"""),4.83)</f>
        <v>4.83</v>
      </c>
      <c r="G1409" s="5">
        <f>IFERROR(__xludf.DUMMYFUNCTION("""COMPUTED_VALUE"""),11400.0)</f>
        <v>11400</v>
      </c>
      <c r="H1409" s="5">
        <f>IFERROR(__xludf.DUMMYFUNCTION("""COMPUTED_VALUE"""),2361.0)</f>
        <v>2361</v>
      </c>
    </row>
    <row r="1410">
      <c r="A1410" s="4">
        <f>IFERROR(__xludf.DUMMYFUNCTION("""COMPUTED_VALUE"""),43778.0)</f>
        <v>43778</v>
      </c>
      <c r="B1410" s="5">
        <f>IFERROR(__xludf.DUMMYFUNCTION("""COMPUTED_VALUE"""),1472.0)</f>
        <v>1472</v>
      </c>
      <c r="C1410" s="6">
        <f>IFERROR(__xludf.DUMMYFUNCTION("""COMPUTED_VALUE"""),0.4873)</f>
        <v>0.4873</v>
      </c>
      <c r="D1410" s="2">
        <f>IFERROR(__xludf.DUMMYFUNCTION("""COMPUTED_VALUE"""),0.0025)</f>
        <v>0.0025</v>
      </c>
      <c r="E1410" s="1">
        <f>IFERROR(__xludf.DUMMYFUNCTION("""COMPUTED_VALUE"""),1.12)</f>
        <v>1.12</v>
      </c>
      <c r="F1410" s="1">
        <f>IFERROR(__xludf.DUMMYFUNCTION("""COMPUTED_VALUE"""),5.02)</f>
        <v>5.02</v>
      </c>
      <c r="G1410" s="5">
        <f>IFERROR(__xludf.DUMMYFUNCTION("""COMPUTED_VALUE"""),8290.0)</f>
        <v>8290</v>
      </c>
      <c r="H1410" s="5">
        <f>IFERROR(__xludf.DUMMYFUNCTION("""COMPUTED_VALUE"""),1652.0)</f>
        <v>1652</v>
      </c>
    </row>
    <row r="1411">
      <c r="A1411" s="4">
        <f>IFERROR(__xludf.DUMMYFUNCTION("""COMPUTED_VALUE"""),43779.0)</f>
        <v>43779</v>
      </c>
      <c r="B1411" s="5">
        <f>IFERROR(__xludf.DUMMYFUNCTION("""COMPUTED_VALUE"""),1430.0)</f>
        <v>1430</v>
      </c>
      <c r="C1411" s="6">
        <f>IFERROR(__xludf.DUMMYFUNCTION("""COMPUTED_VALUE"""),0.4868)</f>
        <v>0.4868</v>
      </c>
      <c r="D1411" s="2">
        <f>IFERROR(__xludf.DUMMYFUNCTION("""COMPUTED_VALUE"""),0.0021296296296296298)</f>
        <v>0.00212962963</v>
      </c>
      <c r="E1411" s="1">
        <f>IFERROR(__xludf.DUMMYFUNCTION("""COMPUTED_VALUE"""),1.14)</f>
        <v>1.14</v>
      </c>
      <c r="F1411" s="1">
        <f>IFERROR(__xludf.DUMMYFUNCTION("""COMPUTED_VALUE"""),4.29)</f>
        <v>4.29</v>
      </c>
      <c r="G1411" s="5">
        <f>IFERROR(__xludf.DUMMYFUNCTION("""COMPUTED_VALUE"""),6970.0)</f>
        <v>6970</v>
      </c>
      <c r="H1411" s="5">
        <f>IFERROR(__xludf.DUMMYFUNCTION("""COMPUTED_VALUE"""),1625.0)</f>
        <v>1625</v>
      </c>
    </row>
    <row r="1412">
      <c r="A1412" s="4">
        <f>IFERROR(__xludf.DUMMYFUNCTION("""COMPUTED_VALUE"""),43780.0)</f>
        <v>43780</v>
      </c>
      <c r="B1412" s="5">
        <f>IFERROR(__xludf.DUMMYFUNCTION("""COMPUTED_VALUE"""),2416.0)</f>
        <v>2416</v>
      </c>
      <c r="C1412" s="6">
        <f>IFERROR(__xludf.DUMMYFUNCTION("""COMPUTED_VALUE"""),0.4652)</f>
        <v>0.4652</v>
      </c>
      <c r="D1412" s="2">
        <f>IFERROR(__xludf.DUMMYFUNCTION("""COMPUTED_VALUE"""),0.002766203703703704)</f>
        <v>0.002766203704</v>
      </c>
      <c r="E1412" s="1">
        <f>IFERROR(__xludf.DUMMYFUNCTION("""COMPUTED_VALUE"""),1.16)</f>
        <v>1.16</v>
      </c>
      <c r="F1412" s="1">
        <f>IFERROR(__xludf.DUMMYFUNCTION("""COMPUTED_VALUE"""),6.25)</f>
        <v>6.25</v>
      </c>
      <c r="G1412" s="5">
        <f>IFERROR(__xludf.DUMMYFUNCTION("""COMPUTED_VALUE"""),17537.0)</f>
        <v>17537</v>
      </c>
      <c r="H1412" s="5">
        <f>IFERROR(__xludf.DUMMYFUNCTION("""COMPUTED_VALUE"""),2805.0)</f>
        <v>2805</v>
      </c>
    </row>
    <row r="1413">
      <c r="A1413" s="4">
        <f>IFERROR(__xludf.DUMMYFUNCTION("""COMPUTED_VALUE"""),43781.0)</f>
        <v>43781</v>
      </c>
      <c r="B1413" s="5">
        <f>IFERROR(__xludf.DUMMYFUNCTION("""COMPUTED_VALUE"""),2569.0)</f>
        <v>2569</v>
      </c>
      <c r="C1413" s="6">
        <f>IFERROR(__xludf.DUMMYFUNCTION("""COMPUTED_VALUE"""),0.4292)</f>
        <v>0.4292</v>
      </c>
      <c r="D1413" s="2">
        <f>IFERROR(__xludf.DUMMYFUNCTION("""COMPUTED_VALUE"""),0.0024421296296296296)</f>
        <v>0.00244212963</v>
      </c>
      <c r="E1413" s="1">
        <f>IFERROR(__xludf.DUMMYFUNCTION("""COMPUTED_VALUE"""),1.11)</f>
        <v>1.11</v>
      </c>
      <c r="F1413" s="1">
        <f>IFERROR(__xludf.DUMMYFUNCTION("""COMPUTED_VALUE"""),5.19)</f>
        <v>5.19</v>
      </c>
      <c r="G1413" s="5">
        <f>IFERROR(__xludf.DUMMYFUNCTION("""COMPUTED_VALUE"""),14774.0)</f>
        <v>14774</v>
      </c>
      <c r="H1413" s="5">
        <f>IFERROR(__xludf.DUMMYFUNCTION("""COMPUTED_VALUE"""),2847.0)</f>
        <v>2847</v>
      </c>
    </row>
    <row r="1414">
      <c r="A1414" s="4">
        <f>IFERROR(__xludf.DUMMYFUNCTION("""COMPUTED_VALUE"""),43782.0)</f>
        <v>43782</v>
      </c>
      <c r="B1414" s="5">
        <f>IFERROR(__xludf.DUMMYFUNCTION("""COMPUTED_VALUE"""),3346.0)</f>
        <v>3346</v>
      </c>
      <c r="C1414" s="6">
        <f>IFERROR(__xludf.DUMMYFUNCTION("""COMPUTED_VALUE"""),0.5864)</f>
        <v>0.5864</v>
      </c>
      <c r="D1414" s="2">
        <f>IFERROR(__xludf.DUMMYFUNCTION("""COMPUTED_VALUE"""),0.0015046296296296296)</f>
        <v>0.00150462963</v>
      </c>
      <c r="E1414" s="1">
        <f>IFERROR(__xludf.DUMMYFUNCTION("""COMPUTED_VALUE"""),1.22)</f>
        <v>1.22</v>
      </c>
      <c r="F1414" s="1">
        <f>IFERROR(__xludf.DUMMYFUNCTION("""COMPUTED_VALUE"""),3.27)</f>
        <v>3.27</v>
      </c>
      <c r="G1414" s="5">
        <f>IFERROR(__xludf.DUMMYFUNCTION("""COMPUTED_VALUE"""),13413.0)</f>
        <v>13413</v>
      </c>
      <c r="H1414" s="5">
        <f>IFERROR(__xludf.DUMMYFUNCTION("""COMPUTED_VALUE"""),4096.0)</f>
        <v>4096</v>
      </c>
    </row>
    <row r="1415">
      <c r="A1415" s="4">
        <f>IFERROR(__xludf.DUMMYFUNCTION("""COMPUTED_VALUE"""),43783.0)</f>
        <v>43783</v>
      </c>
      <c r="B1415" s="5">
        <f>IFERROR(__xludf.DUMMYFUNCTION("""COMPUTED_VALUE"""),2999.0)</f>
        <v>2999</v>
      </c>
      <c r="C1415" s="6">
        <f>IFERROR(__xludf.DUMMYFUNCTION("""COMPUTED_VALUE"""),0.4959)</f>
        <v>0.4959</v>
      </c>
      <c r="D1415" s="2">
        <f>IFERROR(__xludf.DUMMYFUNCTION("""COMPUTED_VALUE"""),0.0021875)</f>
        <v>0.0021875</v>
      </c>
      <c r="E1415" s="1">
        <f>IFERROR(__xludf.DUMMYFUNCTION("""COMPUTED_VALUE"""),1.19)</f>
        <v>1.19</v>
      </c>
      <c r="F1415" s="1">
        <f>IFERROR(__xludf.DUMMYFUNCTION("""COMPUTED_VALUE"""),4.57)</f>
        <v>4.57</v>
      </c>
      <c r="G1415" s="5">
        <f>IFERROR(__xludf.DUMMYFUNCTION("""COMPUTED_VALUE"""),16232.0)</f>
        <v>16232</v>
      </c>
      <c r="H1415" s="5">
        <f>IFERROR(__xludf.DUMMYFUNCTION("""COMPUTED_VALUE"""),3555.0)</f>
        <v>3555</v>
      </c>
    </row>
    <row r="1416">
      <c r="A1416" s="4">
        <f>IFERROR(__xludf.DUMMYFUNCTION("""COMPUTED_VALUE"""),43784.0)</f>
        <v>43784</v>
      </c>
      <c r="B1416" s="5">
        <f>IFERROR(__xludf.DUMMYFUNCTION("""COMPUTED_VALUE"""),2180.0)</f>
        <v>2180</v>
      </c>
      <c r="C1416" s="6">
        <f>IFERROR(__xludf.DUMMYFUNCTION("""COMPUTED_VALUE"""),0.3893)</f>
        <v>0.3893</v>
      </c>
      <c r="D1416" s="2">
        <f>IFERROR(__xludf.DUMMYFUNCTION("""COMPUTED_VALUE"""),0.002476851851851852)</f>
        <v>0.002476851852</v>
      </c>
      <c r="E1416" s="1">
        <f>IFERROR(__xludf.DUMMYFUNCTION("""COMPUTED_VALUE"""),1.18)</f>
        <v>1.18</v>
      </c>
      <c r="F1416" s="1">
        <f>IFERROR(__xludf.DUMMYFUNCTION("""COMPUTED_VALUE"""),5.05)</f>
        <v>5.05</v>
      </c>
      <c r="G1416" s="5">
        <f>IFERROR(__xludf.DUMMYFUNCTION("""COMPUTED_VALUE"""),12969.0)</f>
        <v>12969</v>
      </c>
      <c r="H1416" s="5">
        <f>IFERROR(__xludf.DUMMYFUNCTION("""COMPUTED_VALUE"""),2569.0)</f>
        <v>2569</v>
      </c>
    </row>
    <row r="1417">
      <c r="A1417" s="4">
        <f>IFERROR(__xludf.DUMMYFUNCTION("""COMPUTED_VALUE"""),43785.0)</f>
        <v>43785</v>
      </c>
      <c r="B1417" s="5">
        <f>IFERROR(__xludf.DUMMYFUNCTION("""COMPUTED_VALUE"""),1694.0)</f>
        <v>1694</v>
      </c>
      <c r="C1417" s="6">
        <f>IFERROR(__xludf.DUMMYFUNCTION("""COMPUTED_VALUE"""),0.5223)</f>
        <v>0.5223</v>
      </c>
      <c r="D1417" s="2">
        <f>IFERROR(__xludf.DUMMYFUNCTION("""COMPUTED_VALUE"""),0.0014814814814814814)</f>
        <v>0.001481481481</v>
      </c>
      <c r="E1417" s="1">
        <f>IFERROR(__xludf.DUMMYFUNCTION("""COMPUTED_VALUE"""),1.1)</f>
        <v>1.1</v>
      </c>
      <c r="F1417" s="1">
        <f>IFERROR(__xludf.DUMMYFUNCTION("""COMPUTED_VALUE"""),3.59)</f>
        <v>3.59</v>
      </c>
      <c r="G1417" s="5">
        <f>IFERROR(__xludf.DUMMYFUNCTION("""COMPUTED_VALUE"""),6679.0)</f>
        <v>6679</v>
      </c>
      <c r="H1417" s="5">
        <f>IFERROR(__xludf.DUMMYFUNCTION("""COMPUTED_VALUE"""),1861.0)</f>
        <v>1861</v>
      </c>
    </row>
    <row r="1418">
      <c r="A1418" s="4">
        <f>IFERROR(__xludf.DUMMYFUNCTION("""COMPUTED_VALUE"""),43786.0)</f>
        <v>43786</v>
      </c>
      <c r="B1418" s="5">
        <f>IFERROR(__xludf.DUMMYFUNCTION("""COMPUTED_VALUE"""),1680.0)</f>
        <v>1680</v>
      </c>
      <c r="C1418" s="6">
        <f>IFERROR(__xludf.DUMMYFUNCTION("""COMPUTED_VALUE"""),0.4959)</f>
        <v>0.4959</v>
      </c>
      <c r="D1418" s="2">
        <f>IFERROR(__xludf.DUMMYFUNCTION("""COMPUTED_VALUE"""),0.002523148148148148)</f>
        <v>0.002523148148</v>
      </c>
      <c r="E1418" s="1">
        <f>IFERROR(__xludf.DUMMYFUNCTION("""COMPUTED_VALUE"""),1.1)</f>
        <v>1.1</v>
      </c>
      <c r="F1418" s="1">
        <f>IFERROR(__xludf.DUMMYFUNCTION("""COMPUTED_VALUE"""),4.01)</f>
        <v>4.01</v>
      </c>
      <c r="G1418" s="5">
        <f>IFERROR(__xludf.DUMMYFUNCTION("""COMPUTED_VALUE"""),7401.0)</f>
        <v>7401</v>
      </c>
      <c r="H1418" s="5">
        <f>IFERROR(__xludf.DUMMYFUNCTION("""COMPUTED_VALUE"""),1847.0)</f>
        <v>1847</v>
      </c>
    </row>
    <row r="1419">
      <c r="A1419" s="4">
        <f>IFERROR(__xludf.DUMMYFUNCTION("""COMPUTED_VALUE"""),43787.0)</f>
        <v>43787</v>
      </c>
      <c r="B1419" s="5">
        <f>IFERROR(__xludf.DUMMYFUNCTION("""COMPUTED_VALUE"""),3027.0)</f>
        <v>3027</v>
      </c>
      <c r="C1419" s="6">
        <f>IFERROR(__xludf.DUMMYFUNCTION("""COMPUTED_VALUE"""),0.4872)</f>
        <v>0.4872</v>
      </c>
      <c r="D1419" s="2">
        <f>IFERROR(__xludf.DUMMYFUNCTION("""COMPUTED_VALUE"""),0.001724537037037037)</f>
        <v>0.001724537037</v>
      </c>
      <c r="E1419" s="1">
        <f>IFERROR(__xludf.DUMMYFUNCTION("""COMPUTED_VALUE"""),1.07)</f>
        <v>1.07</v>
      </c>
      <c r="F1419" s="1">
        <f>IFERROR(__xludf.DUMMYFUNCTION("""COMPUTED_VALUE"""),3.23)</f>
        <v>3.23</v>
      </c>
      <c r="G1419" s="5">
        <f>IFERROR(__xludf.DUMMYFUNCTION("""COMPUTED_VALUE"""),10497.0)</f>
        <v>10497</v>
      </c>
      <c r="H1419" s="5">
        <f>IFERROR(__xludf.DUMMYFUNCTION("""COMPUTED_VALUE"""),3249.0)</f>
        <v>3249</v>
      </c>
    </row>
    <row r="1420">
      <c r="A1420" s="4">
        <f>IFERROR(__xludf.DUMMYFUNCTION("""COMPUTED_VALUE"""),43788.0)</f>
        <v>43788</v>
      </c>
      <c r="B1420" s="5">
        <f>IFERROR(__xludf.DUMMYFUNCTION("""COMPUTED_VALUE"""),2666.0)</f>
        <v>2666</v>
      </c>
      <c r="C1420" s="6">
        <f>IFERROR(__xludf.DUMMYFUNCTION("""COMPUTED_VALUE"""),0.4719)</f>
        <v>0.4719</v>
      </c>
      <c r="D1420" s="2">
        <f>IFERROR(__xludf.DUMMYFUNCTION("""COMPUTED_VALUE"""),0.0018287037037037037)</f>
        <v>0.001828703704</v>
      </c>
      <c r="E1420" s="1">
        <f>IFERROR(__xludf.DUMMYFUNCTION("""COMPUTED_VALUE"""),1.3)</f>
        <v>1.3</v>
      </c>
      <c r="F1420" s="1">
        <f>IFERROR(__xludf.DUMMYFUNCTION("""COMPUTED_VALUE"""),3.6)</f>
        <v>3.6</v>
      </c>
      <c r="G1420" s="5">
        <f>IFERROR(__xludf.DUMMYFUNCTION("""COMPUTED_VALUE"""),12511.0)</f>
        <v>12511</v>
      </c>
      <c r="H1420" s="5">
        <f>IFERROR(__xludf.DUMMYFUNCTION("""COMPUTED_VALUE"""),3471.0)</f>
        <v>3471</v>
      </c>
    </row>
    <row r="1421">
      <c r="A1421" s="4">
        <f>IFERROR(__xludf.DUMMYFUNCTION("""COMPUTED_VALUE"""),43789.0)</f>
        <v>43789</v>
      </c>
      <c r="B1421" s="5">
        <f>IFERROR(__xludf.DUMMYFUNCTION("""COMPUTED_VALUE"""),2833.0)</f>
        <v>2833</v>
      </c>
      <c r="C1421" s="6">
        <f>IFERROR(__xludf.DUMMYFUNCTION("""COMPUTED_VALUE"""),0.443)</f>
        <v>0.443</v>
      </c>
      <c r="D1421" s="2">
        <f>IFERROR(__xludf.DUMMYFUNCTION("""COMPUTED_VALUE"""),0.002337962962962963)</f>
        <v>0.002337962963</v>
      </c>
      <c r="E1421" s="1">
        <f>IFERROR(__xludf.DUMMYFUNCTION("""COMPUTED_VALUE"""),1.16)</f>
        <v>1.16</v>
      </c>
      <c r="F1421" s="1">
        <f>IFERROR(__xludf.DUMMYFUNCTION("""COMPUTED_VALUE"""),5.36)</f>
        <v>5.36</v>
      </c>
      <c r="G1421" s="5">
        <f>IFERROR(__xludf.DUMMYFUNCTION("""COMPUTED_VALUE"""),17648.0)</f>
        <v>17648</v>
      </c>
      <c r="H1421" s="5">
        <f>IFERROR(__xludf.DUMMYFUNCTION("""COMPUTED_VALUE"""),3291.0)</f>
        <v>3291</v>
      </c>
    </row>
    <row r="1422">
      <c r="A1422" s="4">
        <f>IFERROR(__xludf.DUMMYFUNCTION("""COMPUTED_VALUE"""),43790.0)</f>
        <v>43790</v>
      </c>
      <c r="B1422" s="5">
        <f>IFERROR(__xludf.DUMMYFUNCTION("""COMPUTED_VALUE"""),2749.0)</f>
        <v>2749</v>
      </c>
      <c r="C1422" s="6">
        <f>IFERROR(__xludf.DUMMYFUNCTION("""COMPUTED_VALUE"""),0.4731)</f>
        <v>0.4731</v>
      </c>
      <c r="D1422" s="2">
        <f>IFERROR(__xludf.DUMMYFUNCTION("""COMPUTED_VALUE"""),0.0030092592592592593)</f>
        <v>0.003009259259</v>
      </c>
      <c r="E1422" s="1">
        <f>IFERROR(__xludf.DUMMYFUNCTION("""COMPUTED_VALUE"""),1.22)</f>
        <v>1.22</v>
      </c>
      <c r="F1422" s="1">
        <f>IFERROR(__xludf.DUMMYFUNCTION("""COMPUTED_VALUE"""),4.56)</f>
        <v>4.56</v>
      </c>
      <c r="G1422" s="5">
        <f>IFERROR(__xludf.DUMMYFUNCTION("""COMPUTED_VALUE"""),15274.0)</f>
        <v>15274</v>
      </c>
      <c r="H1422" s="5">
        <f>IFERROR(__xludf.DUMMYFUNCTION("""COMPUTED_VALUE"""),3346.0)</f>
        <v>3346</v>
      </c>
    </row>
    <row r="1423">
      <c r="A1423" s="4">
        <f>IFERROR(__xludf.DUMMYFUNCTION("""COMPUTED_VALUE"""),43791.0)</f>
        <v>43791</v>
      </c>
      <c r="B1423" s="5">
        <f>IFERROR(__xludf.DUMMYFUNCTION("""COMPUTED_VALUE"""),2485.0)</f>
        <v>2485</v>
      </c>
      <c r="C1423" s="6">
        <f>IFERROR(__xludf.DUMMYFUNCTION("""COMPUTED_VALUE"""),0.44)</f>
        <v>0.44</v>
      </c>
      <c r="D1423" s="2">
        <f>IFERROR(__xludf.DUMMYFUNCTION("""COMPUTED_VALUE"""),0.002337962962962963)</f>
        <v>0.002337962963</v>
      </c>
      <c r="E1423" s="1">
        <f>IFERROR(__xludf.DUMMYFUNCTION("""COMPUTED_VALUE"""),1.17)</f>
        <v>1.17</v>
      </c>
      <c r="F1423" s="1">
        <f>IFERROR(__xludf.DUMMYFUNCTION("""COMPUTED_VALUE"""),5.32)</f>
        <v>5.32</v>
      </c>
      <c r="G1423" s="5">
        <f>IFERROR(__xludf.DUMMYFUNCTION("""COMPUTED_VALUE"""),15427.0)</f>
        <v>15427</v>
      </c>
      <c r="H1423" s="5">
        <f>IFERROR(__xludf.DUMMYFUNCTION("""COMPUTED_VALUE"""),2902.0)</f>
        <v>2902</v>
      </c>
    </row>
    <row r="1424">
      <c r="A1424" s="4">
        <f>IFERROR(__xludf.DUMMYFUNCTION("""COMPUTED_VALUE"""),43792.0)</f>
        <v>43792</v>
      </c>
      <c r="B1424" s="5">
        <f>IFERROR(__xludf.DUMMYFUNCTION("""COMPUTED_VALUE"""),2083.0)</f>
        <v>2083</v>
      </c>
      <c r="C1424" s="6">
        <f>IFERROR(__xludf.DUMMYFUNCTION("""COMPUTED_VALUE"""),0.5506)</f>
        <v>0.5506</v>
      </c>
      <c r="D1424" s="2">
        <f>IFERROR(__xludf.DUMMYFUNCTION("""COMPUTED_VALUE"""),0.0017939814814814815)</f>
        <v>0.001793981481</v>
      </c>
      <c r="E1424" s="1">
        <f>IFERROR(__xludf.DUMMYFUNCTION("""COMPUTED_VALUE"""),1.05)</f>
        <v>1.05</v>
      </c>
      <c r="F1424" s="1">
        <f>IFERROR(__xludf.DUMMYFUNCTION("""COMPUTED_VALUE"""),4.27)</f>
        <v>4.27</v>
      </c>
      <c r="G1424" s="5">
        <f>IFERROR(__xludf.DUMMYFUNCTION("""COMPUTED_VALUE"""),9373.0)</f>
        <v>9373</v>
      </c>
      <c r="H1424" s="5">
        <f>IFERROR(__xludf.DUMMYFUNCTION("""COMPUTED_VALUE"""),2194.0)</f>
        <v>2194</v>
      </c>
    </row>
    <row r="1425">
      <c r="A1425" s="4">
        <f>IFERROR(__xludf.DUMMYFUNCTION("""COMPUTED_VALUE"""),43793.0)</f>
        <v>43793</v>
      </c>
      <c r="B1425" s="5">
        <f>IFERROR(__xludf.DUMMYFUNCTION("""COMPUTED_VALUE"""),2236.0)</f>
        <v>2236</v>
      </c>
      <c r="C1425" s="6">
        <f>IFERROR(__xludf.DUMMYFUNCTION("""COMPUTED_VALUE"""),0.4943)</f>
        <v>0.4943</v>
      </c>
      <c r="D1425" s="2">
        <f>IFERROR(__xludf.DUMMYFUNCTION("""COMPUTED_VALUE"""),0.0019097222222222222)</f>
        <v>0.001909722222</v>
      </c>
      <c r="E1425" s="1">
        <f>IFERROR(__xludf.DUMMYFUNCTION("""COMPUTED_VALUE"""),1.09)</f>
        <v>1.09</v>
      </c>
      <c r="F1425" s="1">
        <f>IFERROR(__xludf.DUMMYFUNCTION("""COMPUTED_VALUE"""),3.7)</f>
        <v>3.7</v>
      </c>
      <c r="G1425" s="5">
        <f>IFERROR(__xludf.DUMMYFUNCTION("""COMPUTED_VALUE"""),9053.0)</f>
        <v>9053</v>
      </c>
      <c r="H1425" s="5">
        <f>IFERROR(__xludf.DUMMYFUNCTION("""COMPUTED_VALUE"""),2444.0)</f>
        <v>2444</v>
      </c>
    </row>
    <row r="1426">
      <c r="A1426" s="4">
        <f>IFERROR(__xludf.DUMMYFUNCTION("""COMPUTED_VALUE"""),43794.0)</f>
        <v>43794</v>
      </c>
      <c r="B1426" s="5">
        <f>IFERROR(__xludf.DUMMYFUNCTION("""COMPUTED_VALUE"""),3013.0)</f>
        <v>3013</v>
      </c>
      <c r="C1426" s="6">
        <f>IFERROR(__xludf.DUMMYFUNCTION("""COMPUTED_VALUE"""),0.4898)</f>
        <v>0.4898</v>
      </c>
      <c r="D1426" s="2">
        <f>IFERROR(__xludf.DUMMYFUNCTION("""COMPUTED_VALUE"""),0.0019675925925925924)</f>
        <v>0.001967592593</v>
      </c>
      <c r="E1426" s="1">
        <f>IFERROR(__xludf.DUMMYFUNCTION("""COMPUTED_VALUE"""),1.14)</f>
        <v>1.14</v>
      </c>
      <c r="F1426" s="1">
        <f>IFERROR(__xludf.DUMMYFUNCTION("""COMPUTED_VALUE"""),4.0)</f>
        <v>4</v>
      </c>
      <c r="G1426" s="5">
        <f>IFERROR(__xludf.DUMMYFUNCTION("""COMPUTED_VALUE"""),13705.0)</f>
        <v>13705</v>
      </c>
      <c r="H1426" s="5">
        <f>IFERROR(__xludf.DUMMYFUNCTION("""COMPUTED_VALUE"""),3430.0)</f>
        <v>3430</v>
      </c>
    </row>
    <row r="1427">
      <c r="A1427" s="4">
        <f>IFERROR(__xludf.DUMMYFUNCTION("""COMPUTED_VALUE"""),43795.0)</f>
        <v>43795</v>
      </c>
      <c r="B1427" s="5">
        <f>IFERROR(__xludf.DUMMYFUNCTION("""COMPUTED_VALUE"""),2888.0)</f>
        <v>2888</v>
      </c>
      <c r="C1427" s="6">
        <f>IFERROR(__xludf.DUMMYFUNCTION("""COMPUTED_VALUE"""),0.5237)</f>
        <v>0.5237</v>
      </c>
      <c r="D1427" s="2">
        <f>IFERROR(__xludf.DUMMYFUNCTION("""COMPUTED_VALUE"""),0.0016782407407407408)</f>
        <v>0.001678240741</v>
      </c>
      <c r="E1427" s="1">
        <f>IFERROR(__xludf.DUMMYFUNCTION("""COMPUTED_VALUE"""),1.22)</f>
        <v>1.22</v>
      </c>
      <c r="F1427" s="1">
        <f>IFERROR(__xludf.DUMMYFUNCTION("""COMPUTED_VALUE"""),3.76)</f>
        <v>3.76</v>
      </c>
      <c r="G1427" s="5">
        <f>IFERROR(__xludf.DUMMYFUNCTION("""COMPUTED_VALUE"""),13274.0)</f>
        <v>13274</v>
      </c>
      <c r="H1427" s="5">
        <f>IFERROR(__xludf.DUMMYFUNCTION("""COMPUTED_VALUE"""),3527.0)</f>
        <v>3527</v>
      </c>
    </row>
    <row r="1428">
      <c r="A1428" s="4">
        <f>IFERROR(__xludf.DUMMYFUNCTION("""COMPUTED_VALUE"""),43796.0)</f>
        <v>43796</v>
      </c>
      <c r="B1428" s="5">
        <f>IFERROR(__xludf.DUMMYFUNCTION("""COMPUTED_VALUE"""),2499.0)</f>
        <v>2499</v>
      </c>
      <c r="C1428" s="6">
        <f>IFERROR(__xludf.DUMMYFUNCTION("""COMPUTED_VALUE"""),0.4377)</f>
        <v>0.4377</v>
      </c>
      <c r="D1428" s="2">
        <f>IFERROR(__xludf.DUMMYFUNCTION("""COMPUTED_VALUE"""),0.001712962962962963)</f>
        <v>0.001712962963</v>
      </c>
      <c r="E1428" s="1">
        <f>IFERROR(__xludf.DUMMYFUNCTION("""COMPUTED_VALUE"""),1.16)</f>
        <v>1.16</v>
      </c>
      <c r="F1428" s="1">
        <f>IFERROR(__xludf.DUMMYFUNCTION("""COMPUTED_VALUE"""),4.1)</f>
        <v>4.1</v>
      </c>
      <c r="G1428" s="5">
        <f>IFERROR(__xludf.DUMMYFUNCTION("""COMPUTED_VALUE"""),11844.0)</f>
        <v>11844</v>
      </c>
      <c r="H1428" s="5">
        <f>IFERROR(__xludf.DUMMYFUNCTION("""COMPUTED_VALUE"""),2888.0)</f>
        <v>2888</v>
      </c>
    </row>
    <row r="1429">
      <c r="A1429" s="4">
        <f>IFERROR(__xludf.DUMMYFUNCTION("""COMPUTED_VALUE"""),43797.0)</f>
        <v>43797</v>
      </c>
      <c r="B1429" s="5">
        <f>IFERROR(__xludf.DUMMYFUNCTION("""COMPUTED_VALUE"""),2513.0)</f>
        <v>2513</v>
      </c>
      <c r="C1429" s="6">
        <f>IFERROR(__xludf.DUMMYFUNCTION("""COMPUTED_VALUE"""),0.4046)</f>
        <v>0.4046</v>
      </c>
      <c r="D1429" s="2">
        <f>IFERROR(__xludf.DUMMYFUNCTION("""COMPUTED_VALUE"""),0.0017476851851851852)</f>
        <v>0.001747685185</v>
      </c>
      <c r="E1429" s="1">
        <f>IFERROR(__xludf.DUMMYFUNCTION("""COMPUTED_VALUE"""),1.13)</f>
        <v>1.13</v>
      </c>
      <c r="F1429" s="1">
        <f>IFERROR(__xludf.DUMMYFUNCTION("""COMPUTED_VALUE"""),4.09)</f>
        <v>4.09</v>
      </c>
      <c r="G1429" s="5">
        <f>IFERROR(__xludf.DUMMYFUNCTION("""COMPUTED_VALUE"""),11650.0)</f>
        <v>11650</v>
      </c>
      <c r="H1429" s="5">
        <f>IFERROR(__xludf.DUMMYFUNCTION("""COMPUTED_VALUE"""),2847.0)</f>
        <v>2847</v>
      </c>
    </row>
    <row r="1430">
      <c r="A1430" s="4">
        <f>IFERROR(__xludf.DUMMYFUNCTION("""COMPUTED_VALUE"""),43798.0)</f>
        <v>43798</v>
      </c>
      <c r="B1430" s="5">
        <f>IFERROR(__xludf.DUMMYFUNCTION("""COMPUTED_VALUE"""),2763.0)</f>
        <v>2763</v>
      </c>
      <c r="C1430" s="6">
        <f>IFERROR(__xludf.DUMMYFUNCTION("""COMPUTED_VALUE"""),0.4667)</f>
        <v>0.4667</v>
      </c>
      <c r="D1430" s="2">
        <f>IFERROR(__xludf.DUMMYFUNCTION("""COMPUTED_VALUE"""),0.0016319444444444445)</f>
        <v>0.001631944444</v>
      </c>
      <c r="E1430" s="1">
        <f>IFERROR(__xludf.DUMMYFUNCTION("""COMPUTED_VALUE"""),1.13)</f>
        <v>1.13</v>
      </c>
      <c r="F1430" s="1">
        <f>IFERROR(__xludf.DUMMYFUNCTION("""COMPUTED_VALUE"""),4.53)</f>
        <v>4.53</v>
      </c>
      <c r="G1430" s="5">
        <f>IFERROR(__xludf.DUMMYFUNCTION("""COMPUTED_VALUE"""),14163.0)</f>
        <v>14163</v>
      </c>
      <c r="H1430" s="5">
        <f>IFERROR(__xludf.DUMMYFUNCTION("""COMPUTED_VALUE"""),3124.0)</f>
        <v>3124</v>
      </c>
    </row>
    <row r="1431">
      <c r="A1431" s="4">
        <f>IFERROR(__xludf.DUMMYFUNCTION("""COMPUTED_VALUE"""),43799.0)</f>
        <v>43799</v>
      </c>
      <c r="B1431" s="5">
        <f>IFERROR(__xludf.DUMMYFUNCTION("""COMPUTED_VALUE"""),1972.0)</f>
        <v>1972</v>
      </c>
      <c r="C1431" s="6">
        <f>IFERROR(__xludf.DUMMYFUNCTION("""COMPUTED_VALUE"""),0.4808)</f>
        <v>0.4808</v>
      </c>
      <c r="D1431" s="2">
        <f>IFERROR(__xludf.DUMMYFUNCTION("""COMPUTED_VALUE"""),0.0017476851851851852)</f>
        <v>0.001747685185</v>
      </c>
      <c r="E1431" s="1">
        <f>IFERROR(__xludf.DUMMYFUNCTION("""COMPUTED_VALUE"""),1.08)</f>
        <v>1.08</v>
      </c>
      <c r="F1431" s="1">
        <f>IFERROR(__xludf.DUMMYFUNCTION("""COMPUTED_VALUE"""),4.12)</f>
        <v>4.12</v>
      </c>
      <c r="G1431" s="5">
        <f>IFERROR(__xludf.DUMMYFUNCTION("""COMPUTED_VALUE"""),8803.0)</f>
        <v>8803</v>
      </c>
      <c r="H1431" s="5">
        <f>IFERROR(__xludf.DUMMYFUNCTION("""COMPUTED_VALUE"""),2138.0)</f>
        <v>2138</v>
      </c>
    </row>
    <row r="1432">
      <c r="A1432" s="4">
        <f>IFERROR(__xludf.DUMMYFUNCTION("""COMPUTED_VALUE"""),43800.0)</f>
        <v>43800</v>
      </c>
      <c r="B1432" s="5">
        <f>IFERROR(__xludf.DUMMYFUNCTION("""COMPUTED_VALUE"""),1999.0)</f>
        <v>1999</v>
      </c>
      <c r="C1432" s="6">
        <f>IFERROR(__xludf.DUMMYFUNCTION("""COMPUTED_VALUE"""),0.4196)</f>
        <v>0.4196</v>
      </c>
      <c r="D1432" s="2">
        <f>IFERROR(__xludf.DUMMYFUNCTION("""COMPUTED_VALUE"""),0.002488425925925926)</f>
        <v>0.002488425926</v>
      </c>
      <c r="E1432" s="1">
        <f>IFERROR(__xludf.DUMMYFUNCTION("""COMPUTED_VALUE"""),1.08)</f>
        <v>1.08</v>
      </c>
      <c r="F1432" s="1">
        <f>IFERROR(__xludf.DUMMYFUNCTION("""COMPUTED_VALUE"""),5.08)</f>
        <v>5.08</v>
      </c>
      <c r="G1432" s="5">
        <f>IFERROR(__xludf.DUMMYFUNCTION("""COMPUTED_VALUE"""),10928.0)</f>
        <v>10928</v>
      </c>
      <c r="H1432" s="5">
        <f>IFERROR(__xludf.DUMMYFUNCTION("""COMPUTED_VALUE"""),2152.0)</f>
        <v>2152</v>
      </c>
    </row>
    <row r="1433">
      <c r="A1433" s="4">
        <f>IFERROR(__xludf.DUMMYFUNCTION("""COMPUTED_VALUE"""),43801.0)</f>
        <v>43801</v>
      </c>
      <c r="B1433" s="5">
        <f>IFERROR(__xludf.DUMMYFUNCTION("""COMPUTED_VALUE"""),4124.0)</f>
        <v>4124</v>
      </c>
      <c r="C1433" s="6">
        <f>IFERROR(__xludf.DUMMYFUNCTION("""COMPUTED_VALUE"""),0.4256)</f>
        <v>0.4256</v>
      </c>
      <c r="D1433" s="2">
        <f>IFERROR(__xludf.DUMMYFUNCTION("""COMPUTED_VALUE"""),0.0018287037037037037)</f>
        <v>0.001828703704</v>
      </c>
      <c r="E1433" s="1">
        <f>IFERROR(__xludf.DUMMYFUNCTION("""COMPUTED_VALUE"""),1.11)</f>
        <v>1.11</v>
      </c>
      <c r="F1433" s="1">
        <f>IFERROR(__xludf.DUMMYFUNCTION("""COMPUTED_VALUE"""),4.56)</f>
        <v>4.56</v>
      </c>
      <c r="G1433" s="5">
        <f>IFERROR(__xludf.DUMMYFUNCTION("""COMPUTED_VALUE"""),20842.0)</f>
        <v>20842</v>
      </c>
      <c r="H1433" s="5">
        <f>IFERROR(__xludf.DUMMYFUNCTION("""COMPUTED_VALUE"""),4568.0)</f>
        <v>4568</v>
      </c>
    </row>
    <row r="1434">
      <c r="A1434" s="4">
        <f>IFERROR(__xludf.DUMMYFUNCTION("""COMPUTED_VALUE"""),43802.0)</f>
        <v>43802</v>
      </c>
      <c r="B1434" s="5">
        <f>IFERROR(__xludf.DUMMYFUNCTION("""COMPUTED_VALUE"""),3124.0)</f>
        <v>3124</v>
      </c>
      <c r="C1434" s="6">
        <f>IFERROR(__xludf.DUMMYFUNCTION("""COMPUTED_VALUE"""),0.3785)</f>
        <v>0.3785</v>
      </c>
      <c r="D1434" s="2">
        <f>IFERROR(__xludf.DUMMYFUNCTION("""COMPUTED_VALUE"""),0.0018865740740740742)</f>
        <v>0.001886574074</v>
      </c>
      <c r="E1434" s="1">
        <f>IFERROR(__xludf.DUMMYFUNCTION("""COMPUTED_VALUE"""),1.15)</f>
        <v>1.15</v>
      </c>
      <c r="F1434" s="1">
        <f>IFERROR(__xludf.DUMMYFUNCTION("""COMPUTED_VALUE"""),4.24)</f>
        <v>4.24</v>
      </c>
      <c r="G1434" s="5">
        <f>IFERROR(__xludf.DUMMYFUNCTION("""COMPUTED_VALUE"""),15246.0)</f>
        <v>15246</v>
      </c>
      <c r="H1434" s="5">
        <f>IFERROR(__xludf.DUMMYFUNCTION("""COMPUTED_VALUE"""),3596.0)</f>
        <v>3596</v>
      </c>
    </row>
    <row r="1435">
      <c r="A1435" s="4">
        <f>IFERROR(__xludf.DUMMYFUNCTION("""COMPUTED_VALUE"""),43803.0)</f>
        <v>43803</v>
      </c>
      <c r="B1435" s="5">
        <f>IFERROR(__xludf.DUMMYFUNCTION("""COMPUTED_VALUE"""),2819.0)</f>
        <v>2819</v>
      </c>
      <c r="C1435" s="6">
        <f>IFERROR(__xludf.DUMMYFUNCTION("""COMPUTED_VALUE"""),0.3999)</f>
        <v>0.3999</v>
      </c>
      <c r="D1435" s="2">
        <f>IFERROR(__xludf.DUMMYFUNCTION("""COMPUTED_VALUE"""),0.0018865740740740742)</f>
        <v>0.001886574074</v>
      </c>
      <c r="E1435" s="1">
        <f>IFERROR(__xludf.DUMMYFUNCTION("""COMPUTED_VALUE"""),1.16)</f>
        <v>1.16</v>
      </c>
      <c r="F1435" s="1">
        <f>IFERROR(__xludf.DUMMYFUNCTION("""COMPUTED_VALUE"""),3.83)</f>
        <v>3.83</v>
      </c>
      <c r="G1435" s="5">
        <f>IFERROR(__xludf.DUMMYFUNCTION("""COMPUTED_VALUE"""),12483.0)</f>
        <v>12483</v>
      </c>
      <c r="H1435" s="5">
        <f>IFERROR(__xludf.DUMMYFUNCTION("""COMPUTED_VALUE"""),3263.0)</f>
        <v>3263</v>
      </c>
    </row>
    <row r="1436">
      <c r="A1436" s="4">
        <f>IFERROR(__xludf.DUMMYFUNCTION("""COMPUTED_VALUE"""),43804.0)</f>
        <v>43804</v>
      </c>
      <c r="B1436" s="5">
        <f>IFERROR(__xludf.DUMMYFUNCTION("""COMPUTED_VALUE"""),2458.0)</f>
        <v>2458</v>
      </c>
      <c r="C1436" s="6">
        <f>IFERROR(__xludf.DUMMYFUNCTION("""COMPUTED_VALUE"""),0.4224)</f>
        <v>0.4224</v>
      </c>
      <c r="D1436" s="2">
        <f>IFERROR(__xludf.DUMMYFUNCTION("""COMPUTED_VALUE"""),0.0022453703703703702)</f>
        <v>0.00224537037</v>
      </c>
      <c r="E1436" s="1">
        <f>IFERROR(__xludf.DUMMYFUNCTION("""COMPUTED_VALUE"""),1.16)</f>
        <v>1.16</v>
      </c>
      <c r="F1436" s="1">
        <f>IFERROR(__xludf.DUMMYFUNCTION("""COMPUTED_VALUE"""),4.55)</f>
        <v>4.55</v>
      </c>
      <c r="G1436" s="5">
        <f>IFERROR(__xludf.DUMMYFUNCTION("""COMPUTED_VALUE"""),13011.0)</f>
        <v>13011</v>
      </c>
      <c r="H1436" s="5">
        <f>IFERROR(__xludf.DUMMYFUNCTION("""COMPUTED_VALUE"""),2860.0)</f>
        <v>2860</v>
      </c>
    </row>
    <row r="1437">
      <c r="A1437" s="4">
        <f>IFERROR(__xludf.DUMMYFUNCTION("""COMPUTED_VALUE"""),43805.0)</f>
        <v>43805</v>
      </c>
      <c r="B1437" s="5">
        <f>IFERROR(__xludf.DUMMYFUNCTION("""COMPUTED_VALUE"""),2374.0)</f>
        <v>2374</v>
      </c>
      <c r="C1437" s="6">
        <f>IFERROR(__xludf.DUMMYFUNCTION("""COMPUTED_VALUE"""),0.4154)</f>
        <v>0.4154</v>
      </c>
      <c r="D1437" s="2">
        <f>IFERROR(__xludf.DUMMYFUNCTION("""COMPUTED_VALUE"""),0.0024305555555555556)</f>
        <v>0.002430555556</v>
      </c>
      <c r="E1437" s="1">
        <f>IFERROR(__xludf.DUMMYFUNCTION("""COMPUTED_VALUE"""),1.14)</f>
        <v>1.14</v>
      </c>
      <c r="F1437" s="1">
        <f>IFERROR(__xludf.DUMMYFUNCTION("""COMPUTED_VALUE"""),5.39)</f>
        <v>5.39</v>
      </c>
      <c r="G1437" s="5">
        <f>IFERROR(__xludf.DUMMYFUNCTION("""COMPUTED_VALUE"""),14607.0)</f>
        <v>14607</v>
      </c>
      <c r="H1437" s="5">
        <f>IFERROR(__xludf.DUMMYFUNCTION("""COMPUTED_VALUE"""),2708.0)</f>
        <v>2708</v>
      </c>
    </row>
    <row r="1438">
      <c r="A1438" s="4">
        <f>IFERROR(__xludf.DUMMYFUNCTION("""COMPUTED_VALUE"""),43806.0)</f>
        <v>43806</v>
      </c>
      <c r="B1438" s="5">
        <f>IFERROR(__xludf.DUMMYFUNCTION("""COMPUTED_VALUE"""),1583.0)</f>
        <v>1583</v>
      </c>
      <c r="C1438" s="6">
        <f>IFERROR(__xludf.DUMMYFUNCTION("""COMPUTED_VALUE"""),0.5152)</f>
        <v>0.5152</v>
      </c>
      <c r="D1438" s="2">
        <f>IFERROR(__xludf.DUMMYFUNCTION("""COMPUTED_VALUE"""),0.002210648148148148)</f>
        <v>0.002210648148</v>
      </c>
      <c r="E1438" s="1">
        <f>IFERROR(__xludf.DUMMYFUNCTION("""COMPUTED_VALUE"""),1.14)</f>
        <v>1.14</v>
      </c>
      <c r="F1438" s="1">
        <f>IFERROR(__xludf.DUMMYFUNCTION("""COMPUTED_VALUE"""),3.89)</f>
        <v>3.89</v>
      </c>
      <c r="G1438" s="5">
        <f>IFERROR(__xludf.DUMMYFUNCTION("""COMPUTED_VALUE"""),7026.0)</f>
        <v>7026</v>
      </c>
      <c r="H1438" s="5">
        <f>IFERROR(__xludf.DUMMYFUNCTION("""COMPUTED_VALUE"""),1805.0)</f>
        <v>1805</v>
      </c>
    </row>
    <row r="1439">
      <c r="A1439" s="4">
        <f>IFERROR(__xludf.DUMMYFUNCTION("""COMPUTED_VALUE"""),43807.0)</f>
        <v>43807</v>
      </c>
      <c r="B1439" s="5">
        <f>IFERROR(__xludf.DUMMYFUNCTION("""COMPUTED_VALUE"""),1763.0)</f>
        <v>1763</v>
      </c>
      <c r="C1439" s="6">
        <f>IFERROR(__xludf.DUMMYFUNCTION("""COMPUTED_VALUE"""),0.4219)</f>
        <v>0.4219</v>
      </c>
      <c r="D1439" s="2">
        <f>IFERROR(__xludf.DUMMYFUNCTION("""COMPUTED_VALUE"""),0.002523148148148148)</f>
        <v>0.002523148148</v>
      </c>
      <c r="E1439" s="1">
        <f>IFERROR(__xludf.DUMMYFUNCTION("""COMPUTED_VALUE"""),1.06)</f>
        <v>1.06</v>
      </c>
      <c r="F1439" s="1">
        <f>IFERROR(__xludf.DUMMYFUNCTION("""COMPUTED_VALUE"""),4.38)</f>
        <v>4.38</v>
      </c>
      <c r="G1439" s="5">
        <f>IFERROR(__xludf.DUMMYFUNCTION("""COMPUTED_VALUE"""),8206.0)</f>
        <v>8206</v>
      </c>
      <c r="H1439" s="5">
        <f>IFERROR(__xludf.DUMMYFUNCTION("""COMPUTED_VALUE"""),1875.0)</f>
        <v>1875</v>
      </c>
    </row>
    <row r="1440">
      <c r="A1440" s="4">
        <f>IFERROR(__xludf.DUMMYFUNCTION("""COMPUTED_VALUE"""),43808.0)</f>
        <v>43808</v>
      </c>
      <c r="B1440" s="5">
        <f>IFERROR(__xludf.DUMMYFUNCTION("""COMPUTED_VALUE"""),2708.0)</f>
        <v>2708</v>
      </c>
      <c r="C1440" s="6">
        <f>IFERROR(__xludf.DUMMYFUNCTION("""COMPUTED_VALUE"""),0.4398)</f>
        <v>0.4398</v>
      </c>
      <c r="D1440" s="2">
        <f>IFERROR(__xludf.DUMMYFUNCTION("""COMPUTED_VALUE"""),0.001990740740740741)</f>
        <v>0.001990740741</v>
      </c>
      <c r="E1440" s="1">
        <f>IFERROR(__xludf.DUMMYFUNCTION("""COMPUTED_VALUE"""),1.11)</f>
        <v>1.11</v>
      </c>
      <c r="F1440" s="1">
        <f>IFERROR(__xludf.DUMMYFUNCTION("""COMPUTED_VALUE"""),4.8)</f>
        <v>4.8</v>
      </c>
      <c r="G1440" s="5">
        <f>IFERROR(__xludf.DUMMYFUNCTION("""COMPUTED_VALUE"""),14385.0)</f>
        <v>14385</v>
      </c>
      <c r="H1440" s="5">
        <f>IFERROR(__xludf.DUMMYFUNCTION("""COMPUTED_VALUE"""),2999.0)</f>
        <v>2999</v>
      </c>
    </row>
    <row r="1441">
      <c r="A1441" s="4">
        <f>IFERROR(__xludf.DUMMYFUNCTION("""COMPUTED_VALUE"""),43809.0)</f>
        <v>43809</v>
      </c>
      <c r="B1441" s="5">
        <f>IFERROR(__xludf.DUMMYFUNCTION("""COMPUTED_VALUE"""),3083.0)</f>
        <v>3083</v>
      </c>
      <c r="C1441" s="6">
        <f>IFERROR(__xludf.DUMMYFUNCTION("""COMPUTED_VALUE"""),0.4344)</f>
        <v>0.4344</v>
      </c>
      <c r="D1441" s="2">
        <f>IFERROR(__xludf.DUMMYFUNCTION("""COMPUTED_VALUE"""),0.0018055555555555555)</f>
        <v>0.001805555556</v>
      </c>
      <c r="E1441" s="1">
        <f>IFERROR(__xludf.DUMMYFUNCTION("""COMPUTED_VALUE"""),1.13)</f>
        <v>1.13</v>
      </c>
      <c r="F1441" s="1">
        <f>IFERROR(__xludf.DUMMYFUNCTION("""COMPUTED_VALUE"""),4.46)</f>
        <v>4.46</v>
      </c>
      <c r="G1441" s="5">
        <f>IFERROR(__xludf.DUMMYFUNCTION("""COMPUTED_VALUE"""),15538.0)</f>
        <v>15538</v>
      </c>
      <c r="H1441" s="5">
        <f>IFERROR(__xludf.DUMMYFUNCTION("""COMPUTED_VALUE"""),3485.0)</f>
        <v>3485</v>
      </c>
    </row>
    <row r="1442">
      <c r="A1442" s="4">
        <f>IFERROR(__xludf.DUMMYFUNCTION("""COMPUTED_VALUE"""),43810.0)</f>
        <v>43810</v>
      </c>
      <c r="B1442" s="5">
        <f>IFERROR(__xludf.DUMMYFUNCTION("""COMPUTED_VALUE"""),2902.0)</f>
        <v>2902</v>
      </c>
      <c r="C1442" s="6">
        <f>IFERROR(__xludf.DUMMYFUNCTION("""COMPUTED_VALUE"""),0.4225)</f>
        <v>0.4225</v>
      </c>
      <c r="D1442" s="2">
        <f>IFERROR(__xludf.DUMMYFUNCTION("""COMPUTED_VALUE"""),0.0021759259259259258)</f>
        <v>0.002175925926</v>
      </c>
      <c r="E1442" s="1">
        <f>IFERROR(__xludf.DUMMYFUNCTION("""COMPUTED_VALUE"""),1.11)</f>
        <v>1.11</v>
      </c>
      <c r="F1442" s="1">
        <f>IFERROR(__xludf.DUMMYFUNCTION("""COMPUTED_VALUE"""),4.67)</f>
        <v>4.67</v>
      </c>
      <c r="G1442" s="5">
        <f>IFERROR(__xludf.DUMMYFUNCTION("""COMPUTED_VALUE"""),15038.0)</f>
        <v>15038</v>
      </c>
      <c r="H1442" s="5">
        <f>IFERROR(__xludf.DUMMYFUNCTION("""COMPUTED_VALUE"""),3221.0)</f>
        <v>3221</v>
      </c>
    </row>
    <row r="1443">
      <c r="A1443" s="4">
        <f>IFERROR(__xludf.DUMMYFUNCTION("""COMPUTED_VALUE"""),43811.0)</f>
        <v>43811</v>
      </c>
      <c r="B1443" s="5">
        <f>IFERROR(__xludf.DUMMYFUNCTION("""COMPUTED_VALUE"""),2971.0)</f>
        <v>2971</v>
      </c>
      <c r="C1443" s="6">
        <f>IFERROR(__xludf.DUMMYFUNCTION("""COMPUTED_VALUE"""),0.4521)</f>
        <v>0.4521</v>
      </c>
      <c r="D1443" s="2">
        <f>IFERROR(__xludf.DUMMYFUNCTION("""COMPUTED_VALUE"""),0.0019444444444444444)</f>
        <v>0.001944444444</v>
      </c>
      <c r="E1443" s="1">
        <f>IFERROR(__xludf.DUMMYFUNCTION("""COMPUTED_VALUE"""),1.08)</f>
        <v>1.08</v>
      </c>
      <c r="F1443" s="1">
        <f>IFERROR(__xludf.DUMMYFUNCTION("""COMPUTED_VALUE"""),4.29)</f>
        <v>4.29</v>
      </c>
      <c r="G1443" s="5">
        <f>IFERROR(__xludf.DUMMYFUNCTION("""COMPUTED_VALUE"""),13691.0)</f>
        <v>13691</v>
      </c>
      <c r="H1443" s="5">
        <f>IFERROR(__xludf.DUMMYFUNCTION("""COMPUTED_VALUE"""),3194.0)</f>
        <v>3194</v>
      </c>
    </row>
    <row r="1444">
      <c r="A1444" s="4">
        <f>IFERROR(__xludf.DUMMYFUNCTION("""COMPUTED_VALUE"""),43812.0)</f>
        <v>43812</v>
      </c>
      <c r="B1444" s="5">
        <f>IFERROR(__xludf.DUMMYFUNCTION("""COMPUTED_VALUE"""),2860.0)</f>
        <v>2860</v>
      </c>
      <c r="C1444" s="6">
        <f>IFERROR(__xludf.DUMMYFUNCTION("""COMPUTED_VALUE"""),0.3749)</f>
        <v>0.3749</v>
      </c>
      <c r="D1444" s="2">
        <f>IFERROR(__xludf.DUMMYFUNCTION("""COMPUTED_VALUE"""),0.0018171296296296297)</f>
        <v>0.00181712963</v>
      </c>
      <c r="E1444" s="1">
        <f>IFERROR(__xludf.DUMMYFUNCTION("""COMPUTED_VALUE"""),1.09)</f>
        <v>1.09</v>
      </c>
      <c r="F1444" s="1">
        <f>IFERROR(__xludf.DUMMYFUNCTION("""COMPUTED_VALUE"""),4.31)</f>
        <v>4.31</v>
      </c>
      <c r="G1444" s="5">
        <f>IFERROR(__xludf.DUMMYFUNCTION("""COMPUTED_VALUE"""),13399.0)</f>
        <v>13399</v>
      </c>
      <c r="H1444" s="5">
        <f>IFERROR(__xludf.DUMMYFUNCTION("""COMPUTED_VALUE"""),3110.0)</f>
        <v>3110</v>
      </c>
    </row>
    <row r="1445">
      <c r="A1445" s="4">
        <f>IFERROR(__xludf.DUMMYFUNCTION("""COMPUTED_VALUE"""),43813.0)</f>
        <v>43813</v>
      </c>
      <c r="B1445" s="5">
        <f>IFERROR(__xludf.DUMMYFUNCTION("""COMPUTED_VALUE"""),1583.0)</f>
        <v>1583</v>
      </c>
      <c r="C1445" s="6">
        <f>IFERROR(__xludf.DUMMYFUNCTION("""COMPUTED_VALUE"""),0.4309)</f>
        <v>0.4309</v>
      </c>
      <c r="D1445" s="2">
        <f>IFERROR(__xludf.DUMMYFUNCTION("""COMPUTED_VALUE"""),0.0018402777777777777)</f>
        <v>0.001840277778</v>
      </c>
      <c r="E1445" s="1">
        <f>IFERROR(__xludf.DUMMYFUNCTION("""COMPUTED_VALUE"""),1.08)</f>
        <v>1.08</v>
      </c>
      <c r="F1445" s="1">
        <f>IFERROR(__xludf.DUMMYFUNCTION("""COMPUTED_VALUE"""),5.42)</f>
        <v>5.42</v>
      </c>
      <c r="G1445" s="5">
        <f>IFERROR(__xludf.DUMMYFUNCTION("""COMPUTED_VALUE"""),9262.0)</f>
        <v>9262</v>
      </c>
      <c r="H1445" s="5">
        <f>IFERROR(__xludf.DUMMYFUNCTION("""COMPUTED_VALUE"""),1708.0)</f>
        <v>1708</v>
      </c>
    </row>
    <row r="1446">
      <c r="A1446" s="4">
        <f>IFERROR(__xludf.DUMMYFUNCTION("""COMPUTED_VALUE"""),43814.0)</f>
        <v>43814</v>
      </c>
      <c r="B1446" s="5">
        <f>IFERROR(__xludf.DUMMYFUNCTION("""COMPUTED_VALUE"""),1847.0)</f>
        <v>1847</v>
      </c>
      <c r="C1446" s="6">
        <f>IFERROR(__xludf.DUMMYFUNCTION("""COMPUTED_VALUE"""),0.546)</f>
        <v>0.546</v>
      </c>
      <c r="D1446" s="2">
        <f>IFERROR(__xludf.DUMMYFUNCTION("""COMPUTED_VALUE"""),0.0016435185185185185)</f>
        <v>0.001643518519</v>
      </c>
      <c r="E1446" s="1">
        <f>IFERROR(__xludf.DUMMYFUNCTION("""COMPUTED_VALUE"""),1.06)</f>
        <v>1.06</v>
      </c>
      <c r="F1446" s="1">
        <f>IFERROR(__xludf.DUMMYFUNCTION("""COMPUTED_VALUE"""),4.04)</f>
        <v>4.04</v>
      </c>
      <c r="G1446" s="5">
        <f>IFERROR(__xludf.DUMMYFUNCTION("""COMPUTED_VALUE"""),7901.0)</f>
        <v>7901</v>
      </c>
      <c r="H1446" s="5">
        <f>IFERROR(__xludf.DUMMYFUNCTION("""COMPUTED_VALUE"""),1958.0)</f>
        <v>1958</v>
      </c>
    </row>
    <row r="1447">
      <c r="A1447" s="4">
        <f>IFERROR(__xludf.DUMMYFUNCTION("""COMPUTED_VALUE"""),43815.0)</f>
        <v>43815</v>
      </c>
      <c r="B1447" s="5">
        <f>IFERROR(__xludf.DUMMYFUNCTION("""COMPUTED_VALUE"""),3180.0)</f>
        <v>3180</v>
      </c>
      <c r="C1447" s="6">
        <f>IFERROR(__xludf.DUMMYFUNCTION("""COMPUTED_VALUE"""),0.4378)</f>
        <v>0.4378</v>
      </c>
      <c r="D1447" s="2">
        <f>IFERROR(__xludf.DUMMYFUNCTION("""COMPUTED_VALUE"""),0.0021064814814814813)</f>
        <v>0.002106481481</v>
      </c>
      <c r="E1447" s="1">
        <f>IFERROR(__xludf.DUMMYFUNCTION("""COMPUTED_VALUE"""),1.27)</f>
        <v>1.27</v>
      </c>
      <c r="F1447" s="1">
        <f>IFERROR(__xludf.DUMMYFUNCTION("""COMPUTED_VALUE"""),4.75)</f>
        <v>4.75</v>
      </c>
      <c r="G1447" s="5">
        <f>IFERROR(__xludf.DUMMYFUNCTION("""COMPUTED_VALUE"""),19134.0)</f>
        <v>19134</v>
      </c>
      <c r="H1447" s="5">
        <f>IFERROR(__xludf.DUMMYFUNCTION("""COMPUTED_VALUE"""),4027.0)</f>
        <v>4027</v>
      </c>
    </row>
    <row r="1448">
      <c r="A1448" s="4">
        <f>IFERROR(__xludf.DUMMYFUNCTION("""COMPUTED_VALUE"""),43816.0)</f>
        <v>43816</v>
      </c>
      <c r="B1448" s="5">
        <f>IFERROR(__xludf.DUMMYFUNCTION("""COMPUTED_VALUE"""),2763.0)</f>
        <v>2763</v>
      </c>
      <c r="C1448" s="6">
        <f>IFERROR(__xludf.DUMMYFUNCTION("""COMPUTED_VALUE"""),0.4435)</f>
        <v>0.4435</v>
      </c>
      <c r="D1448" s="2">
        <f>IFERROR(__xludf.DUMMYFUNCTION("""COMPUTED_VALUE"""),0.0018287037037037037)</f>
        <v>0.001828703704</v>
      </c>
      <c r="E1448" s="1">
        <f>IFERROR(__xludf.DUMMYFUNCTION("""COMPUTED_VALUE"""),1.11)</f>
        <v>1.11</v>
      </c>
      <c r="F1448" s="1">
        <f>IFERROR(__xludf.DUMMYFUNCTION("""COMPUTED_VALUE"""),3.9)</f>
        <v>3.9</v>
      </c>
      <c r="G1448" s="5">
        <f>IFERROR(__xludf.DUMMYFUNCTION("""COMPUTED_VALUE"""),11983.0)</f>
        <v>11983</v>
      </c>
      <c r="H1448" s="5">
        <f>IFERROR(__xludf.DUMMYFUNCTION("""COMPUTED_VALUE"""),3069.0)</f>
        <v>3069</v>
      </c>
    </row>
    <row r="1449">
      <c r="A1449" s="4">
        <f>IFERROR(__xludf.DUMMYFUNCTION("""COMPUTED_VALUE"""),43817.0)</f>
        <v>43817</v>
      </c>
      <c r="B1449" s="5">
        <f>IFERROR(__xludf.DUMMYFUNCTION("""COMPUTED_VALUE"""),2527.0)</f>
        <v>2527</v>
      </c>
      <c r="C1449" s="6">
        <f>IFERROR(__xludf.DUMMYFUNCTION("""COMPUTED_VALUE"""),0.4061)</f>
        <v>0.4061</v>
      </c>
      <c r="D1449" s="2">
        <f>IFERROR(__xludf.DUMMYFUNCTION("""COMPUTED_VALUE"""),0.001979166666666667)</f>
        <v>0.001979166667</v>
      </c>
      <c r="E1449" s="1">
        <f>IFERROR(__xludf.DUMMYFUNCTION("""COMPUTED_VALUE"""),1.11)</f>
        <v>1.11</v>
      </c>
      <c r="F1449" s="1">
        <f>IFERROR(__xludf.DUMMYFUNCTION("""COMPUTED_VALUE"""),4.54)</f>
        <v>4.54</v>
      </c>
      <c r="G1449" s="5">
        <f>IFERROR(__xludf.DUMMYFUNCTION("""COMPUTED_VALUE"""),12747.0)</f>
        <v>12747</v>
      </c>
      <c r="H1449" s="5">
        <f>IFERROR(__xludf.DUMMYFUNCTION("""COMPUTED_VALUE"""),2805.0)</f>
        <v>2805</v>
      </c>
    </row>
    <row r="1450">
      <c r="A1450" s="4">
        <f>IFERROR(__xludf.DUMMYFUNCTION("""COMPUTED_VALUE"""),43818.0)</f>
        <v>43818</v>
      </c>
      <c r="B1450" s="5">
        <f>IFERROR(__xludf.DUMMYFUNCTION("""COMPUTED_VALUE"""),2444.0)</f>
        <v>2444</v>
      </c>
      <c r="C1450" s="6">
        <f>IFERROR(__xludf.DUMMYFUNCTION("""COMPUTED_VALUE"""),0.4479)</f>
        <v>0.4479</v>
      </c>
      <c r="D1450" s="2">
        <f>IFERROR(__xludf.DUMMYFUNCTION("""COMPUTED_VALUE"""),0.0019328703703703704)</f>
        <v>0.00193287037</v>
      </c>
      <c r="E1450" s="1">
        <f>IFERROR(__xludf.DUMMYFUNCTION("""COMPUTED_VALUE"""),1.09)</f>
        <v>1.09</v>
      </c>
      <c r="F1450" s="1">
        <f>IFERROR(__xludf.DUMMYFUNCTION("""COMPUTED_VALUE"""),4.64)</f>
        <v>4.64</v>
      </c>
      <c r="G1450" s="5">
        <f>IFERROR(__xludf.DUMMYFUNCTION("""COMPUTED_VALUE"""),12358.0)</f>
        <v>12358</v>
      </c>
      <c r="H1450" s="5">
        <f>IFERROR(__xludf.DUMMYFUNCTION("""COMPUTED_VALUE"""),2666.0)</f>
        <v>2666</v>
      </c>
    </row>
    <row r="1451">
      <c r="A1451" s="4">
        <f>IFERROR(__xludf.DUMMYFUNCTION("""COMPUTED_VALUE"""),43819.0)</f>
        <v>43819</v>
      </c>
      <c r="B1451" s="5">
        <f>IFERROR(__xludf.DUMMYFUNCTION("""COMPUTED_VALUE"""),1999.0)</f>
        <v>1999</v>
      </c>
      <c r="C1451" s="6">
        <f>IFERROR(__xludf.DUMMYFUNCTION("""COMPUTED_VALUE"""),0.4014)</f>
        <v>0.4014</v>
      </c>
      <c r="D1451" s="2">
        <f>IFERROR(__xludf.DUMMYFUNCTION("""COMPUTED_VALUE"""),0.0020717592592592593)</f>
        <v>0.002071759259</v>
      </c>
      <c r="E1451" s="1">
        <f>IFERROR(__xludf.DUMMYFUNCTION("""COMPUTED_VALUE"""),1.09)</f>
        <v>1.09</v>
      </c>
      <c r="F1451" s="1">
        <f>IFERROR(__xludf.DUMMYFUNCTION("""COMPUTED_VALUE"""),4.85)</f>
        <v>4.85</v>
      </c>
      <c r="G1451" s="5">
        <f>IFERROR(__xludf.DUMMYFUNCTION("""COMPUTED_VALUE"""),10567.0)</f>
        <v>10567</v>
      </c>
      <c r="H1451" s="5">
        <f>IFERROR(__xludf.DUMMYFUNCTION("""COMPUTED_VALUE"""),2180.0)</f>
        <v>2180</v>
      </c>
    </row>
    <row r="1452">
      <c r="A1452" s="4">
        <f>IFERROR(__xludf.DUMMYFUNCTION("""COMPUTED_VALUE"""),43820.0)</f>
        <v>43820</v>
      </c>
      <c r="B1452" s="5">
        <f>IFERROR(__xludf.DUMMYFUNCTION("""COMPUTED_VALUE"""),1111.0)</f>
        <v>1111</v>
      </c>
      <c r="C1452" s="6">
        <f>IFERROR(__xludf.DUMMYFUNCTION("""COMPUTED_VALUE"""),0.3932)</f>
        <v>0.3932</v>
      </c>
      <c r="D1452" s="2">
        <f>IFERROR(__xludf.DUMMYFUNCTION("""COMPUTED_VALUE"""),0.002349537037037037)</f>
        <v>0.002349537037</v>
      </c>
      <c r="E1452" s="1">
        <f>IFERROR(__xludf.DUMMYFUNCTION("""COMPUTED_VALUE"""),1.11)</f>
        <v>1.11</v>
      </c>
      <c r="F1452" s="1">
        <f>IFERROR(__xludf.DUMMYFUNCTION("""COMPUTED_VALUE"""),5.97)</f>
        <v>5.97</v>
      </c>
      <c r="G1452" s="5">
        <f>IFERROR(__xludf.DUMMYFUNCTION("""COMPUTED_VALUE"""),7373.0)</f>
        <v>7373</v>
      </c>
      <c r="H1452" s="5">
        <f>IFERROR(__xludf.DUMMYFUNCTION("""COMPUTED_VALUE"""),1236.0)</f>
        <v>1236</v>
      </c>
    </row>
    <row r="1453">
      <c r="A1453" s="4">
        <f>IFERROR(__xludf.DUMMYFUNCTION("""COMPUTED_VALUE"""),43821.0)</f>
        <v>43821</v>
      </c>
      <c r="B1453" s="5">
        <f>IFERROR(__xludf.DUMMYFUNCTION("""COMPUTED_VALUE"""),1222.0)</f>
        <v>1222</v>
      </c>
      <c r="C1453" s="6">
        <f>IFERROR(__xludf.DUMMYFUNCTION("""COMPUTED_VALUE"""),0.4632)</f>
        <v>0.4632</v>
      </c>
      <c r="D1453" s="2">
        <f>IFERROR(__xludf.DUMMYFUNCTION("""COMPUTED_VALUE"""),0.0014351851851851852)</f>
        <v>0.001435185185</v>
      </c>
      <c r="E1453" s="1">
        <f>IFERROR(__xludf.DUMMYFUNCTION("""COMPUTED_VALUE"""),1.08)</f>
        <v>1.08</v>
      </c>
      <c r="F1453" s="1">
        <f>IFERROR(__xludf.DUMMYFUNCTION("""COMPUTED_VALUE"""),3.87)</f>
        <v>3.87</v>
      </c>
      <c r="G1453" s="5">
        <f>IFERROR(__xludf.DUMMYFUNCTION("""COMPUTED_VALUE"""),5110.0)</f>
        <v>5110</v>
      </c>
      <c r="H1453" s="5">
        <f>IFERROR(__xludf.DUMMYFUNCTION("""COMPUTED_VALUE"""),1319.0)</f>
        <v>1319</v>
      </c>
    </row>
    <row r="1454">
      <c r="A1454" s="4">
        <f>IFERROR(__xludf.DUMMYFUNCTION("""COMPUTED_VALUE"""),43822.0)</f>
        <v>43822</v>
      </c>
      <c r="B1454" s="5">
        <f>IFERROR(__xludf.DUMMYFUNCTION("""COMPUTED_VALUE"""),1583.0)</f>
        <v>1583</v>
      </c>
      <c r="C1454" s="6">
        <f>IFERROR(__xludf.DUMMYFUNCTION("""COMPUTED_VALUE"""),0.508)</f>
        <v>0.508</v>
      </c>
      <c r="D1454" s="2">
        <f>IFERROR(__xludf.DUMMYFUNCTION("""COMPUTED_VALUE"""),0.0016319444444444445)</f>
        <v>0.001631944444</v>
      </c>
      <c r="E1454" s="1">
        <f>IFERROR(__xludf.DUMMYFUNCTION("""COMPUTED_VALUE"""),1.11)</f>
        <v>1.11</v>
      </c>
      <c r="F1454" s="1">
        <f>IFERROR(__xludf.DUMMYFUNCTION("""COMPUTED_VALUE"""),3.2)</f>
        <v>3.2</v>
      </c>
      <c r="G1454" s="5">
        <f>IFERROR(__xludf.DUMMYFUNCTION("""COMPUTED_VALUE"""),5596.0)</f>
        <v>5596</v>
      </c>
      <c r="H1454" s="5">
        <f>IFERROR(__xludf.DUMMYFUNCTION("""COMPUTED_VALUE"""),1750.0)</f>
        <v>1750</v>
      </c>
    </row>
    <row r="1455">
      <c r="A1455" s="4">
        <f>IFERROR(__xludf.DUMMYFUNCTION("""COMPUTED_VALUE"""),43823.0)</f>
        <v>43823</v>
      </c>
      <c r="B1455" s="5">
        <f>IFERROR(__xludf.DUMMYFUNCTION("""COMPUTED_VALUE"""),1028.0)</f>
        <v>1028</v>
      </c>
      <c r="C1455" s="6">
        <f>IFERROR(__xludf.DUMMYFUNCTION("""COMPUTED_VALUE"""),0.4648)</f>
        <v>0.4648</v>
      </c>
      <c r="D1455" s="2">
        <f>IFERROR(__xludf.DUMMYFUNCTION("""COMPUTED_VALUE"""),0.0027430555555555554)</f>
        <v>0.002743055556</v>
      </c>
      <c r="E1455" s="1">
        <f>IFERROR(__xludf.DUMMYFUNCTION("""COMPUTED_VALUE"""),1.13)</f>
        <v>1.13</v>
      </c>
      <c r="F1455" s="1">
        <f>IFERROR(__xludf.DUMMYFUNCTION("""COMPUTED_VALUE"""),5.03)</f>
        <v>5.03</v>
      </c>
      <c r="G1455" s="5">
        <f>IFERROR(__xludf.DUMMYFUNCTION("""COMPUTED_VALUE"""),5860.0)</f>
        <v>5860</v>
      </c>
      <c r="H1455" s="5">
        <f>IFERROR(__xludf.DUMMYFUNCTION("""COMPUTED_VALUE"""),1166.0)</f>
        <v>1166</v>
      </c>
    </row>
    <row r="1456">
      <c r="A1456" s="4">
        <f>IFERROR(__xludf.DUMMYFUNCTION("""COMPUTED_VALUE"""),43824.0)</f>
        <v>43824</v>
      </c>
      <c r="B1456" s="5">
        <f>IFERROR(__xludf.DUMMYFUNCTION("""COMPUTED_VALUE"""),1028.0)</f>
        <v>1028</v>
      </c>
      <c r="C1456" s="6">
        <f>IFERROR(__xludf.DUMMYFUNCTION("""COMPUTED_VALUE"""),0.4717)</f>
        <v>0.4717</v>
      </c>
      <c r="D1456" s="2">
        <f>IFERROR(__xludf.DUMMYFUNCTION("""COMPUTED_VALUE"""),0.0013657407407407407)</f>
        <v>0.001365740741</v>
      </c>
      <c r="E1456" s="1">
        <f>IFERROR(__xludf.DUMMYFUNCTION("""COMPUTED_VALUE"""),1.2)</f>
        <v>1.2</v>
      </c>
      <c r="F1456" s="1">
        <f>IFERROR(__xludf.DUMMYFUNCTION("""COMPUTED_VALUE"""),3.35)</f>
        <v>3.35</v>
      </c>
      <c r="G1456" s="5">
        <f>IFERROR(__xludf.DUMMYFUNCTION("""COMPUTED_VALUE"""),4138.0)</f>
        <v>4138</v>
      </c>
      <c r="H1456" s="5">
        <f>IFERROR(__xludf.DUMMYFUNCTION("""COMPUTED_VALUE"""),1236.0)</f>
        <v>1236</v>
      </c>
    </row>
    <row r="1457">
      <c r="A1457" s="4">
        <f>IFERROR(__xludf.DUMMYFUNCTION("""COMPUTED_VALUE"""),43825.0)</f>
        <v>43825</v>
      </c>
      <c r="B1457" s="5">
        <f>IFERROR(__xludf.DUMMYFUNCTION("""COMPUTED_VALUE"""),1555.0)</f>
        <v>1555</v>
      </c>
      <c r="C1457" s="6">
        <f>IFERROR(__xludf.DUMMYFUNCTION("""COMPUTED_VALUE"""),0.4593)</f>
        <v>0.4593</v>
      </c>
      <c r="D1457" s="2">
        <f>IFERROR(__xludf.DUMMYFUNCTION("""COMPUTED_VALUE"""),0.0022222222222222222)</f>
        <v>0.002222222222</v>
      </c>
      <c r="E1457" s="1">
        <f>IFERROR(__xludf.DUMMYFUNCTION("""COMPUTED_VALUE"""),1.09)</f>
        <v>1.09</v>
      </c>
      <c r="F1457" s="1">
        <f>IFERROR(__xludf.DUMMYFUNCTION("""COMPUTED_VALUE"""),4.73)</f>
        <v>4.73</v>
      </c>
      <c r="G1457" s="5">
        <f>IFERROR(__xludf.DUMMYFUNCTION("""COMPUTED_VALUE"""),8012.0)</f>
        <v>8012</v>
      </c>
      <c r="H1457" s="5">
        <f>IFERROR(__xludf.DUMMYFUNCTION("""COMPUTED_VALUE"""),1694.0)</f>
        <v>1694</v>
      </c>
    </row>
    <row r="1458">
      <c r="A1458" s="4">
        <f>IFERROR(__xludf.DUMMYFUNCTION("""COMPUTED_VALUE"""),43826.0)</f>
        <v>43826</v>
      </c>
      <c r="B1458" s="5">
        <f>IFERROR(__xludf.DUMMYFUNCTION("""COMPUTED_VALUE"""),1430.0)</f>
        <v>1430</v>
      </c>
      <c r="C1458" s="6">
        <f>IFERROR(__xludf.DUMMYFUNCTION("""COMPUTED_VALUE"""),0.5833)</f>
        <v>0.5833</v>
      </c>
      <c r="D1458" s="2">
        <f>IFERROR(__xludf.DUMMYFUNCTION("""COMPUTED_VALUE"""),0.001261574074074074)</f>
        <v>0.001261574074</v>
      </c>
      <c r="E1458" s="1">
        <f>IFERROR(__xludf.DUMMYFUNCTION("""COMPUTED_VALUE"""),1.05)</f>
        <v>1.05</v>
      </c>
      <c r="F1458" s="1">
        <f>IFERROR(__xludf.DUMMYFUNCTION("""COMPUTED_VALUE"""),3.32)</f>
        <v>3.32</v>
      </c>
      <c r="G1458" s="5">
        <f>IFERROR(__xludf.DUMMYFUNCTION("""COMPUTED_VALUE"""),4985.0)</f>
        <v>4985</v>
      </c>
      <c r="H1458" s="5">
        <f>IFERROR(__xludf.DUMMYFUNCTION("""COMPUTED_VALUE"""),1500.0)</f>
        <v>1500</v>
      </c>
    </row>
    <row r="1459">
      <c r="A1459" s="4">
        <f>IFERROR(__xludf.DUMMYFUNCTION("""COMPUTED_VALUE"""),43827.0)</f>
        <v>43827</v>
      </c>
      <c r="B1459" s="1">
        <f>IFERROR(__xludf.DUMMYFUNCTION("""COMPUTED_VALUE"""),944.0)</f>
        <v>944</v>
      </c>
      <c r="C1459" s="6">
        <f>IFERROR(__xludf.DUMMYFUNCTION("""COMPUTED_VALUE"""),0.4875)</f>
        <v>0.4875</v>
      </c>
      <c r="D1459" s="2">
        <f>IFERROR(__xludf.DUMMYFUNCTION("""COMPUTED_VALUE"""),0.0021527777777777778)</f>
        <v>0.002152777778</v>
      </c>
      <c r="E1459" s="1">
        <f>IFERROR(__xludf.DUMMYFUNCTION("""COMPUTED_VALUE"""),1.15)</f>
        <v>1.15</v>
      </c>
      <c r="F1459" s="1">
        <f>IFERROR(__xludf.DUMMYFUNCTION("""COMPUTED_VALUE"""),4.08)</f>
        <v>4.08</v>
      </c>
      <c r="G1459" s="5">
        <f>IFERROR(__xludf.DUMMYFUNCTION("""COMPUTED_VALUE"""),4416.0)</f>
        <v>4416</v>
      </c>
      <c r="H1459" s="5">
        <f>IFERROR(__xludf.DUMMYFUNCTION("""COMPUTED_VALUE"""),1083.0)</f>
        <v>1083</v>
      </c>
    </row>
    <row r="1460">
      <c r="A1460" s="4">
        <f>IFERROR(__xludf.DUMMYFUNCTION("""COMPUTED_VALUE"""),43828.0)</f>
        <v>43828</v>
      </c>
      <c r="B1460" s="5">
        <f>IFERROR(__xludf.DUMMYFUNCTION("""COMPUTED_VALUE"""),1111.0)</f>
        <v>1111</v>
      </c>
      <c r="C1460" s="6">
        <f>IFERROR(__xludf.DUMMYFUNCTION("""COMPUTED_VALUE"""),0.4168)</f>
        <v>0.4168</v>
      </c>
      <c r="D1460" s="2">
        <f>IFERROR(__xludf.DUMMYFUNCTION("""COMPUTED_VALUE"""),0.0017939814814814815)</f>
        <v>0.001793981481</v>
      </c>
      <c r="E1460" s="1">
        <f>IFERROR(__xludf.DUMMYFUNCTION("""COMPUTED_VALUE"""),1.05)</f>
        <v>1.05</v>
      </c>
      <c r="F1460" s="1">
        <f>IFERROR(__xludf.DUMMYFUNCTION("""COMPUTED_VALUE"""),4.45)</f>
        <v>4.45</v>
      </c>
      <c r="G1460" s="5">
        <f>IFERROR(__xludf.DUMMYFUNCTION("""COMPUTED_VALUE"""),5193.0)</f>
        <v>5193</v>
      </c>
      <c r="H1460" s="5">
        <f>IFERROR(__xludf.DUMMYFUNCTION("""COMPUTED_VALUE"""),1166.0)</f>
        <v>1166</v>
      </c>
    </row>
    <row r="1461">
      <c r="A1461" s="4">
        <f>IFERROR(__xludf.DUMMYFUNCTION("""COMPUTED_VALUE"""),43829.0)</f>
        <v>43829</v>
      </c>
      <c r="B1461" s="5">
        <f>IFERROR(__xludf.DUMMYFUNCTION("""COMPUTED_VALUE"""),1555.0)</f>
        <v>1555</v>
      </c>
      <c r="C1461" s="6">
        <f>IFERROR(__xludf.DUMMYFUNCTION("""COMPUTED_VALUE"""),0.4631)</f>
        <v>0.4631</v>
      </c>
      <c r="D1461" s="2">
        <f>IFERROR(__xludf.DUMMYFUNCTION("""COMPUTED_VALUE"""),0.0013425925925925925)</f>
        <v>0.001342592593</v>
      </c>
      <c r="E1461" s="1">
        <f>IFERROR(__xludf.DUMMYFUNCTION("""COMPUTED_VALUE"""),1.1)</f>
        <v>1.1</v>
      </c>
      <c r="F1461" s="1">
        <f>IFERROR(__xludf.DUMMYFUNCTION("""COMPUTED_VALUE"""),3.33)</f>
        <v>3.33</v>
      </c>
      <c r="G1461" s="5">
        <f>IFERROR(__xludf.DUMMYFUNCTION("""COMPUTED_VALUE"""),5693.0)</f>
        <v>5693</v>
      </c>
      <c r="H1461" s="5">
        <f>IFERROR(__xludf.DUMMYFUNCTION("""COMPUTED_VALUE"""),1708.0)</f>
        <v>1708</v>
      </c>
    </row>
    <row r="1462">
      <c r="A1462" s="4">
        <f>IFERROR(__xludf.DUMMYFUNCTION("""COMPUTED_VALUE"""),43830.0)</f>
        <v>43830</v>
      </c>
      <c r="B1462" s="1">
        <f>IFERROR(__xludf.DUMMYFUNCTION("""COMPUTED_VALUE"""),861.0)</f>
        <v>861</v>
      </c>
      <c r="C1462" s="6">
        <f>IFERROR(__xludf.DUMMYFUNCTION("""COMPUTED_VALUE"""),0.4379)</f>
        <v>0.4379</v>
      </c>
      <c r="D1462" s="2">
        <f>IFERROR(__xludf.DUMMYFUNCTION("""COMPUTED_VALUE"""),0.0016435185185185185)</f>
        <v>0.001643518519</v>
      </c>
      <c r="E1462" s="1">
        <f>IFERROR(__xludf.DUMMYFUNCTION("""COMPUTED_VALUE"""),1.18)</f>
        <v>1.18</v>
      </c>
      <c r="F1462" s="1">
        <f>IFERROR(__xludf.DUMMYFUNCTION("""COMPUTED_VALUE"""),4.11)</f>
        <v>4.11</v>
      </c>
      <c r="G1462" s="5">
        <f>IFERROR(__xludf.DUMMYFUNCTION("""COMPUTED_VALUE"""),4166.0)</f>
        <v>4166</v>
      </c>
      <c r="H1462" s="5">
        <f>IFERROR(__xludf.DUMMYFUNCTION("""COMPUTED_VALUE"""),1014.0)</f>
        <v>1014</v>
      </c>
    </row>
    <row r="1463">
      <c r="A1463" s="4">
        <f>IFERROR(__xludf.DUMMYFUNCTION("""COMPUTED_VALUE"""),43831.0)</f>
        <v>43831</v>
      </c>
      <c r="B1463" s="5">
        <f>IFERROR(__xludf.DUMMYFUNCTION("""COMPUTED_VALUE"""),1180.0)</f>
        <v>1180</v>
      </c>
      <c r="C1463" s="6">
        <f>IFERROR(__xludf.DUMMYFUNCTION("""COMPUTED_VALUE"""),0.4584)</f>
        <v>0.4584</v>
      </c>
      <c r="D1463" s="2">
        <f>IFERROR(__xludf.DUMMYFUNCTION("""COMPUTED_VALUE"""),0.0030324074074074073)</f>
        <v>0.003032407407</v>
      </c>
      <c r="E1463" s="1">
        <f>IFERROR(__xludf.DUMMYFUNCTION("""COMPUTED_VALUE"""),1.13)</f>
        <v>1.13</v>
      </c>
      <c r="F1463" s="1">
        <f>IFERROR(__xludf.DUMMYFUNCTION("""COMPUTED_VALUE"""),4.78)</f>
        <v>4.78</v>
      </c>
      <c r="G1463" s="5">
        <f>IFERROR(__xludf.DUMMYFUNCTION("""COMPUTED_VALUE"""),6373.0)</f>
        <v>6373</v>
      </c>
      <c r="H1463" s="5">
        <f>IFERROR(__xludf.DUMMYFUNCTION("""COMPUTED_VALUE"""),1333.0)</f>
        <v>1333</v>
      </c>
    </row>
    <row r="1464">
      <c r="A1464" s="4">
        <f>IFERROR(__xludf.DUMMYFUNCTION("""COMPUTED_VALUE"""),43832.0)</f>
        <v>43832</v>
      </c>
      <c r="B1464" s="5">
        <f>IFERROR(__xludf.DUMMYFUNCTION("""COMPUTED_VALUE"""),1736.0)</f>
        <v>1736</v>
      </c>
      <c r="C1464" s="6">
        <f>IFERROR(__xludf.DUMMYFUNCTION("""COMPUTED_VALUE"""),0.5506)</f>
        <v>0.5506</v>
      </c>
      <c r="D1464" s="2">
        <f>IFERROR(__xludf.DUMMYFUNCTION("""COMPUTED_VALUE"""),0.0011226851851851851)</f>
        <v>0.001122685185</v>
      </c>
      <c r="E1464" s="1">
        <f>IFERROR(__xludf.DUMMYFUNCTION("""COMPUTED_VALUE"""),1.1)</f>
        <v>1.1</v>
      </c>
      <c r="F1464" s="1">
        <f>IFERROR(__xludf.DUMMYFUNCTION("""COMPUTED_VALUE"""),3.33)</f>
        <v>3.33</v>
      </c>
      <c r="G1464" s="5">
        <f>IFERROR(__xludf.DUMMYFUNCTION("""COMPUTED_VALUE"""),6387.0)</f>
        <v>6387</v>
      </c>
      <c r="H1464" s="5">
        <f>IFERROR(__xludf.DUMMYFUNCTION("""COMPUTED_VALUE"""),1916.0)</f>
        <v>1916</v>
      </c>
    </row>
    <row r="1465">
      <c r="A1465" s="4">
        <f>IFERROR(__xludf.DUMMYFUNCTION("""COMPUTED_VALUE"""),43833.0)</f>
        <v>43833</v>
      </c>
      <c r="B1465" s="5">
        <f>IFERROR(__xludf.DUMMYFUNCTION("""COMPUTED_VALUE"""),1527.0)</f>
        <v>1527</v>
      </c>
      <c r="C1465" s="6">
        <f>IFERROR(__xludf.DUMMYFUNCTION("""COMPUTED_VALUE"""),0.4529)</f>
        <v>0.4529</v>
      </c>
      <c r="D1465" s="2">
        <f>IFERROR(__xludf.DUMMYFUNCTION("""COMPUTED_VALUE"""),0.0019328703703703704)</f>
        <v>0.00193287037</v>
      </c>
      <c r="E1465" s="1">
        <f>IFERROR(__xludf.DUMMYFUNCTION("""COMPUTED_VALUE"""),1.06)</f>
        <v>1.06</v>
      </c>
      <c r="F1465" s="1">
        <f>IFERROR(__xludf.DUMMYFUNCTION("""COMPUTED_VALUE"""),4.36)</f>
        <v>4.36</v>
      </c>
      <c r="G1465" s="5">
        <f>IFERROR(__xludf.DUMMYFUNCTION("""COMPUTED_VALUE"""),7082.0)</f>
        <v>7082</v>
      </c>
      <c r="H1465" s="5">
        <f>IFERROR(__xludf.DUMMYFUNCTION("""COMPUTED_VALUE"""),1625.0)</f>
        <v>1625</v>
      </c>
    </row>
    <row r="1466">
      <c r="A1466" s="4">
        <f>IFERROR(__xludf.DUMMYFUNCTION("""COMPUTED_VALUE"""),43834.0)</f>
        <v>43834</v>
      </c>
      <c r="B1466" s="5">
        <f>IFERROR(__xludf.DUMMYFUNCTION("""COMPUTED_VALUE"""),1194.0)</f>
        <v>1194</v>
      </c>
      <c r="C1466" s="6">
        <f>IFERROR(__xludf.DUMMYFUNCTION("""COMPUTED_VALUE"""),0.5809)</f>
        <v>0.5809</v>
      </c>
      <c r="D1466" s="2">
        <f>IFERROR(__xludf.DUMMYFUNCTION("""COMPUTED_VALUE"""),0.0013194444444444445)</f>
        <v>0.001319444444</v>
      </c>
      <c r="E1466" s="1">
        <f>IFERROR(__xludf.DUMMYFUNCTION("""COMPUTED_VALUE"""),1.08)</f>
        <v>1.08</v>
      </c>
      <c r="F1466" s="1">
        <f>IFERROR(__xludf.DUMMYFUNCTION("""COMPUTED_VALUE"""),3.75)</f>
        <v>3.75</v>
      </c>
      <c r="G1466" s="5">
        <f>IFERROR(__xludf.DUMMYFUNCTION("""COMPUTED_VALUE"""),4846.0)</f>
        <v>4846</v>
      </c>
      <c r="H1466" s="5">
        <f>IFERROR(__xludf.DUMMYFUNCTION("""COMPUTED_VALUE"""),1291.0)</f>
        <v>1291</v>
      </c>
    </row>
    <row r="1467">
      <c r="A1467" s="4">
        <f>IFERROR(__xludf.DUMMYFUNCTION("""COMPUTED_VALUE"""),43835.0)</f>
        <v>43835</v>
      </c>
      <c r="B1467" s="5">
        <f>IFERROR(__xludf.DUMMYFUNCTION("""COMPUTED_VALUE"""),1152.0)</f>
        <v>1152</v>
      </c>
      <c r="C1467" s="6">
        <f>IFERROR(__xludf.DUMMYFUNCTION("""COMPUTED_VALUE"""),0.3748)</f>
        <v>0.3748</v>
      </c>
      <c r="D1467" s="2">
        <f>IFERROR(__xludf.DUMMYFUNCTION("""COMPUTED_VALUE"""),0.001851851851851852)</f>
        <v>0.001851851852</v>
      </c>
      <c r="E1467" s="1">
        <f>IFERROR(__xludf.DUMMYFUNCTION("""COMPUTED_VALUE"""),1.06)</f>
        <v>1.06</v>
      </c>
      <c r="F1467" s="1">
        <f>IFERROR(__xludf.DUMMYFUNCTION("""COMPUTED_VALUE"""),3.93)</f>
        <v>3.93</v>
      </c>
      <c r="G1467" s="5">
        <f>IFERROR(__xludf.DUMMYFUNCTION("""COMPUTED_VALUE"""),4804.0)</f>
        <v>4804</v>
      </c>
      <c r="H1467" s="5">
        <f>IFERROR(__xludf.DUMMYFUNCTION("""COMPUTED_VALUE"""),1222.0)</f>
        <v>1222</v>
      </c>
    </row>
    <row r="1468">
      <c r="A1468" s="4">
        <f>IFERROR(__xludf.DUMMYFUNCTION("""COMPUTED_VALUE"""),43836.0)</f>
        <v>43836</v>
      </c>
      <c r="B1468" s="5">
        <f>IFERROR(__xludf.DUMMYFUNCTION("""COMPUTED_VALUE"""),2111.0)</f>
        <v>2111</v>
      </c>
      <c r="C1468" s="6">
        <f>IFERROR(__xludf.DUMMYFUNCTION("""COMPUTED_VALUE"""),0.3851)</f>
        <v>0.3851</v>
      </c>
      <c r="D1468" s="2">
        <f>IFERROR(__xludf.DUMMYFUNCTION("""COMPUTED_VALUE"""),0.0017592592592592592)</f>
        <v>0.001759259259</v>
      </c>
      <c r="E1468" s="1">
        <f>IFERROR(__xludf.DUMMYFUNCTION("""COMPUTED_VALUE"""),1.06)</f>
        <v>1.06</v>
      </c>
      <c r="F1468" s="1">
        <f>IFERROR(__xludf.DUMMYFUNCTION("""COMPUTED_VALUE"""),4.39)</f>
        <v>4.39</v>
      </c>
      <c r="G1468" s="5">
        <f>IFERROR(__xludf.DUMMYFUNCTION("""COMPUTED_VALUE"""),9817.0)</f>
        <v>9817</v>
      </c>
      <c r="H1468" s="5">
        <f>IFERROR(__xludf.DUMMYFUNCTION("""COMPUTED_VALUE"""),2236.0)</f>
        <v>2236</v>
      </c>
    </row>
    <row r="1469">
      <c r="A1469" s="4">
        <f>IFERROR(__xludf.DUMMYFUNCTION("""COMPUTED_VALUE"""),43837.0)</f>
        <v>43837</v>
      </c>
      <c r="B1469" s="5">
        <f>IFERROR(__xludf.DUMMYFUNCTION("""COMPUTED_VALUE"""),2111.0)</f>
        <v>2111</v>
      </c>
      <c r="C1469" s="6">
        <f>IFERROR(__xludf.DUMMYFUNCTION("""COMPUTED_VALUE"""),0.3926)</f>
        <v>0.3926</v>
      </c>
      <c r="D1469" s="2">
        <f>IFERROR(__xludf.DUMMYFUNCTION("""COMPUTED_VALUE"""),0.0016203703703703703)</f>
        <v>0.00162037037</v>
      </c>
      <c r="E1469" s="1">
        <f>IFERROR(__xludf.DUMMYFUNCTION("""COMPUTED_VALUE"""),1.11)</f>
        <v>1.11</v>
      </c>
      <c r="F1469" s="1">
        <f>IFERROR(__xludf.DUMMYFUNCTION("""COMPUTED_VALUE"""),3.92)</f>
        <v>3.92</v>
      </c>
      <c r="G1469" s="5">
        <f>IFERROR(__xludf.DUMMYFUNCTION("""COMPUTED_VALUE"""),9137.0)</f>
        <v>9137</v>
      </c>
      <c r="H1469" s="5">
        <f>IFERROR(__xludf.DUMMYFUNCTION("""COMPUTED_VALUE"""),2333.0)</f>
        <v>2333</v>
      </c>
    </row>
    <row r="1470">
      <c r="A1470" s="4">
        <f>IFERROR(__xludf.DUMMYFUNCTION("""COMPUTED_VALUE"""),43838.0)</f>
        <v>43838</v>
      </c>
      <c r="B1470" s="5">
        <f>IFERROR(__xludf.DUMMYFUNCTION("""COMPUTED_VALUE"""),2333.0)</f>
        <v>2333</v>
      </c>
      <c r="C1470" s="6">
        <f>IFERROR(__xludf.DUMMYFUNCTION("""COMPUTED_VALUE"""),0.4866)</f>
        <v>0.4866</v>
      </c>
      <c r="D1470" s="2">
        <f>IFERROR(__xludf.DUMMYFUNCTION("""COMPUTED_VALUE"""),0.0014467592592592592)</f>
        <v>0.001446759259</v>
      </c>
      <c r="E1470" s="1">
        <f>IFERROR(__xludf.DUMMYFUNCTION("""COMPUTED_VALUE"""),1.1)</f>
        <v>1.1</v>
      </c>
      <c r="F1470" s="1">
        <f>IFERROR(__xludf.DUMMYFUNCTION("""COMPUTED_VALUE"""),4.02)</f>
        <v>4.02</v>
      </c>
      <c r="G1470" s="5">
        <f>IFERROR(__xludf.DUMMYFUNCTION("""COMPUTED_VALUE"""),10331.0)</f>
        <v>10331</v>
      </c>
      <c r="H1470" s="5">
        <f>IFERROR(__xludf.DUMMYFUNCTION("""COMPUTED_VALUE"""),2569.0)</f>
        <v>2569</v>
      </c>
    </row>
    <row r="1471">
      <c r="A1471" s="4">
        <f>IFERROR(__xludf.DUMMYFUNCTION("""COMPUTED_VALUE"""),43839.0)</f>
        <v>43839</v>
      </c>
      <c r="B1471" s="5">
        <f>IFERROR(__xludf.DUMMYFUNCTION("""COMPUTED_VALUE"""),2138.0)</f>
        <v>2138</v>
      </c>
      <c r="C1471" s="6">
        <f>IFERROR(__xludf.DUMMYFUNCTION("""COMPUTED_VALUE"""),0.4939)</f>
        <v>0.4939</v>
      </c>
      <c r="D1471" s="2">
        <f>IFERROR(__xludf.DUMMYFUNCTION("""COMPUTED_VALUE"""),0.002025462962962963)</f>
        <v>0.002025462963</v>
      </c>
      <c r="E1471" s="1">
        <f>IFERROR(__xludf.DUMMYFUNCTION("""COMPUTED_VALUE"""),1.1)</f>
        <v>1.1</v>
      </c>
      <c r="F1471" s="1">
        <f>IFERROR(__xludf.DUMMYFUNCTION("""COMPUTED_VALUE"""),4.42)</f>
        <v>4.42</v>
      </c>
      <c r="G1471" s="5">
        <f>IFERROR(__xludf.DUMMYFUNCTION("""COMPUTED_VALUE"""),10442.0)</f>
        <v>10442</v>
      </c>
      <c r="H1471" s="5">
        <f>IFERROR(__xludf.DUMMYFUNCTION("""COMPUTED_VALUE"""),2361.0)</f>
        <v>2361</v>
      </c>
    </row>
    <row r="1472">
      <c r="A1472" s="4">
        <f>IFERROR(__xludf.DUMMYFUNCTION("""COMPUTED_VALUE"""),43840.0)</f>
        <v>43840</v>
      </c>
      <c r="B1472" s="5">
        <f>IFERROR(__xludf.DUMMYFUNCTION("""COMPUTED_VALUE"""),1847.0)</f>
        <v>1847</v>
      </c>
      <c r="C1472" s="6">
        <f>IFERROR(__xludf.DUMMYFUNCTION("""COMPUTED_VALUE"""),0.4229)</f>
        <v>0.4229</v>
      </c>
      <c r="D1472" s="2">
        <f>IFERROR(__xludf.DUMMYFUNCTION("""COMPUTED_VALUE"""),0.0027199074074074074)</f>
        <v>0.002719907407</v>
      </c>
      <c r="E1472" s="1">
        <f>IFERROR(__xludf.DUMMYFUNCTION("""COMPUTED_VALUE"""),1.12)</f>
        <v>1.12</v>
      </c>
      <c r="F1472" s="1">
        <f>IFERROR(__xludf.DUMMYFUNCTION("""COMPUTED_VALUE"""),5.16)</f>
        <v>5.16</v>
      </c>
      <c r="G1472" s="5">
        <f>IFERROR(__xludf.DUMMYFUNCTION("""COMPUTED_VALUE"""),10678.0)</f>
        <v>10678</v>
      </c>
      <c r="H1472" s="5">
        <f>IFERROR(__xludf.DUMMYFUNCTION("""COMPUTED_VALUE"""),2069.0)</f>
        <v>2069</v>
      </c>
    </row>
    <row r="1473">
      <c r="A1473" s="4">
        <f>IFERROR(__xludf.DUMMYFUNCTION("""COMPUTED_VALUE"""),43841.0)</f>
        <v>43841</v>
      </c>
      <c r="B1473" s="5">
        <f>IFERROR(__xludf.DUMMYFUNCTION("""COMPUTED_VALUE"""),1277.0)</f>
        <v>1277</v>
      </c>
      <c r="C1473" s="6">
        <f>IFERROR(__xludf.DUMMYFUNCTION("""COMPUTED_VALUE"""),0.5317)</f>
        <v>0.5317</v>
      </c>
      <c r="D1473" s="2">
        <f>IFERROR(__xludf.DUMMYFUNCTION("""COMPUTED_VALUE"""),0.0024537037037037036)</f>
        <v>0.002453703704</v>
      </c>
      <c r="E1473" s="1">
        <f>IFERROR(__xludf.DUMMYFUNCTION("""COMPUTED_VALUE"""),1.19)</f>
        <v>1.19</v>
      </c>
      <c r="F1473" s="1">
        <f>IFERROR(__xludf.DUMMYFUNCTION("""COMPUTED_VALUE"""),4.75)</f>
        <v>4.75</v>
      </c>
      <c r="G1473" s="5">
        <f>IFERROR(__xludf.DUMMYFUNCTION("""COMPUTED_VALUE"""),7193.0)</f>
        <v>7193</v>
      </c>
      <c r="H1473" s="5">
        <f>IFERROR(__xludf.DUMMYFUNCTION("""COMPUTED_VALUE"""),1514.0)</f>
        <v>1514</v>
      </c>
    </row>
    <row r="1474">
      <c r="A1474" s="4">
        <f>IFERROR(__xludf.DUMMYFUNCTION("""COMPUTED_VALUE"""),43842.0)</f>
        <v>43842</v>
      </c>
      <c r="B1474" s="5">
        <f>IFERROR(__xludf.DUMMYFUNCTION("""COMPUTED_VALUE"""),1305.0)</f>
        <v>1305</v>
      </c>
      <c r="C1474" s="6">
        <f>IFERROR(__xludf.DUMMYFUNCTION("""COMPUTED_VALUE"""),0.4579)</f>
        <v>0.4579</v>
      </c>
      <c r="D1474" s="2">
        <f>IFERROR(__xludf.DUMMYFUNCTION("""COMPUTED_VALUE"""),0.0025694444444444445)</f>
        <v>0.002569444444</v>
      </c>
      <c r="E1474" s="1">
        <f>IFERROR(__xludf.DUMMYFUNCTION("""COMPUTED_VALUE"""),1.26)</f>
        <v>1.26</v>
      </c>
      <c r="F1474" s="1">
        <f>IFERROR(__xludf.DUMMYFUNCTION("""COMPUTED_VALUE"""),4.45)</f>
        <v>4.45</v>
      </c>
      <c r="G1474" s="5">
        <f>IFERROR(__xludf.DUMMYFUNCTION("""COMPUTED_VALUE"""),7290.0)</f>
        <v>7290</v>
      </c>
      <c r="H1474" s="5">
        <f>IFERROR(__xludf.DUMMYFUNCTION("""COMPUTED_VALUE"""),1638.0)</f>
        <v>1638</v>
      </c>
    </row>
    <row r="1475">
      <c r="A1475" s="4">
        <f>IFERROR(__xludf.DUMMYFUNCTION("""COMPUTED_VALUE"""),43843.0)</f>
        <v>43843</v>
      </c>
      <c r="B1475" s="5">
        <f>IFERROR(__xludf.DUMMYFUNCTION("""COMPUTED_VALUE"""),2402.0)</f>
        <v>2402</v>
      </c>
      <c r="C1475" s="6">
        <f>IFERROR(__xludf.DUMMYFUNCTION("""COMPUTED_VALUE"""),0.457)</f>
        <v>0.457</v>
      </c>
      <c r="D1475" s="2">
        <f>IFERROR(__xludf.DUMMYFUNCTION("""COMPUTED_VALUE"""),0.0020717592592592593)</f>
        <v>0.002071759259</v>
      </c>
      <c r="E1475" s="1">
        <f>IFERROR(__xludf.DUMMYFUNCTION("""COMPUTED_VALUE"""),1.14)</f>
        <v>1.14</v>
      </c>
      <c r="F1475" s="1">
        <f>IFERROR(__xludf.DUMMYFUNCTION("""COMPUTED_VALUE"""),4.03)</f>
        <v>4.03</v>
      </c>
      <c r="G1475" s="5">
        <f>IFERROR(__xludf.DUMMYFUNCTION("""COMPUTED_VALUE"""),11011.0)</f>
        <v>11011</v>
      </c>
      <c r="H1475" s="5">
        <f>IFERROR(__xludf.DUMMYFUNCTION("""COMPUTED_VALUE"""),2735.0)</f>
        <v>2735</v>
      </c>
    </row>
    <row r="1476">
      <c r="A1476" s="4">
        <f>IFERROR(__xludf.DUMMYFUNCTION("""COMPUTED_VALUE"""),43844.0)</f>
        <v>43844</v>
      </c>
      <c r="B1476" s="5">
        <f>IFERROR(__xludf.DUMMYFUNCTION("""COMPUTED_VALUE"""),2152.0)</f>
        <v>2152</v>
      </c>
      <c r="C1476" s="6">
        <f>IFERROR(__xludf.DUMMYFUNCTION("""COMPUTED_VALUE"""),0.4142)</f>
        <v>0.4142</v>
      </c>
      <c r="D1476" s="2">
        <f>IFERROR(__xludf.DUMMYFUNCTION("""COMPUTED_VALUE"""),0.0019097222222222222)</f>
        <v>0.001909722222</v>
      </c>
      <c r="E1476" s="1">
        <f>IFERROR(__xludf.DUMMYFUNCTION("""COMPUTED_VALUE"""),1.17)</f>
        <v>1.17</v>
      </c>
      <c r="F1476" s="1">
        <f>IFERROR(__xludf.DUMMYFUNCTION("""COMPUTED_VALUE"""),4.43)</f>
        <v>4.43</v>
      </c>
      <c r="G1476" s="5">
        <f>IFERROR(__xludf.DUMMYFUNCTION("""COMPUTED_VALUE"""),11122.0)</f>
        <v>11122</v>
      </c>
      <c r="H1476" s="5">
        <f>IFERROR(__xludf.DUMMYFUNCTION("""COMPUTED_VALUE"""),2513.0)</f>
        <v>2513</v>
      </c>
    </row>
    <row r="1477">
      <c r="A1477" s="4">
        <f>IFERROR(__xludf.DUMMYFUNCTION("""COMPUTED_VALUE"""),43845.0)</f>
        <v>43845</v>
      </c>
      <c r="B1477" s="5">
        <f>IFERROR(__xludf.DUMMYFUNCTION("""COMPUTED_VALUE"""),2249.0)</f>
        <v>2249</v>
      </c>
      <c r="C1477" s="6">
        <f>IFERROR(__xludf.DUMMYFUNCTION("""COMPUTED_VALUE"""),0.4262)</f>
        <v>0.4262</v>
      </c>
      <c r="D1477" s="2">
        <f>IFERROR(__xludf.DUMMYFUNCTION("""COMPUTED_VALUE"""),0.0023263888888888887)</f>
        <v>0.002326388889</v>
      </c>
      <c r="E1477" s="1">
        <f>IFERROR(__xludf.DUMMYFUNCTION("""COMPUTED_VALUE"""),1.13)</f>
        <v>1.13</v>
      </c>
      <c r="F1477" s="1">
        <f>IFERROR(__xludf.DUMMYFUNCTION("""COMPUTED_VALUE"""),4.57)</f>
        <v>4.57</v>
      </c>
      <c r="G1477" s="5">
        <f>IFERROR(__xludf.DUMMYFUNCTION("""COMPUTED_VALUE"""),11622.0)</f>
        <v>11622</v>
      </c>
      <c r="H1477" s="5">
        <f>IFERROR(__xludf.DUMMYFUNCTION("""COMPUTED_VALUE"""),2541.0)</f>
        <v>2541</v>
      </c>
    </row>
    <row r="1478">
      <c r="A1478" s="4">
        <f>IFERROR(__xludf.DUMMYFUNCTION("""COMPUTED_VALUE"""),43846.0)</f>
        <v>43846</v>
      </c>
      <c r="B1478" s="5">
        <f>IFERROR(__xludf.DUMMYFUNCTION("""COMPUTED_VALUE"""),2319.0)</f>
        <v>2319</v>
      </c>
      <c r="C1478" s="6">
        <f>IFERROR(__xludf.DUMMYFUNCTION("""COMPUTED_VALUE"""),0.4652)</f>
        <v>0.4652</v>
      </c>
      <c r="D1478" s="2">
        <f>IFERROR(__xludf.DUMMYFUNCTION("""COMPUTED_VALUE"""),0.0025925925925925925)</f>
        <v>0.002592592593</v>
      </c>
      <c r="E1478" s="1">
        <f>IFERROR(__xludf.DUMMYFUNCTION("""COMPUTED_VALUE"""),1.12)</f>
        <v>1.12</v>
      </c>
      <c r="F1478" s="1">
        <f>IFERROR(__xludf.DUMMYFUNCTION("""COMPUTED_VALUE"""),4.5)</f>
        <v>4.5</v>
      </c>
      <c r="G1478" s="5">
        <f>IFERROR(__xludf.DUMMYFUNCTION("""COMPUTED_VALUE"""),11691.0)</f>
        <v>11691</v>
      </c>
      <c r="H1478" s="5">
        <f>IFERROR(__xludf.DUMMYFUNCTION("""COMPUTED_VALUE"""),2597.0)</f>
        <v>2597</v>
      </c>
    </row>
    <row r="1479">
      <c r="A1479" s="4">
        <f>IFERROR(__xludf.DUMMYFUNCTION("""COMPUTED_VALUE"""),43847.0)</f>
        <v>43847</v>
      </c>
      <c r="B1479" s="5">
        <f>IFERROR(__xludf.DUMMYFUNCTION("""COMPUTED_VALUE"""),1888.0)</f>
        <v>1888</v>
      </c>
      <c r="C1479" s="6">
        <f>IFERROR(__xludf.DUMMYFUNCTION("""COMPUTED_VALUE"""),0.4769)</f>
        <v>0.4769</v>
      </c>
      <c r="D1479" s="2">
        <f>IFERROR(__xludf.DUMMYFUNCTION("""COMPUTED_VALUE"""),0.0018287037037037037)</f>
        <v>0.001828703704</v>
      </c>
      <c r="E1479" s="1">
        <f>IFERROR(__xludf.DUMMYFUNCTION("""COMPUTED_VALUE"""),1.11)</f>
        <v>1.11</v>
      </c>
      <c r="F1479" s="1">
        <f>IFERROR(__xludf.DUMMYFUNCTION("""COMPUTED_VALUE"""),5.36)</f>
        <v>5.36</v>
      </c>
      <c r="G1479" s="5">
        <f>IFERROR(__xludf.DUMMYFUNCTION("""COMPUTED_VALUE"""),11247.0)</f>
        <v>11247</v>
      </c>
      <c r="H1479" s="5">
        <f>IFERROR(__xludf.DUMMYFUNCTION("""COMPUTED_VALUE"""),2097.0)</f>
        <v>2097</v>
      </c>
    </row>
    <row r="1480">
      <c r="A1480" s="4">
        <f>IFERROR(__xludf.DUMMYFUNCTION("""COMPUTED_VALUE"""),43848.0)</f>
        <v>43848</v>
      </c>
      <c r="B1480" s="5">
        <f>IFERROR(__xludf.DUMMYFUNCTION("""COMPUTED_VALUE"""),1305.0)</f>
        <v>1305</v>
      </c>
      <c r="C1480" s="6">
        <f>IFERROR(__xludf.DUMMYFUNCTION("""COMPUTED_VALUE"""),0.5047)</f>
        <v>0.5047</v>
      </c>
      <c r="D1480" s="2">
        <f>IFERROR(__xludf.DUMMYFUNCTION("""COMPUTED_VALUE"""),0.0024074074074074076)</f>
        <v>0.002407407407</v>
      </c>
      <c r="E1480" s="1">
        <f>IFERROR(__xludf.DUMMYFUNCTION("""COMPUTED_VALUE"""),1.14)</f>
        <v>1.14</v>
      </c>
      <c r="F1480" s="1">
        <f>IFERROR(__xludf.DUMMYFUNCTION("""COMPUTED_VALUE"""),4.32)</f>
        <v>4.32</v>
      </c>
      <c r="G1480" s="5">
        <f>IFERROR(__xludf.DUMMYFUNCTION("""COMPUTED_VALUE"""),6415.0)</f>
        <v>6415</v>
      </c>
      <c r="H1480" s="5">
        <f>IFERROR(__xludf.DUMMYFUNCTION("""COMPUTED_VALUE"""),1486.0)</f>
        <v>1486</v>
      </c>
    </row>
    <row r="1481">
      <c r="A1481" s="4">
        <f>IFERROR(__xludf.DUMMYFUNCTION("""COMPUTED_VALUE"""),43849.0)</f>
        <v>43849</v>
      </c>
      <c r="B1481" s="5">
        <f>IFERROR(__xludf.DUMMYFUNCTION("""COMPUTED_VALUE"""),1333.0)</f>
        <v>1333</v>
      </c>
      <c r="C1481" s="6">
        <f>IFERROR(__xludf.DUMMYFUNCTION("""COMPUTED_VALUE"""),0.519)</f>
        <v>0.519</v>
      </c>
      <c r="D1481" s="2">
        <f>IFERROR(__xludf.DUMMYFUNCTION("""COMPUTED_VALUE"""),0.0018865740740740742)</f>
        <v>0.001886574074</v>
      </c>
      <c r="E1481" s="1">
        <f>IFERROR(__xludf.DUMMYFUNCTION("""COMPUTED_VALUE"""),1.1)</f>
        <v>1.1</v>
      </c>
      <c r="F1481" s="1">
        <f>IFERROR(__xludf.DUMMYFUNCTION("""COMPUTED_VALUE"""),4.26)</f>
        <v>4.26</v>
      </c>
      <c r="G1481" s="5">
        <f>IFERROR(__xludf.DUMMYFUNCTION("""COMPUTED_VALUE"""),6276.0)</f>
        <v>6276</v>
      </c>
      <c r="H1481" s="5">
        <f>IFERROR(__xludf.DUMMYFUNCTION("""COMPUTED_VALUE"""),1472.0)</f>
        <v>1472</v>
      </c>
    </row>
    <row r="1482">
      <c r="A1482" s="4">
        <f>IFERROR(__xludf.DUMMYFUNCTION("""COMPUTED_VALUE"""),43850.0)</f>
        <v>43850</v>
      </c>
      <c r="B1482" s="5">
        <f>IFERROR(__xludf.DUMMYFUNCTION("""COMPUTED_VALUE"""),1791.0)</f>
        <v>1791</v>
      </c>
      <c r="C1482" s="6">
        <f>IFERROR(__xludf.DUMMYFUNCTION("""COMPUTED_VALUE"""),0.5208)</f>
        <v>0.5208</v>
      </c>
      <c r="D1482" s="2">
        <f>IFERROR(__xludf.DUMMYFUNCTION("""COMPUTED_VALUE"""),0.0024305555555555556)</f>
        <v>0.002430555556</v>
      </c>
      <c r="E1482" s="1">
        <f>IFERROR(__xludf.DUMMYFUNCTION("""COMPUTED_VALUE"""),1.12)</f>
        <v>1.12</v>
      </c>
      <c r="F1482" s="1">
        <f>IFERROR(__xludf.DUMMYFUNCTION("""COMPUTED_VALUE"""),4.15)</f>
        <v>4.15</v>
      </c>
      <c r="G1482" s="5">
        <f>IFERROR(__xludf.DUMMYFUNCTION("""COMPUTED_VALUE"""),8303.0)</f>
        <v>8303</v>
      </c>
      <c r="H1482" s="5">
        <f>IFERROR(__xludf.DUMMYFUNCTION("""COMPUTED_VALUE"""),1999.0)</f>
        <v>1999</v>
      </c>
    </row>
    <row r="1483">
      <c r="A1483" s="4">
        <f>IFERROR(__xludf.DUMMYFUNCTION("""COMPUTED_VALUE"""),43851.0)</f>
        <v>43851</v>
      </c>
      <c r="B1483" s="5">
        <f>IFERROR(__xludf.DUMMYFUNCTION("""COMPUTED_VALUE"""),2208.0)</f>
        <v>2208</v>
      </c>
      <c r="C1483" s="6">
        <f>IFERROR(__xludf.DUMMYFUNCTION("""COMPUTED_VALUE"""),0.4058)</f>
        <v>0.4058</v>
      </c>
      <c r="D1483" s="2">
        <f>IFERROR(__xludf.DUMMYFUNCTION("""COMPUTED_VALUE"""),0.0020486111111111113)</f>
        <v>0.002048611111</v>
      </c>
      <c r="E1483" s="1">
        <f>IFERROR(__xludf.DUMMYFUNCTION("""COMPUTED_VALUE"""),1.1)</f>
        <v>1.1</v>
      </c>
      <c r="F1483" s="1">
        <f>IFERROR(__xludf.DUMMYFUNCTION("""COMPUTED_VALUE"""),4.41)</f>
        <v>4.41</v>
      </c>
      <c r="G1483" s="5">
        <f>IFERROR(__xludf.DUMMYFUNCTION("""COMPUTED_VALUE"""),10706.0)</f>
        <v>10706</v>
      </c>
      <c r="H1483" s="5">
        <f>IFERROR(__xludf.DUMMYFUNCTION("""COMPUTED_VALUE"""),2430.0)</f>
        <v>2430</v>
      </c>
    </row>
    <row r="1484">
      <c r="A1484" s="4">
        <f>IFERROR(__xludf.DUMMYFUNCTION("""COMPUTED_VALUE"""),43852.0)</f>
        <v>43852</v>
      </c>
      <c r="B1484" s="5">
        <f>IFERROR(__xludf.DUMMYFUNCTION("""COMPUTED_VALUE"""),2263.0)</f>
        <v>2263</v>
      </c>
      <c r="C1484" s="6">
        <f>IFERROR(__xludf.DUMMYFUNCTION("""COMPUTED_VALUE"""),0.431)</f>
        <v>0.431</v>
      </c>
      <c r="D1484" s="2">
        <f>IFERROR(__xludf.DUMMYFUNCTION("""COMPUTED_VALUE"""),0.0014351851851851852)</f>
        <v>0.001435185185</v>
      </c>
      <c r="E1484" s="1">
        <f>IFERROR(__xludf.DUMMYFUNCTION("""COMPUTED_VALUE"""),1.11)</f>
        <v>1.11</v>
      </c>
      <c r="F1484" s="1">
        <f>IFERROR(__xludf.DUMMYFUNCTION("""COMPUTED_VALUE"""),3.85)</f>
        <v>3.85</v>
      </c>
      <c r="G1484" s="5">
        <f>IFERROR(__xludf.DUMMYFUNCTION("""COMPUTED_VALUE"""),9664.0)</f>
        <v>9664</v>
      </c>
      <c r="H1484" s="5">
        <f>IFERROR(__xludf.DUMMYFUNCTION("""COMPUTED_VALUE"""),2513.0)</f>
        <v>2513</v>
      </c>
    </row>
    <row r="1485">
      <c r="A1485" s="4">
        <f>IFERROR(__xludf.DUMMYFUNCTION("""COMPUTED_VALUE"""),43853.0)</f>
        <v>43853</v>
      </c>
      <c r="B1485" s="5">
        <f>IFERROR(__xludf.DUMMYFUNCTION("""COMPUTED_VALUE"""),2180.0)</f>
        <v>2180</v>
      </c>
      <c r="C1485" s="6">
        <f>IFERROR(__xludf.DUMMYFUNCTION("""COMPUTED_VALUE"""),0.412)</f>
        <v>0.412</v>
      </c>
      <c r="D1485" s="2">
        <f>IFERROR(__xludf.DUMMYFUNCTION("""COMPUTED_VALUE"""),0.0013541666666666667)</f>
        <v>0.001354166667</v>
      </c>
      <c r="E1485" s="1">
        <f>IFERROR(__xludf.DUMMYFUNCTION("""COMPUTED_VALUE"""),1.05)</f>
        <v>1.05</v>
      </c>
      <c r="F1485" s="1">
        <f>IFERROR(__xludf.DUMMYFUNCTION("""COMPUTED_VALUE"""),3.79)</f>
        <v>3.79</v>
      </c>
      <c r="G1485" s="5">
        <f>IFERROR(__xludf.DUMMYFUNCTION("""COMPUTED_VALUE"""),8692.0)</f>
        <v>8692</v>
      </c>
      <c r="H1485" s="5">
        <f>IFERROR(__xludf.DUMMYFUNCTION("""COMPUTED_VALUE"""),2291.0)</f>
        <v>2291</v>
      </c>
    </row>
    <row r="1486">
      <c r="A1486" s="4">
        <f>IFERROR(__xludf.DUMMYFUNCTION("""COMPUTED_VALUE"""),43854.0)</f>
        <v>43854</v>
      </c>
      <c r="B1486" s="5">
        <f>IFERROR(__xludf.DUMMYFUNCTION("""COMPUTED_VALUE"""),1833.0)</f>
        <v>1833</v>
      </c>
      <c r="C1486" s="6">
        <f>IFERROR(__xludf.DUMMYFUNCTION("""COMPUTED_VALUE"""),0.4716)</f>
        <v>0.4716</v>
      </c>
      <c r="D1486" s="2">
        <f>IFERROR(__xludf.DUMMYFUNCTION("""COMPUTED_VALUE"""),0.0016435185185185185)</f>
        <v>0.001643518519</v>
      </c>
      <c r="E1486" s="1">
        <f>IFERROR(__xludf.DUMMYFUNCTION("""COMPUTED_VALUE"""),1.08)</f>
        <v>1.08</v>
      </c>
      <c r="F1486" s="1">
        <f>IFERROR(__xludf.DUMMYFUNCTION("""COMPUTED_VALUE"""),4.5)</f>
        <v>4.5</v>
      </c>
      <c r="G1486" s="5">
        <f>IFERROR(__xludf.DUMMYFUNCTION("""COMPUTED_VALUE"""),8873.0)</f>
        <v>8873</v>
      </c>
      <c r="H1486" s="5">
        <f>IFERROR(__xludf.DUMMYFUNCTION("""COMPUTED_VALUE"""),1972.0)</f>
        <v>1972</v>
      </c>
    </row>
    <row r="1487">
      <c r="A1487" s="4">
        <f>IFERROR(__xludf.DUMMYFUNCTION("""COMPUTED_VALUE"""),43855.0)</f>
        <v>43855</v>
      </c>
      <c r="B1487" s="5">
        <f>IFERROR(__xludf.DUMMYFUNCTION("""COMPUTED_VALUE"""),1222.0)</f>
        <v>1222</v>
      </c>
      <c r="C1487" s="6">
        <f>IFERROR(__xludf.DUMMYFUNCTION("""COMPUTED_VALUE"""),0.4386)</f>
        <v>0.4386</v>
      </c>
      <c r="D1487" s="2">
        <f>IFERROR(__xludf.DUMMYFUNCTION("""COMPUTED_VALUE"""),0.002476851851851852)</f>
        <v>0.002476851852</v>
      </c>
      <c r="E1487" s="1">
        <f>IFERROR(__xludf.DUMMYFUNCTION("""COMPUTED_VALUE"""),1.11)</f>
        <v>1.11</v>
      </c>
      <c r="F1487" s="1">
        <f>IFERROR(__xludf.DUMMYFUNCTION("""COMPUTED_VALUE"""),5.41)</f>
        <v>5.41</v>
      </c>
      <c r="G1487" s="5">
        <f>IFERROR(__xludf.DUMMYFUNCTION("""COMPUTED_VALUE"""),7359.0)</f>
        <v>7359</v>
      </c>
      <c r="H1487" s="5">
        <f>IFERROR(__xludf.DUMMYFUNCTION("""COMPUTED_VALUE"""),1361.0)</f>
        <v>1361</v>
      </c>
    </row>
    <row r="1488">
      <c r="A1488" s="4">
        <f>IFERROR(__xludf.DUMMYFUNCTION("""COMPUTED_VALUE"""),43856.0)</f>
        <v>43856</v>
      </c>
      <c r="B1488" s="5">
        <f>IFERROR(__xludf.DUMMYFUNCTION("""COMPUTED_VALUE"""),1222.0)</f>
        <v>1222</v>
      </c>
      <c r="C1488" s="6">
        <f>IFERROR(__xludf.DUMMYFUNCTION("""COMPUTED_VALUE"""),0.4)</f>
        <v>0.4</v>
      </c>
      <c r="D1488" s="2">
        <f>IFERROR(__xludf.DUMMYFUNCTION("""COMPUTED_VALUE"""),0.0019675925925925924)</f>
        <v>0.001967592593</v>
      </c>
      <c r="E1488" s="1">
        <f>IFERROR(__xludf.DUMMYFUNCTION("""COMPUTED_VALUE"""),1.02)</f>
        <v>1.02</v>
      </c>
      <c r="F1488" s="1">
        <f>IFERROR(__xludf.DUMMYFUNCTION("""COMPUTED_VALUE"""),3.75)</f>
        <v>3.75</v>
      </c>
      <c r="G1488" s="5">
        <f>IFERROR(__xludf.DUMMYFUNCTION("""COMPUTED_VALUE"""),4693.0)</f>
        <v>4693</v>
      </c>
      <c r="H1488" s="5">
        <f>IFERROR(__xludf.DUMMYFUNCTION("""COMPUTED_VALUE"""),1250.0)</f>
        <v>1250</v>
      </c>
    </row>
    <row r="1489">
      <c r="A1489" s="4">
        <f>IFERROR(__xludf.DUMMYFUNCTION("""COMPUTED_VALUE"""),43857.0)</f>
        <v>43857</v>
      </c>
      <c r="B1489" s="5">
        <f>IFERROR(__xludf.DUMMYFUNCTION("""COMPUTED_VALUE"""),2249.0)</f>
        <v>2249</v>
      </c>
      <c r="C1489" s="6">
        <f>IFERROR(__xludf.DUMMYFUNCTION("""COMPUTED_VALUE"""),0.4603)</f>
        <v>0.4603</v>
      </c>
      <c r="D1489" s="2">
        <f>IFERROR(__xludf.DUMMYFUNCTION("""COMPUTED_VALUE"""),0.0019444444444444444)</f>
        <v>0.001944444444</v>
      </c>
      <c r="E1489" s="1">
        <f>IFERROR(__xludf.DUMMYFUNCTION("""COMPUTED_VALUE"""),1.09)</f>
        <v>1.09</v>
      </c>
      <c r="F1489" s="1">
        <f>IFERROR(__xludf.DUMMYFUNCTION("""COMPUTED_VALUE"""),4.0)</f>
        <v>4</v>
      </c>
      <c r="G1489" s="5">
        <f>IFERROR(__xludf.DUMMYFUNCTION("""COMPUTED_VALUE"""),9775.0)</f>
        <v>9775</v>
      </c>
      <c r="H1489" s="5">
        <f>IFERROR(__xludf.DUMMYFUNCTION("""COMPUTED_VALUE"""),2444.0)</f>
        <v>2444</v>
      </c>
    </row>
    <row r="1490">
      <c r="A1490" s="4">
        <f>IFERROR(__xludf.DUMMYFUNCTION("""COMPUTED_VALUE"""),43858.0)</f>
        <v>43858</v>
      </c>
      <c r="B1490" s="5">
        <f>IFERROR(__xludf.DUMMYFUNCTION("""COMPUTED_VALUE"""),2180.0)</f>
        <v>2180</v>
      </c>
      <c r="C1490" s="6">
        <f>IFERROR(__xludf.DUMMYFUNCTION("""COMPUTED_VALUE"""),0.4239)</f>
        <v>0.4239</v>
      </c>
      <c r="D1490" s="2">
        <f>IFERROR(__xludf.DUMMYFUNCTION("""COMPUTED_VALUE"""),0.0021875)</f>
        <v>0.0021875</v>
      </c>
      <c r="E1490" s="1">
        <f>IFERROR(__xludf.DUMMYFUNCTION("""COMPUTED_VALUE"""),1.17)</f>
        <v>1.17</v>
      </c>
      <c r="F1490" s="1">
        <f>IFERROR(__xludf.DUMMYFUNCTION("""COMPUTED_VALUE"""),4.2)</f>
        <v>4.2</v>
      </c>
      <c r="G1490" s="5">
        <f>IFERROR(__xludf.DUMMYFUNCTION("""COMPUTED_VALUE"""),10733.0)</f>
        <v>10733</v>
      </c>
      <c r="H1490" s="5">
        <f>IFERROR(__xludf.DUMMYFUNCTION("""COMPUTED_VALUE"""),2555.0)</f>
        <v>2555</v>
      </c>
    </row>
    <row r="1491">
      <c r="A1491" s="4">
        <f>IFERROR(__xludf.DUMMYFUNCTION("""COMPUTED_VALUE"""),43859.0)</f>
        <v>43859</v>
      </c>
      <c r="B1491" s="5">
        <f>IFERROR(__xludf.DUMMYFUNCTION("""COMPUTED_VALUE"""),2263.0)</f>
        <v>2263</v>
      </c>
      <c r="C1491" s="6">
        <f>IFERROR(__xludf.DUMMYFUNCTION("""COMPUTED_VALUE"""),0.4766)</f>
        <v>0.4766</v>
      </c>
      <c r="D1491" s="2">
        <f>IFERROR(__xludf.DUMMYFUNCTION("""COMPUTED_VALUE"""),0.002511574074074074)</f>
        <v>0.002511574074</v>
      </c>
      <c r="E1491" s="1">
        <f>IFERROR(__xludf.DUMMYFUNCTION("""COMPUTED_VALUE"""),1.17)</f>
        <v>1.17</v>
      </c>
      <c r="F1491" s="1">
        <f>IFERROR(__xludf.DUMMYFUNCTION("""COMPUTED_VALUE"""),3.98)</f>
        <v>3.98</v>
      </c>
      <c r="G1491" s="5">
        <f>IFERROR(__xludf.DUMMYFUNCTION("""COMPUTED_VALUE"""),10553.0)</f>
        <v>10553</v>
      </c>
      <c r="H1491" s="5">
        <f>IFERROR(__xludf.DUMMYFUNCTION("""COMPUTED_VALUE"""),2652.0)</f>
        <v>2652</v>
      </c>
    </row>
    <row r="1492">
      <c r="A1492" s="4">
        <f>IFERROR(__xludf.DUMMYFUNCTION("""COMPUTED_VALUE"""),43860.0)</f>
        <v>43860</v>
      </c>
      <c r="B1492" s="5">
        <f>IFERROR(__xludf.DUMMYFUNCTION("""COMPUTED_VALUE"""),2069.0)</f>
        <v>2069</v>
      </c>
      <c r="C1492" s="6">
        <f>IFERROR(__xludf.DUMMYFUNCTION("""COMPUTED_VALUE"""),0.4824)</f>
        <v>0.4824</v>
      </c>
      <c r="D1492" s="2">
        <f>IFERROR(__xludf.DUMMYFUNCTION("""COMPUTED_VALUE"""),0.002534722222222222)</f>
        <v>0.002534722222</v>
      </c>
      <c r="E1492" s="1">
        <f>IFERROR(__xludf.DUMMYFUNCTION("""COMPUTED_VALUE"""),1.15)</f>
        <v>1.15</v>
      </c>
      <c r="F1492" s="1">
        <f>IFERROR(__xludf.DUMMYFUNCTION("""COMPUTED_VALUE"""),4.95)</f>
        <v>4.95</v>
      </c>
      <c r="G1492" s="5">
        <f>IFERROR(__xludf.DUMMYFUNCTION("""COMPUTED_VALUE"""),11816.0)</f>
        <v>11816</v>
      </c>
      <c r="H1492" s="5">
        <f>IFERROR(__xludf.DUMMYFUNCTION("""COMPUTED_VALUE"""),2388.0)</f>
        <v>2388</v>
      </c>
    </row>
    <row r="1493">
      <c r="A1493" s="4">
        <f>IFERROR(__xludf.DUMMYFUNCTION("""COMPUTED_VALUE"""),43861.0)</f>
        <v>43861</v>
      </c>
      <c r="B1493" s="5">
        <f>IFERROR(__xludf.DUMMYFUNCTION("""COMPUTED_VALUE"""),1694.0)</f>
        <v>1694</v>
      </c>
      <c r="C1493" s="6">
        <f>IFERROR(__xludf.DUMMYFUNCTION("""COMPUTED_VALUE"""),0.4159)</f>
        <v>0.4159</v>
      </c>
      <c r="D1493" s="2">
        <f>IFERROR(__xludf.DUMMYFUNCTION("""COMPUTED_VALUE"""),0.0024074074074074076)</f>
        <v>0.002407407407</v>
      </c>
      <c r="E1493" s="1">
        <f>IFERROR(__xludf.DUMMYFUNCTION("""COMPUTED_VALUE"""),1.12)</f>
        <v>1.12</v>
      </c>
      <c r="F1493" s="1">
        <f>IFERROR(__xludf.DUMMYFUNCTION("""COMPUTED_VALUE"""),5.07)</f>
        <v>5.07</v>
      </c>
      <c r="G1493" s="5">
        <f>IFERROR(__xludf.DUMMYFUNCTION("""COMPUTED_VALUE"""),9650.0)</f>
        <v>9650</v>
      </c>
      <c r="H1493" s="5">
        <f>IFERROR(__xludf.DUMMYFUNCTION("""COMPUTED_VALUE"""),1902.0)</f>
        <v>1902</v>
      </c>
    </row>
    <row r="1494">
      <c r="A1494" s="4">
        <f>IFERROR(__xludf.DUMMYFUNCTION("""COMPUTED_VALUE"""),43862.0)</f>
        <v>43862</v>
      </c>
      <c r="B1494" s="5">
        <f>IFERROR(__xludf.DUMMYFUNCTION("""COMPUTED_VALUE"""),1264.0)</f>
        <v>1264</v>
      </c>
      <c r="C1494" s="6">
        <f>IFERROR(__xludf.DUMMYFUNCTION("""COMPUTED_VALUE"""),0.4901)</f>
        <v>0.4901</v>
      </c>
      <c r="D1494" s="2">
        <f>IFERROR(__xludf.DUMMYFUNCTION("""COMPUTED_VALUE"""),0.0017013888888888888)</f>
        <v>0.001701388889</v>
      </c>
      <c r="E1494" s="1">
        <f>IFERROR(__xludf.DUMMYFUNCTION("""COMPUTED_VALUE"""),1.12)</f>
        <v>1.12</v>
      </c>
      <c r="F1494" s="1">
        <f>IFERROR(__xludf.DUMMYFUNCTION("""COMPUTED_VALUE"""),4.59)</f>
        <v>4.59</v>
      </c>
      <c r="G1494" s="5">
        <f>IFERROR(__xludf.DUMMYFUNCTION("""COMPUTED_VALUE"""),6498.0)</f>
        <v>6498</v>
      </c>
      <c r="H1494" s="5">
        <f>IFERROR(__xludf.DUMMYFUNCTION("""COMPUTED_VALUE"""),1416.0)</f>
        <v>1416</v>
      </c>
    </row>
    <row r="1495">
      <c r="A1495" s="4">
        <f>IFERROR(__xludf.DUMMYFUNCTION("""COMPUTED_VALUE"""),43863.0)</f>
        <v>43863</v>
      </c>
      <c r="B1495" s="5">
        <f>IFERROR(__xludf.DUMMYFUNCTION("""COMPUTED_VALUE"""),1444.0)</f>
        <v>1444</v>
      </c>
      <c r="C1495" s="6">
        <f>IFERROR(__xludf.DUMMYFUNCTION("""COMPUTED_VALUE"""),0.4199)</f>
        <v>0.4199</v>
      </c>
      <c r="D1495" s="2">
        <f>IFERROR(__xludf.DUMMYFUNCTION("""COMPUTED_VALUE"""),0.0020486111111111113)</f>
        <v>0.002048611111</v>
      </c>
      <c r="E1495" s="1">
        <f>IFERROR(__xludf.DUMMYFUNCTION("""COMPUTED_VALUE"""),1.08)</f>
        <v>1.08</v>
      </c>
      <c r="F1495" s="1">
        <f>IFERROR(__xludf.DUMMYFUNCTION("""COMPUTED_VALUE"""),4.13)</f>
        <v>4.13</v>
      </c>
      <c r="G1495" s="5">
        <f>IFERROR(__xludf.DUMMYFUNCTION("""COMPUTED_VALUE"""),6415.0)</f>
        <v>6415</v>
      </c>
      <c r="H1495" s="5">
        <f>IFERROR(__xludf.DUMMYFUNCTION("""COMPUTED_VALUE"""),1555.0)</f>
        <v>1555</v>
      </c>
    </row>
    <row r="1496">
      <c r="A1496" s="4">
        <f>IFERROR(__xludf.DUMMYFUNCTION("""COMPUTED_VALUE"""),43864.0)</f>
        <v>43864</v>
      </c>
      <c r="B1496" s="5">
        <f>IFERROR(__xludf.DUMMYFUNCTION("""COMPUTED_VALUE"""),2291.0)</f>
        <v>2291</v>
      </c>
      <c r="C1496" s="6">
        <f>IFERROR(__xludf.DUMMYFUNCTION("""COMPUTED_VALUE"""),0.4947)</f>
        <v>0.4947</v>
      </c>
      <c r="D1496" s="2">
        <f>IFERROR(__xludf.DUMMYFUNCTION("""COMPUTED_VALUE"""),0.0020717592592592593)</f>
        <v>0.002071759259</v>
      </c>
      <c r="E1496" s="1">
        <f>IFERROR(__xludf.DUMMYFUNCTION("""COMPUTED_VALUE"""),1.12)</f>
        <v>1.12</v>
      </c>
      <c r="F1496" s="1">
        <f>IFERROR(__xludf.DUMMYFUNCTION("""COMPUTED_VALUE"""),3.77)</f>
        <v>3.77</v>
      </c>
      <c r="G1496" s="5">
        <f>IFERROR(__xludf.DUMMYFUNCTION("""COMPUTED_VALUE"""),9636.0)</f>
        <v>9636</v>
      </c>
      <c r="H1496" s="5">
        <f>IFERROR(__xludf.DUMMYFUNCTION("""COMPUTED_VALUE"""),2555.0)</f>
        <v>2555</v>
      </c>
    </row>
    <row r="1497">
      <c r="A1497" s="4">
        <f>IFERROR(__xludf.DUMMYFUNCTION("""COMPUTED_VALUE"""),43865.0)</f>
        <v>43865</v>
      </c>
      <c r="B1497" s="5">
        <f>IFERROR(__xludf.DUMMYFUNCTION("""COMPUTED_VALUE"""),2097.0)</f>
        <v>2097</v>
      </c>
      <c r="C1497" s="6">
        <f>IFERROR(__xludf.DUMMYFUNCTION("""COMPUTED_VALUE"""),0.4397)</f>
        <v>0.4397</v>
      </c>
      <c r="D1497" s="2">
        <f>IFERROR(__xludf.DUMMYFUNCTION("""COMPUTED_VALUE"""),0.001990740740740741)</f>
        <v>0.001990740741</v>
      </c>
      <c r="E1497" s="1">
        <f>IFERROR(__xludf.DUMMYFUNCTION("""COMPUTED_VALUE"""),1.21)</f>
        <v>1.21</v>
      </c>
      <c r="F1497" s="1">
        <f>IFERROR(__xludf.DUMMYFUNCTION("""COMPUTED_VALUE"""),4.18)</f>
        <v>4.18</v>
      </c>
      <c r="G1497" s="5">
        <f>IFERROR(__xludf.DUMMYFUNCTION("""COMPUTED_VALUE"""),10553.0)</f>
        <v>10553</v>
      </c>
      <c r="H1497" s="5">
        <f>IFERROR(__xludf.DUMMYFUNCTION("""COMPUTED_VALUE"""),2527.0)</f>
        <v>2527</v>
      </c>
    </row>
    <row r="1498">
      <c r="A1498" s="4">
        <f>IFERROR(__xludf.DUMMYFUNCTION("""COMPUTED_VALUE"""),43866.0)</f>
        <v>43866</v>
      </c>
      <c r="B1498" s="5">
        <f>IFERROR(__xludf.DUMMYFUNCTION("""COMPUTED_VALUE"""),2249.0)</f>
        <v>2249</v>
      </c>
      <c r="C1498" s="6">
        <f>IFERROR(__xludf.DUMMYFUNCTION("""COMPUTED_VALUE"""),0.4317)</f>
        <v>0.4317</v>
      </c>
      <c r="D1498" s="2">
        <f>IFERROR(__xludf.DUMMYFUNCTION("""COMPUTED_VALUE"""),0.0023263888888888887)</f>
        <v>0.002326388889</v>
      </c>
      <c r="E1498" s="1">
        <f>IFERROR(__xludf.DUMMYFUNCTION("""COMPUTED_VALUE"""),1.13)</f>
        <v>1.13</v>
      </c>
      <c r="F1498" s="1">
        <f>IFERROR(__xludf.DUMMYFUNCTION("""COMPUTED_VALUE"""),4.8)</f>
        <v>4.8</v>
      </c>
      <c r="G1498" s="5">
        <f>IFERROR(__xludf.DUMMYFUNCTION("""COMPUTED_VALUE"""),12205.0)</f>
        <v>12205</v>
      </c>
      <c r="H1498" s="5">
        <f>IFERROR(__xludf.DUMMYFUNCTION("""COMPUTED_VALUE"""),2541.0)</f>
        <v>2541</v>
      </c>
    </row>
    <row r="1499">
      <c r="A1499" s="4">
        <f>IFERROR(__xludf.DUMMYFUNCTION("""COMPUTED_VALUE"""),43867.0)</f>
        <v>43867</v>
      </c>
      <c r="B1499" s="5">
        <f>IFERROR(__xludf.DUMMYFUNCTION("""COMPUTED_VALUE"""),2236.0)</f>
        <v>2236</v>
      </c>
      <c r="C1499" s="6">
        <f>IFERROR(__xludf.DUMMYFUNCTION("""COMPUTED_VALUE"""),0.4572)</f>
        <v>0.4572</v>
      </c>
      <c r="D1499" s="2">
        <f>IFERROR(__xludf.DUMMYFUNCTION("""COMPUTED_VALUE"""),0.0016782407407407408)</f>
        <v>0.001678240741</v>
      </c>
      <c r="E1499" s="1">
        <f>IFERROR(__xludf.DUMMYFUNCTION("""COMPUTED_VALUE"""),1.09)</f>
        <v>1.09</v>
      </c>
      <c r="F1499" s="1">
        <f>IFERROR(__xludf.DUMMYFUNCTION("""COMPUTED_VALUE"""),4.75)</f>
        <v>4.75</v>
      </c>
      <c r="G1499" s="5">
        <f>IFERROR(__xludf.DUMMYFUNCTION("""COMPUTED_VALUE"""),11553.0)</f>
        <v>11553</v>
      </c>
      <c r="H1499" s="5">
        <f>IFERROR(__xludf.DUMMYFUNCTION("""COMPUTED_VALUE"""),2430.0)</f>
        <v>2430</v>
      </c>
    </row>
    <row r="1500">
      <c r="A1500" s="4">
        <f>IFERROR(__xludf.DUMMYFUNCTION("""COMPUTED_VALUE"""),43868.0)</f>
        <v>43868</v>
      </c>
      <c r="B1500" s="5">
        <f>IFERROR(__xludf.DUMMYFUNCTION("""COMPUTED_VALUE"""),1847.0)</f>
        <v>1847</v>
      </c>
      <c r="C1500" s="6">
        <f>IFERROR(__xludf.DUMMYFUNCTION("""COMPUTED_VALUE"""),0.4142)</f>
        <v>0.4142</v>
      </c>
      <c r="D1500" s="2">
        <f>IFERROR(__xludf.DUMMYFUNCTION("""COMPUTED_VALUE"""),0.0020717592592592593)</f>
        <v>0.002071759259</v>
      </c>
      <c r="E1500" s="1">
        <f>IFERROR(__xludf.DUMMYFUNCTION("""COMPUTED_VALUE"""),1.18)</f>
        <v>1.18</v>
      </c>
      <c r="F1500" s="1">
        <f>IFERROR(__xludf.DUMMYFUNCTION("""COMPUTED_VALUE"""),4.1)</f>
        <v>4.1</v>
      </c>
      <c r="G1500" s="5">
        <f>IFERROR(__xludf.DUMMYFUNCTION("""COMPUTED_VALUE"""),8928.0)</f>
        <v>8928</v>
      </c>
      <c r="H1500" s="5">
        <f>IFERROR(__xludf.DUMMYFUNCTION("""COMPUTED_VALUE"""),2180.0)</f>
        <v>2180</v>
      </c>
    </row>
    <row r="1501">
      <c r="A1501" s="4">
        <f>IFERROR(__xludf.DUMMYFUNCTION("""COMPUTED_VALUE"""),43869.0)</f>
        <v>43869</v>
      </c>
      <c r="B1501" s="5">
        <f>IFERROR(__xludf.DUMMYFUNCTION("""COMPUTED_VALUE"""),1486.0)</f>
        <v>1486</v>
      </c>
      <c r="C1501" s="6">
        <f>IFERROR(__xludf.DUMMYFUNCTION("""COMPUTED_VALUE"""),0.4018)</f>
        <v>0.4018</v>
      </c>
      <c r="D1501" s="2">
        <f>IFERROR(__xludf.DUMMYFUNCTION("""COMPUTED_VALUE"""),0.002002314814814815)</f>
        <v>0.002002314815</v>
      </c>
      <c r="E1501" s="1">
        <f>IFERROR(__xludf.DUMMYFUNCTION("""COMPUTED_VALUE"""),1.09)</f>
        <v>1.09</v>
      </c>
      <c r="F1501" s="1">
        <f>IFERROR(__xludf.DUMMYFUNCTION("""COMPUTED_VALUE"""),4.53)</f>
        <v>4.53</v>
      </c>
      <c r="G1501" s="5">
        <f>IFERROR(__xludf.DUMMYFUNCTION("""COMPUTED_VALUE"""),7359.0)</f>
        <v>7359</v>
      </c>
      <c r="H1501" s="5">
        <f>IFERROR(__xludf.DUMMYFUNCTION("""COMPUTED_VALUE"""),1625.0)</f>
        <v>1625</v>
      </c>
    </row>
    <row r="1502">
      <c r="A1502" s="4">
        <f>IFERROR(__xludf.DUMMYFUNCTION("""COMPUTED_VALUE"""),43870.0)</f>
        <v>43870</v>
      </c>
      <c r="B1502" s="5">
        <f>IFERROR(__xludf.DUMMYFUNCTION("""COMPUTED_VALUE"""),1444.0)</f>
        <v>1444</v>
      </c>
      <c r="C1502" s="6">
        <f>IFERROR(__xludf.DUMMYFUNCTION("""COMPUTED_VALUE"""),0.4631)</f>
        <v>0.4631</v>
      </c>
      <c r="D1502" s="2">
        <f>IFERROR(__xludf.DUMMYFUNCTION("""COMPUTED_VALUE"""),0.0018865740740740742)</f>
        <v>0.001886574074</v>
      </c>
      <c r="E1502" s="1">
        <f>IFERROR(__xludf.DUMMYFUNCTION("""COMPUTED_VALUE"""),1.16)</f>
        <v>1.16</v>
      </c>
      <c r="F1502" s="1">
        <f>IFERROR(__xludf.DUMMYFUNCTION("""COMPUTED_VALUE"""),4.26)</f>
        <v>4.26</v>
      </c>
      <c r="G1502" s="5">
        <f>IFERROR(__xludf.DUMMYFUNCTION("""COMPUTED_VALUE"""),7165.0)</f>
        <v>7165</v>
      </c>
      <c r="H1502" s="5">
        <f>IFERROR(__xludf.DUMMYFUNCTION("""COMPUTED_VALUE"""),1680.0)</f>
        <v>1680</v>
      </c>
    </row>
    <row r="1503">
      <c r="A1503" s="4">
        <f>IFERROR(__xludf.DUMMYFUNCTION("""COMPUTED_VALUE"""),43871.0)</f>
        <v>43871</v>
      </c>
      <c r="B1503" s="5">
        <f>IFERROR(__xludf.DUMMYFUNCTION("""COMPUTED_VALUE"""),2041.0)</f>
        <v>2041</v>
      </c>
      <c r="C1503" s="6">
        <f>IFERROR(__xludf.DUMMYFUNCTION("""COMPUTED_VALUE"""),0.4879)</f>
        <v>0.4879</v>
      </c>
      <c r="D1503" s="2">
        <f>IFERROR(__xludf.DUMMYFUNCTION("""COMPUTED_VALUE"""),0.0015162037037037036)</f>
        <v>0.001516203704</v>
      </c>
      <c r="E1503" s="1">
        <f>IFERROR(__xludf.DUMMYFUNCTION("""COMPUTED_VALUE"""),1.12)</f>
        <v>1.12</v>
      </c>
      <c r="F1503" s="1">
        <f>IFERROR(__xludf.DUMMYFUNCTION("""COMPUTED_VALUE"""),4.04)</f>
        <v>4.04</v>
      </c>
      <c r="G1503" s="5">
        <f>IFERROR(__xludf.DUMMYFUNCTION("""COMPUTED_VALUE"""),9192.0)</f>
        <v>9192</v>
      </c>
      <c r="H1503" s="5">
        <f>IFERROR(__xludf.DUMMYFUNCTION("""COMPUTED_VALUE"""),2277.0)</f>
        <v>2277</v>
      </c>
    </row>
    <row r="1504">
      <c r="A1504" s="4">
        <f>IFERROR(__xludf.DUMMYFUNCTION("""COMPUTED_VALUE"""),43872.0)</f>
        <v>43872</v>
      </c>
      <c r="B1504" s="5">
        <f>IFERROR(__xludf.DUMMYFUNCTION("""COMPUTED_VALUE"""),2499.0)</f>
        <v>2499</v>
      </c>
      <c r="C1504" s="6">
        <f>IFERROR(__xludf.DUMMYFUNCTION("""COMPUTED_VALUE"""),0.456)</f>
        <v>0.456</v>
      </c>
      <c r="D1504" s="2">
        <f>IFERROR(__xludf.DUMMYFUNCTION("""COMPUTED_VALUE"""),0.0020486111111111113)</f>
        <v>0.002048611111</v>
      </c>
      <c r="E1504" s="1">
        <f>IFERROR(__xludf.DUMMYFUNCTION("""COMPUTED_VALUE"""),1.07)</f>
        <v>1.07</v>
      </c>
      <c r="F1504" s="1">
        <f>IFERROR(__xludf.DUMMYFUNCTION("""COMPUTED_VALUE"""),4.98)</f>
        <v>4.98</v>
      </c>
      <c r="G1504" s="5">
        <f>IFERROR(__xludf.DUMMYFUNCTION("""COMPUTED_VALUE"""),13358.0)</f>
        <v>13358</v>
      </c>
      <c r="H1504" s="5">
        <f>IFERROR(__xludf.DUMMYFUNCTION("""COMPUTED_VALUE"""),2680.0)</f>
        <v>2680</v>
      </c>
    </row>
    <row r="1505">
      <c r="A1505" s="4">
        <f>IFERROR(__xludf.DUMMYFUNCTION("""COMPUTED_VALUE"""),43873.0)</f>
        <v>43873</v>
      </c>
      <c r="B1505" s="5">
        <f>IFERROR(__xludf.DUMMYFUNCTION("""COMPUTED_VALUE"""),2222.0)</f>
        <v>2222</v>
      </c>
      <c r="C1505" s="6">
        <f>IFERROR(__xludf.DUMMYFUNCTION("""COMPUTED_VALUE"""),0.4467)</f>
        <v>0.4467</v>
      </c>
      <c r="D1505" s="2">
        <f>IFERROR(__xludf.DUMMYFUNCTION("""COMPUTED_VALUE"""),0.002013888888888889)</f>
        <v>0.002013888889</v>
      </c>
      <c r="E1505" s="1">
        <f>IFERROR(__xludf.DUMMYFUNCTION("""COMPUTED_VALUE"""),1.17)</f>
        <v>1.17</v>
      </c>
      <c r="F1505" s="1">
        <f>IFERROR(__xludf.DUMMYFUNCTION("""COMPUTED_VALUE"""),4.37)</f>
        <v>4.37</v>
      </c>
      <c r="G1505" s="5">
        <f>IFERROR(__xludf.DUMMYFUNCTION("""COMPUTED_VALUE"""),11400.0)</f>
        <v>11400</v>
      </c>
      <c r="H1505" s="5">
        <f>IFERROR(__xludf.DUMMYFUNCTION("""COMPUTED_VALUE"""),2610.0)</f>
        <v>2610</v>
      </c>
    </row>
    <row r="1506">
      <c r="A1506" s="4">
        <f>IFERROR(__xludf.DUMMYFUNCTION("""COMPUTED_VALUE"""),43874.0)</f>
        <v>43874</v>
      </c>
      <c r="B1506" s="5">
        <f>IFERROR(__xludf.DUMMYFUNCTION("""COMPUTED_VALUE"""),2041.0)</f>
        <v>2041</v>
      </c>
      <c r="C1506" s="6">
        <f>IFERROR(__xludf.DUMMYFUNCTION("""COMPUTED_VALUE"""),0.5086)</f>
        <v>0.5086</v>
      </c>
      <c r="D1506" s="2">
        <f>IFERROR(__xludf.DUMMYFUNCTION("""COMPUTED_VALUE"""),0.0024305555555555556)</f>
        <v>0.002430555556</v>
      </c>
      <c r="E1506" s="1">
        <f>IFERROR(__xludf.DUMMYFUNCTION("""COMPUTED_VALUE"""),1.19)</f>
        <v>1.19</v>
      </c>
      <c r="F1506" s="1">
        <f>IFERROR(__xludf.DUMMYFUNCTION("""COMPUTED_VALUE"""),4.95)</f>
        <v>4.95</v>
      </c>
      <c r="G1506" s="5">
        <f>IFERROR(__xludf.DUMMYFUNCTION("""COMPUTED_VALUE"""),12039.0)</f>
        <v>12039</v>
      </c>
      <c r="H1506" s="5">
        <f>IFERROR(__xludf.DUMMYFUNCTION("""COMPUTED_VALUE"""),2430.0)</f>
        <v>2430</v>
      </c>
    </row>
    <row r="1507">
      <c r="A1507" s="4">
        <f>IFERROR(__xludf.DUMMYFUNCTION("""COMPUTED_VALUE"""),43875.0)</f>
        <v>43875</v>
      </c>
      <c r="B1507" s="5">
        <f>IFERROR(__xludf.DUMMYFUNCTION("""COMPUTED_VALUE"""),1736.0)</f>
        <v>1736</v>
      </c>
      <c r="C1507" s="6">
        <f>IFERROR(__xludf.DUMMYFUNCTION("""COMPUTED_VALUE"""),0.4338)</f>
        <v>0.4338</v>
      </c>
      <c r="D1507" s="2">
        <f>IFERROR(__xludf.DUMMYFUNCTION("""COMPUTED_VALUE"""),0.0018402777777777777)</f>
        <v>0.001840277778</v>
      </c>
      <c r="E1507" s="1">
        <f>IFERROR(__xludf.DUMMYFUNCTION("""COMPUTED_VALUE"""),1.09)</f>
        <v>1.09</v>
      </c>
      <c r="F1507" s="1">
        <f>IFERROR(__xludf.DUMMYFUNCTION("""COMPUTED_VALUE"""),4.09)</f>
        <v>4.09</v>
      </c>
      <c r="G1507" s="5">
        <f>IFERROR(__xludf.DUMMYFUNCTION("""COMPUTED_VALUE"""),7720.0)</f>
        <v>7720</v>
      </c>
      <c r="H1507" s="5">
        <f>IFERROR(__xludf.DUMMYFUNCTION("""COMPUTED_VALUE"""),1888.0)</f>
        <v>1888</v>
      </c>
    </row>
    <row r="1508">
      <c r="A1508" s="4">
        <f>IFERROR(__xludf.DUMMYFUNCTION("""COMPUTED_VALUE"""),43876.0)</f>
        <v>43876</v>
      </c>
      <c r="B1508" s="5">
        <f>IFERROR(__xludf.DUMMYFUNCTION("""COMPUTED_VALUE"""),1389.0)</f>
        <v>1389</v>
      </c>
      <c r="C1508" s="6">
        <f>IFERROR(__xludf.DUMMYFUNCTION("""COMPUTED_VALUE"""),0.4643)</f>
        <v>0.4643</v>
      </c>
      <c r="D1508" s="2">
        <f>IFERROR(__xludf.DUMMYFUNCTION("""COMPUTED_VALUE"""),0.001863425925925926)</f>
        <v>0.001863425926</v>
      </c>
      <c r="E1508" s="1">
        <f>IFERROR(__xludf.DUMMYFUNCTION("""COMPUTED_VALUE"""),1.12)</f>
        <v>1.12</v>
      </c>
      <c r="F1508" s="1">
        <f>IFERROR(__xludf.DUMMYFUNCTION("""COMPUTED_VALUE"""),5.55)</f>
        <v>5.55</v>
      </c>
      <c r="G1508" s="5">
        <f>IFERROR(__xludf.DUMMYFUNCTION("""COMPUTED_VALUE"""),8623.0)</f>
        <v>8623</v>
      </c>
      <c r="H1508" s="5">
        <f>IFERROR(__xludf.DUMMYFUNCTION("""COMPUTED_VALUE"""),1555.0)</f>
        <v>1555</v>
      </c>
    </row>
    <row r="1509">
      <c r="A1509" s="4">
        <f>IFERROR(__xludf.DUMMYFUNCTION("""COMPUTED_VALUE"""),43877.0)</f>
        <v>43877</v>
      </c>
      <c r="B1509" s="5">
        <f>IFERROR(__xludf.DUMMYFUNCTION("""COMPUTED_VALUE"""),1347.0)</f>
        <v>1347</v>
      </c>
      <c r="C1509" s="6">
        <f>IFERROR(__xludf.DUMMYFUNCTION("""COMPUTED_VALUE"""),0.481)</f>
        <v>0.481</v>
      </c>
      <c r="D1509" s="2">
        <f>IFERROR(__xludf.DUMMYFUNCTION("""COMPUTED_VALUE"""),0.0011805555555555556)</f>
        <v>0.001180555556</v>
      </c>
      <c r="E1509" s="1">
        <f>IFERROR(__xludf.DUMMYFUNCTION("""COMPUTED_VALUE"""),1.09)</f>
        <v>1.09</v>
      </c>
      <c r="F1509" s="1">
        <f>IFERROR(__xludf.DUMMYFUNCTION("""COMPUTED_VALUE"""),3.67)</f>
        <v>3.67</v>
      </c>
      <c r="G1509" s="5">
        <f>IFERROR(__xludf.DUMMYFUNCTION("""COMPUTED_VALUE"""),5401.0)</f>
        <v>5401</v>
      </c>
      <c r="H1509" s="5">
        <f>IFERROR(__xludf.DUMMYFUNCTION("""COMPUTED_VALUE"""),1472.0)</f>
        <v>1472</v>
      </c>
    </row>
    <row r="1510">
      <c r="A1510" s="4">
        <f>IFERROR(__xludf.DUMMYFUNCTION("""COMPUTED_VALUE"""),43878.0)</f>
        <v>43878</v>
      </c>
      <c r="B1510" s="5">
        <f>IFERROR(__xludf.DUMMYFUNCTION("""COMPUTED_VALUE"""),1916.0)</f>
        <v>1916</v>
      </c>
      <c r="C1510" s="6">
        <f>IFERROR(__xludf.DUMMYFUNCTION("""COMPUTED_VALUE"""),0.4829)</f>
        <v>0.4829</v>
      </c>
      <c r="D1510" s="2">
        <f>IFERROR(__xludf.DUMMYFUNCTION("""COMPUTED_VALUE"""),0.0012962962962962963)</f>
        <v>0.001296296296</v>
      </c>
      <c r="E1510" s="1">
        <f>IFERROR(__xludf.DUMMYFUNCTION("""COMPUTED_VALUE"""),1.05)</f>
        <v>1.05</v>
      </c>
      <c r="F1510" s="1">
        <f>IFERROR(__xludf.DUMMYFUNCTION("""COMPUTED_VALUE"""),3.23)</f>
        <v>3.23</v>
      </c>
      <c r="G1510" s="5">
        <f>IFERROR(__xludf.DUMMYFUNCTION("""COMPUTED_VALUE"""),6498.0)</f>
        <v>6498</v>
      </c>
      <c r="H1510" s="5">
        <f>IFERROR(__xludf.DUMMYFUNCTION("""COMPUTED_VALUE"""),2013.0)</f>
        <v>2013</v>
      </c>
    </row>
    <row r="1511">
      <c r="A1511" s="4">
        <f>IFERROR(__xludf.DUMMYFUNCTION("""COMPUTED_VALUE"""),43879.0)</f>
        <v>43879</v>
      </c>
      <c r="B1511" s="5">
        <f>IFERROR(__xludf.DUMMYFUNCTION("""COMPUTED_VALUE"""),2333.0)</f>
        <v>2333</v>
      </c>
      <c r="C1511" s="6">
        <f>IFERROR(__xludf.DUMMYFUNCTION("""COMPUTED_VALUE"""),0.4287)</f>
        <v>0.4287</v>
      </c>
      <c r="D1511" s="2">
        <f>IFERROR(__xludf.DUMMYFUNCTION("""COMPUTED_VALUE"""),0.002534722222222222)</f>
        <v>0.002534722222</v>
      </c>
      <c r="E1511" s="1">
        <f>IFERROR(__xludf.DUMMYFUNCTION("""COMPUTED_VALUE"""),1.12)</f>
        <v>1.12</v>
      </c>
      <c r="F1511" s="1">
        <f>IFERROR(__xludf.DUMMYFUNCTION("""COMPUTED_VALUE"""),4.32)</f>
        <v>4.32</v>
      </c>
      <c r="G1511" s="5">
        <f>IFERROR(__xludf.DUMMYFUNCTION("""COMPUTED_VALUE"""),11344.0)</f>
        <v>11344</v>
      </c>
      <c r="H1511" s="5">
        <f>IFERROR(__xludf.DUMMYFUNCTION("""COMPUTED_VALUE"""),2624.0)</f>
        <v>2624</v>
      </c>
    </row>
    <row r="1512">
      <c r="A1512" s="4">
        <f>IFERROR(__xludf.DUMMYFUNCTION("""COMPUTED_VALUE"""),43880.0)</f>
        <v>43880</v>
      </c>
      <c r="B1512" s="5">
        <f>IFERROR(__xludf.DUMMYFUNCTION("""COMPUTED_VALUE"""),2374.0)</f>
        <v>2374</v>
      </c>
      <c r="C1512" s="6">
        <f>IFERROR(__xludf.DUMMYFUNCTION("""COMPUTED_VALUE"""),0.4947)</f>
        <v>0.4947</v>
      </c>
      <c r="D1512" s="2">
        <f>IFERROR(__xludf.DUMMYFUNCTION("""COMPUTED_VALUE"""),0.0015625)</f>
        <v>0.0015625</v>
      </c>
      <c r="E1512" s="1">
        <f>IFERROR(__xludf.DUMMYFUNCTION("""COMPUTED_VALUE"""),1.11)</f>
        <v>1.11</v>
      </c>
      <c r="F1512" s="1">
        <f>IFERROR(__xludf.DUMMYFUNCTION("""COMPUTED_VALUE"""),3.79)</f>
        <v>3.79</v>
      </c>
      <c r="G1512" s="5">
        <f>IFERROR(__xludf.DUMMYFUNCTION("""COMPUTED_VALUE"""),10011.0)</f>
        <v>10011</v>
      </c>
      <c r="H1512" s="5">
        <f>IFERROR(__xludf.DUMMYFUNCTION("""COMPUTED_VALUE"""),2638.0)</f>
        <v>2638</v>
      </c>
    </row>
    <row r="1513">
      <c r="A1513" s="4">
        <f>IFERROR(__xludf.DUMMYFUNCTION("""COMPUTED_VALUE"""),43881.0)</f>
        <v>43881</v>
      </c>
      <c r="B1513" s="5">
        <f>IFERROR(__xludf.DUMMYFUNCTION("""COMPUTED_VALUE"""),2527.0)</f>
        <v>2527</v>
      </c>
      <c r="C1513" s="6">
        <f>IFERROR(__xludf.DUMMYFUNCTION("""COMPUTED_VALUE"""),0.4636)</f>
        <v>0.4636</v>
      </c>
      <c r="D1513" s="2">
        <f>IFERROR(__xludf.DUMMYFUNCTION("""COMPUTED_VALUE"""),0.0012962962962962963)</f>
        <v>0.001296296296</v>
      </c>
      <c r="E1513" s="1">
        <f>IFERROR(__xludf.DUMMYFUNCTION("""COMPUTED_VALUE"""),1.06)</f>
        <v>1.06</v>
      </c>
      <c r="F1513" s="1">
        <f>IFERROR(__xludf.DUMMYFUNCTION("""COMPUTED_VALUE"""),3.84)</f>
        <v>3.84</v>
      </c>
      <c r="G1513" s="5">
        <f>IFERROR(__xludf.DUMMYFUNCTION("""COMPUTED_VALUE"""),10234.0)</f>
        <v>10234</v>
      </c>
      <c r="H1513" s="5">
        <f>IFERROR(__xludf.DUMMYFUNCTION("""COMPUTED_VALUE"""),2666.0)</f>
        <v>2666</v>
      </c>
    </row>
    <row r="1514">
      <c r="A1514" s="4">
        <f>IFERROR(__xludf.DUMMYFUNCTION("""COMPUTED_VALUE"""),43882.0)</f>
        <v>43882</v>
      </c>
      <c r="B1514" s="5">
        <f>IFERROR(__xludf.DUMMYFUNCTION("""COMPUTED_VALUE"""),1930.0)</f>
        <v>1930</v>
      </c>
      <c r="C1514" s="6">
        <f>IFERROR(__xludf.DUMMYFUNCTION("""COMPUTED_VALUE"""),0.4415)</f>
        <v>0.4415</v>
      </c>
      <c r="D1514" s="2">
        <f>IFERROR(__xludf.DUMMYFUNCTION("""COMPUTED_VALUE"""),0.0022337962962962962)</f>
        <v>0.002233796296</v>
      </c>
      <c r="E1514" s="1">
        <f>IFERROR(__xludf.DUMMYFUNCTION("""COMPUTED_VALUE"""),1.11)</f>
        <v>1.11</v>
      </c>
      <c r="F1514" s="1">
        <f>IFERROR(__xludf.DUMMYFUNCTION("""COMPUTED_VALUE"""),4.42)</f>
        <v>4.42</v>
      </c>
      <c r="G1514" s="5">
        <f>IFERROR(__xludf.DUMMYFUNCTION("""COMPUTED_VALUE"""),9456.0)</f>
        <v>9456</v>
      </c>
      <c r="H1514" s="5">
        <f>IFERROR(__xludf.DUMMYFUNCTION("""COMPUTED_VALUE"""),2138.0)</f>
        <v>2138</v>
      </c>
    </row>
    <row r="1515">
      <c r="A1515" s="4">
        <f>IFERROR(__xludf.DUMMYFUNCTION("""COMPUTED_VALUE"""),43883.0)</f>
        <v>43883</v>
      </c>
      <c r="B1515" s="5">
        <f>IFERROR(__xludf.DUMMYFUNCTION("""COMPUTED_VALUE"""),1458.0)</f>
        <v>1458</v>
      </c>
      <c r="C1515" s="6">
        <f>IFERROR(__xludf.DUMMYFUNCTION("""COMPUTED_VALUE"""),0.5537)</f>
        <v>0.5537</v>
      </c>
      <c r="D1515" s="2">
        <f>IFERROR(__xludf.DUMMYFUNCTION("""COMPUTED_VALUE"""),0.0014583333333333334)</f>
        <v>0.001458333333</v>
      </c>
      <c r="E1515" s="1">
        <f>IFERROR(__xludf.DUMMYFUNCTION("""COMPUTED_VALUE"""),1.07)</f>
        <v>1.07</v>
      </c>
      <c r="F1515" s="1">
        <f>IFERROR(__xludf.DUMMYFUNCTION("""COMPUTED_VALUE"""),3.36)</f>
        <v>3.36</v>
      </c>
      <c r="G1515" s="5">
        <f>IFERROR(__xludf.DUMMYFUNCTION("""COMPUTED_VALUE"""),5221.0)</f>
        <v>5221</v>
      </c>
      <c r="H1515" s="5">
        <f>IFERROR(__xludf.DUMMYFUNCTION("""COMPUTED_VALUE"""),1555.0)</f>
        <v>1555</v>
      </c>
    </row>
    <row r="1516">
      <c r="A1516" s="4">
        <f>IFERROR(__xludf.DUMMYFUNCTION("""COMPUTED_VALUE"""),43884.0)</f>
        <v>43884</v>
      </c>
      <c r="B1516" s="5">
        <f>IFERROR(__xludf.DUMMYFUNCTION("""COMPUTED_VALUE"""),1291.0)</f>
        <v>1291</v>
      </c>
      <c r="C1516" s="6">
        <f>IFERROR(__xludf.DUMMYFUNCTION("""COMPUTED_VALUE"""),0.4953)</f>
        <v>0.4953</v>
      </c>
      <c r="D1516" s="2">
        <f>IFERROR(__xludf.DUMMYFUNCTION("""COMPUTED_VALUE"""),0.001736111111111111)</f>
        <v>0.001736111111</v>
      </c>
      <c r="E1516" s="1">
        <f>IFERROR(__xludf.DUMMYFUNCTION("""COMPUTED_VALUE"""),1.15)</f>
        <v>1.15</v>
      </c>
      <c r="F1516" s="1">
        <f>IFERROR(__xludf.DUMMYFUNCTION("""COMPUTED_VALUE"""),3.87)</f>
        <v>3.87</v>
      </c>
      <c r="G1516" s="5">
        <f>IFERROR(__xludf.DUMMYFUNCTION("""COMPUTED_VALUE"""),5749.0)</f>
        <v>5749</v>
      </c>
      <c r="H1516" s="5">
        <f>IFERROR(__xludf.DUMMYFUNCTION("""COMPUTED_VALUE"""),1486.0)</f>
        <v>1486</v>
      </c>
    </row>
    <row r="1517">
      <c r="A1517" s="4">
        <f>IFERROR(__xludf.DUMMYFUNCTION("""COMPUTED_VALUE"""),43885.0)</f>
        <v>43885</v>
      </c>
      <c r="B1517" s="5">
        <f>IFERROR(__xludf.DUMMYFUNCTION("""COMPUTED_VALUE"""),1972.0)</f>
        <v>1972</v>
      </c>
      <c r="C1517" s="6">
        <f>IFERROR(__xludf.DUMMYFUNCTION("""COMPUTED_VALUE"""),0.4577)</f>
        <v>0.4577</v>
      </c>
      <c r="D1517" s="2">
        <f>IFERROR(__xludf.DUMMYFUNCTION("""COMPUTED_VALUE"""),0.002685185185185185)</f>
        <v>0.002685185185</v>
      </c>
      <c r="E1517" s="1">
        <f>IFERROR(__xludf.DUMMYFUNCTION("""COMPUTED_VALUE"""),1.17)</f>
        <v>1.17</v>
      </c>
      <c r="F1517" s="1">
        <f>IFERROR(__xludf.DUMMYFUNCTION("""COMPUTED_VALUE"""),4.98)</f>
        <v>4.98</v>
      </c>
      <c r="G1517" s="5">
        <f>IFERROR(__xludf.DUMMYFUNCTION("""COMPUTED_VALUE"""),11483.0)</f>
        <v>11483</v>
      </c>
      <c r="H1517" s="5">
        <f>IFERROR(__xludf.DUMMYFUNCTION("""COMPUTED_VALUE"""),2305.0)</f>
        <v>2305</v>
      </c>
    </row>
    <row r="1518">
      <c r="A1518" s="4">
        <f>IFERROR(__xludf.DUMMYFUNCTION("""COMPUTED_VALUE"""),43886.0)</f>
        <v>43886</v>
      </c>
      <c r="B1518" s="5">
        <f>IFERROR(__xludf.DUMMYFUNCTION("""COMPUTED_VALUE"""),2083.0)</f>
        <v>2083</v>
      </c>
      <c r="C1518" s="6">
        <f>IFERROR(__xludf.DUMMYFUNCTION("""COMPUTED_VALUE"""),0.5029)</f>
        <v>0.5029</v>
      </c>
      <c r="D1518" s="2">
        <f>IFERROR(__xludf.DUMMYFUNCTION("""COMPUTED_VALUE"""),0.0027314814814814814)</f>
        <v>0.002731481481</v>
      </c>
      <c r="E1518" s="1">
        <f>IFERROR(__xludf.DUMMYFUNCTION("""COMPUTED_VALUE"""),1.17)</f>
        <v>1.17</v>
      </c>
      <c r="F1518" s="1">
        <f>IFERROR(__xludf.DUMMYFUNCTION("""COMPUTED_VALUE"""),4.23)</f>
        <v>4.23</v>
      </c>
      <c r="G1518" s="5">
        <f>IFERROR(__xludf.DUMMYFUNCTION("""COMPUTED_VALUE"""),10275.0)</f>
        <v>10275</v>
      </c>
      <c r="H1518" s="5">
        <f>IFERROR(__xludf.DUMMYFUNCTION("""COMPUTED_VALUE"""),2430.0)</f>
        <v>2430</v>
      </c>
    </row>
    <row r="1519">
      <c r="A1519" s="4">
        <f>IFERROR(__xludf.DUMMYFUNCTION("""COMPUTED_VALUE"""),43887.0)</f>
        <v>43887</v>
      </c>
      <c r="B1519" s="5">
        <f>IFERROR(__xludf.DUMMYFUNCTION("""COMPUTED_VALUE"""),2124.0)</f>
        <v>2124</v>
      </c>
      <c r="C1519" s="6">
        <f>IFERROR(__xludf.DUMMYFUNCTION("""COMPUTED_VALUE"""),0.4489)</f>
        <v>0.4489</v>
      </c>
      <c r="D1519" s="2">
        <f>IFERROR(__xludf.DUMMYFUNCTION("""COMPUTED_VALUE"""),0.001990740740740741)</f>
        <v>0.001990740741</v>
      </c>
      <c r="E1519" s="1">
        <f>IFERROR(__xludf.DUMMYFUNCTION("""COMPUTED_VALUE"""),1.09)</f>
        <v>1.09</v>
      </c>
      <c r="F1519" s="1">
        <f>IFERROR(__xludf.DUMMYFUNCTION("""COMPUTED_VALUE"""),4.31)</f>
        <v>4.31</v>
      </c>
      <c r="G1519" s="5">
        <f>IFERROR(__xludf.DUMMYFUNCTION("""COMPUTED_VALUE"""),9997.0)</f>
        <v>9997</v>
      </c>
      <c r="H1519" s="5">
        <f>IFERROR(__xludf.DUMMYFUNCTION("""COMPUTED_VALUE"""),2319.0)</f>
        <v>2319</v>
      </c>
    </row>
    <row r="1520">
      <c r="A1520" s="4">
        <f>IFERROR(__xludf.DUMMYFUNCTION("""COMPUTED_VALUE"""),43888.0)</f>
        <v>43888</v>
      </c>
      <c r="B1520" s="5">
        <f>IFERROR(__xludf.DUMMYFUNCTION("""COMPUTED_VALUE"""),2138.0)</f>
        <v>2138</v>
      </c>
      <c r="C1520" s="6">
        <f>IFERROR(__xludf.DUMMYFUNCTION("""COMPUTED_VALUE"""),0.4768)</f>
        <v>0.4768</v>
      </c>
      <c r="D1520" s="2">
        <f>IFERROR(__xludf.DUMMYFUNCTION("""COMPUTED_VALUE"""),0.002025462962962963)</f>
        <v>0.002025462963</v>
      </c>
      <c r="E1520" s="1">
        <f>IFERROR(__xludf.DUMMYFUNCTION("""COMPUTED_VALUE"""),1.13)</f>
        <v>1.13</v>
      </c>
      <c r="F1520" s="1">
        <f>IFERROR(__xludf.DUMMYFUNCTION("""COMPUTED_VALUE"""),4.33)</f>
        <v>4.33</v>
      </c>
      <c r="G1520" s="5">
        <f>IFERROR(__xludf.DUMMYFUNCTION("""COMPUTED_VALUE"""),10456.0)</f>
        <v>10456</v>
      </c>
      <c r="H1520" s="5">
        <f>IFERROR(__xludf.DUMMYFUNCTION("""COMPUTED_VALUE"""),2416.0)</f>
        <v>2416</v>
      </c>
    </row>
    <row r="1521">
      <c r="A1521" s="4">
        <f>IFERROR(__xludf.DUMMYFUNCTION("""COMPUTED_VALUE"""),43889.0)</f>
        <v>43889</v>
      </c>
      <c r="B1521" s="5">
        <f>IFERROR(__xludf.DUMMYFUNCTION("""COMPUTED_VALUE"""),1833.0)</f>
        <v>1833</v>
      </c>
      <c r="C1521" s="6">
        <f>IFERROR(__xludf.DUMMYFUNCTION("""COMPUTED_VALUE"""),0.5334)</f>
        <v>0.5334</v>
      </c>
      <c r="D1521" s="2">
        <f>IFERROR(__xludf.DUMMYFUNCTION("""COMPUTED_VALUE"""),0.0015162037037037036)</f>
        <v>0.001516203704</v>
      </c>
      <c r="E1521" s="1">
        <f>IFERROR(__xludf.DUMMYFUNCTION("""COMPUTED_VALUE"""),1.14)</f>
        <v>1.14</v>
      </c>
      <c r="F1521" s="1">
        <f>IFERROR(__xludf.DUMMYFUNCTION("""COMPUTED_VALUE"""),3.66)</f>
        <v>3.66</v>
      </c>
      <c r="G1521" s="5">
        <f>IFERROR(__xludf.DUMMYFUNCTION("""COMPUTED_VALUE"""),7623.0)</f>
        <v>7623</v>
      </c>
      <c r="H1521" s="5">
        <f>IFERROR(__xludf.DUMMYFUNCTION("""COMPUTED_VALUE"""),2083.0)</f>
        <v>2083</v>
      </c>
    </row>
    <row r="1522">
      <c r="A1522" s="4">
        <f>IFERROR(__xludf.DUMMYFUNCTION("""COMPUTED_VALUE"""),43890.0)</f>
        <v>43890</v>
      </c>
      <c r="B1522" s="5">
        <f>IFERROR(__xludf.DUMMYFUNCTION("""COMPUTED_VALUE"""),1389.0)</f>
        <v>1389</v>
      </c>
      <c r="C1522" s="6">
        <f>IFERROR(__xludf.DUMMYFUNCTION("""COMPUTED_VALUE"""),0.5617)</f>
        <v>0.5617</v>
      </c>
      <c r="D1522" s="2">
        <f>IFERROR(__xludf.DUMMYFUNCTION("""COMPUTED_VALUE"""),0.001875)</f>
        <v>0.001875</v>
      </c>
      <c r="E1522" s="1">
        <f>IFERROR(__xludf.DUMMYFUNCTION("""COMPUTED_VALUE"""),1.05)</f>
        <v>1.05</v>
      </c>
      <c r="F1522" s="1">
        <f>IFERROR(__xludf.DUMMYFUNCTION("""COMPUTED_VALUE"""),4.2)</f>
        <v>4.2</v>
      </c>
      <c r="G1522" s="5">
        <f>IFERROR(__xludf.DUMMYFUNCTION("""COMPUTED_VALUE"""),6123.0)</f>
        <v>6123</v>
      </c>
      <c r="H1522" s="5">
        <f>IFERROR(__xludf.DUMMYFUNCTION("""COMPUTED_VALUE"""),1458.0)</f>
        <v>1458</v>
      </c>
    </row>
    <row r="1523">
      <c r="A1523" s="4">
        <f>IFERROR(__xludf.DUMMYFUNCTION("""COMPUTED_VALUE"""),43891.0)</f>
        <v>43891</v>
      </c>
      <c r="B1523" s="5">
        <f>IFERROR(__xludf.DUMMYFUNCTION("""COMPUTED_VALUE"""),1458.0)</f>
        <v>1458</v>
      </c>
      <c r="C1523" s="6">
        <f>IFERROR(__xludf.DUMMYFUNCTION("""COMPUTED_VALUE"""),0.4491)</f>
        <v>0.4491</v>
      </c>
      <c r="D1523" s="2">
        <f>IFERROR(__xludf.DUMMYFUNCTION("""COMPUTED_VALUE"""),0.0016319444444444445)</f>
        <v>0.001631944444</v>
      </c>
      <c r="E1523" s="1">
        <f>IFERROR(__xludf.DUMMYFUNCTION("""COMPUTED_VALUE"""),1.04)</f>
        <v>1.04</v>
      </c>
      <c r="F1523" s="1">
        <f>IFERROR(__xludf.DUMMYFUNCTION("""COMPUTED_VALUE"""),3.4)</f>
        <v>3.4</v>
      </c>
      <c r="G1523" s="5">
        <f>IFERROR(__xludf.DUMMYFUNCTION("""COMPUTED_VALUE"""),5151.0)</f>
        <v>5151</v>
      </c>
      <c r="H1523" s="5">
        <f>IFERROR(__xludf.DUMMYFUNCTION("""COMPUTED_VALUE"""),1514.0)</f>
        <v>1514</v>
      </c>
    </row>
    <row r="1524">
      <c r="A1524" s="4">
        <f>IFERROR(__xludf.DUMMYFUNCTION("""COMPUTED_VALUE"""),43892.0)</f>
        <v>43892</v>
      </c>
      <c r="B1524" s="5">
        <f>IFERROR(__xludf.DUMMYFUNCTION("""COMPUTED_VALUE"""),2166.0)</f>
        <v>2166</v>
      </c>
      <c r="C1524" s="6">
        <f>IFERROR(__xludf.DUMMYFUNCTION("""COMPUTED_VALUE"""),0.5058)</f>
        <v>0.5058</v>
      </c>
      <c r="D1524" s="2">
        <f>IFERROR(__xludf.DUMMYFUNCTION("""COMPUTED_VALUE"""),0.0018981481481481482)</f>
        <v>0.001898148148</v>
      </c>
      <c r="E1524" s="1">
        <f>IFERROR(__xludf.DUMMYFUNCTION("""COMPUTED_VALUE"""),1.12)</f>
        <v>1.12</v>
      </c>
      <c r="F1524" s="1">
        <f>IFERROR(__xludf.DUMMYFUNCTION("""COMPUTED_VALUE"""),5.0)</f>
        <v>5</v>
      </c>
      <c r="G1524" s="5">
        <f>IFERROR(__xludf.DUMMYFUNCTION("""COMPUTED_VALUE"""),12080.0)</f>
        <v>12080</v>
      </c>
      <c r="H1524" s="5">
        <f>IFERROR(__xludf.DUMMYFUNCTION("""COMPUTED_VALUE"""),2416.0)</f>
        <v>2416</v>
      </c>
    </row>
    <row r="1525">
      <c r="A1525" s="4">
        <f>IFERROR(__xludf.DUMMYFUNCTION("""COMPUTED_VALUE"""),43893.0)</f>
        <v>43893</v>
      </c>
      <c r="B1525" s="5">
        <f>IFERROR(__xludf.DUMMYFUNCTION("""COMPUTED_VALUE"""),2236.0)</f>
        <v>2236</v>
      </c>
      <c r="C1525" s="6">
        <f>IFERROR(__xludf.DUMMYFUNCTION("""COMPUTED_VALUE"""),0.5272)</f>
        <v>0.5272</v>
      </c>
      <c r="D1525" s="2">
        <f>IFERROR(__xludf.DUMMYFUNCTION("""COMPUTED_VALUE"""),0.001863425925925926)</f>
        <v>0.001863425926</v>
      </c>
      <c r="E1525" s="1">
        <f>IFERROR(__xludf.DUMMYFUNCTION("""COMPUTED_VALUE"""),1.14)</f>
        <v>1.14</v>
      </c>
      <c r="F1525" s="1">
        <f>IFERROR(__xludf.DUMMYFUNCTION("""COMPUTED_VALUE"""),3.63)</f>
        <v>3.63</v>
      </c>
      <c r="G1525" s="5">
        <f>IFERROR(__xludf.DUMMYFUNCTION("""COMPUTED_VALUE"""),9262.0)</f>
        <v>9262</v>
      </c>
      <c r="H1525" s="5">
        <f>IFERROR(__xludf.DUMMYFUNCTION("""COMPUTED_VALUE"""),2555.0)</f>
        <v>2555</v>
      </c>
    </row>
    <row r="1526">
      <c r="A1526" s="4">
        <f>IFERROR(__xludf.DUMMYFUNCTION("""COMPUTED_VALUE"""),43894.0)</f>
        <v>43894</v>
      </c>
      <c r="B1526" s="5">
        <f>IFERROR(__xludf.DUMMYFUNCTION("""COMPUTED_VALUE"""),2347.0)</f>
        <v>2347</v>
      </c>
      <c r="C1526" s="6">
        <f>IFERROR(__xludf.DUMMYFUNCTION("""COMPUTED_VALUE"""),0.4971)</f>
        <v>0.4971</v>
      </c>
      <c r="D1526" s="2">
        <f>IFERROR(__xludf.DUMMYFUNCTION("""COMPUTED_VALUE"""),0.0014351851851851852)</f>
        <v>0.001435185185</v>
      </c>
      <c r="E1526" s="1">
        <f>IFERROR(__xludf.DUMMYFUNCTION("""COMPUTED_VALUE"""),1.11)</f>
        <v>1.11</v>
      </c>
      <c r="F1526" s="1">
        <f>IFERROR(__xludf.DUMMYFUNCTION("""COMPUTED_VALUE"""),3.41)</f>
        <v>3.41</v>
      </c>
      <c r="G1526" s="5">
        <f>IFERROR(__xludf.DUMMYFUNCTION("""COMPUTED_VALUE"""),8859.0)</f>
        <v>8859</v>
      </c>
      <c r="H1526" s="5">
        <f>IFERROR(__xludf.DUMMYFUNCTION("""COMPUTED_VALUE"""),2597.0)</f>
        <v>2597</v>
      </c>
    </row>
    <row r="1527">
      <c r="A1527" s="4">
        <f>IFERROR(__xludf.DUMMYFUNCTION("""COMPUTED_VALUE"""),43895.0)</f>
        <v>43895</v>
      </c>
      <c r="B1527" s="5">
        <f>IFERROR(__xludf.DUMMYFUNCTION("""COMPUTED_VALUE"""),2097.0)</f>
        <v>2097</v>
      </c>
      <c r="C1527" s="6">
        <f>IFERROR(__xludf.DUMMYFUNCTION("""COMPUTED_VALUE"""),0.4968)</f>
        <v>0.4968</v>
      </c>
      <c r="D1527" s="2">
        <f>IFERROR(__xludf.DUMMYFUNCTION("""COMPUTED_VALUE"""),0.0022453703703703702)</f>
        <v>0.00224537037</v>
      </c>
      <c r="E1527" s="1">
        <f>IFERROR(__xludf.DUMMYFUNCTION("""COMPUTED_VALUE"""),1.11)</f>
        <v>1.11</v>
      </c>
      <c r="F1527" s="1">
        <f>IFERROR(__xludf.DUMMYFUNCTION("""COMPUTED_VALUE"""),4.57)</f>
        <v>4.57</v>
      </c>
      <c r="G1527" s="5">
        <f>IFERROR(__xludf.DUMMYFUNCTION("""COMPUTED_VALUE"""),10595.0)</f>
        <v>10595</v>
      </c>
      <c r="H1527" s="5">
        <f>IFERROR(__xludf.DUMMYFUNCTION("""COMPUTED_VALUE"""),2319.0)</f>
        <v>2319</v>
      </c>
    </row>
    <row r="1528">
      <c r="A1528" s="4">
        <f>IFERROR(__xludf.DUMMYFUNCTION("""COMPUTED_VALUE"""),43896.0)</f>
        <v>43896</v>
      </c>
      <c r="B1528" s="5">
        <f>IFERROR(__xludf.DUMMYFUNCTION("""COMPUTED_VALUE"""),1958.0)</f>
        <v>1958</v>
      </c>
      <c r="C1528" s="6">
        <f>IFERROR(__xludf.DUMMYFUNCTION("""COMPUTED_VALUE"""),0.5197)</f>
        <v>0.5197</v>
      </c>
      <c r="D1528" s="2">
        <f>IFERROR(__xludf.DUMMYFUNCTION("""COMPUTED_VALUE"""),0.0021875)</f>
        <v>0.0021875</v>
      </c>
      <c r="E1528" s="1">
        <f>IFERROR(__xludf.DUMMYFUNCTION("""COMPUTED_VALUE"""),1.08)</f>
        <v>1.08</v>
      </c>
      <c r="F1528" s="1">
        <f>IFERROR(__xludf.DUMMYFUNCTION("""COMPUTED_VALUE"""),4.39)</f>
        <v>4.39</v>
      </c>
      <c r="G1528" s="5">
        <f>IFERROR(__xludf.DUMMYFUNCTION("""COMPUTED_VALUE"""),9275.0)</f>
        <v>9275</v>
      </c>
      <c r="H1528" s="5">
        <f>IFERROR(__xludf.DUMMYFUNCTION("""COMPUTED_VALUE"""),2111.0)</f>
        <v>2111</v>
      </c>
    </row>
    <row r="1529">
      <c r="A1529" s="4">
        <f>IFERROR(__xludf.DUMMYFUNCTION("""COMPUTED_VALUE"""),43897.0)</f>
        <v>43897</v>
      </c>
      <c r="B1529" s="5">
        <f>IFERROR(__xludf.DUMMYFUNCTION("""COMPUTED_VALUE"""),1222.0)</f>
        <v>1222</v>
      </c>
      <c r="C1529" s="6">
        <f>IFERROR(__xludf.DUMMYFUNCTION("""COMPUTED_VALUE"""),0.4755)</f>
        <v>0.4755</v>
      </c>
      <c r="D1529" s="2">
        <f>IFERROR(__xludf.DUMMYFUNCTION("""COMPUTED_VALUE"""),0.0021759259259259258)</f>
        <v>0.002175925926</v>
      </c>
      <c r="E1529" s="1">
        <f>IFERROR(__xludf.DUMMYFUNCTION("""COMPUTED_VALUE"""),1.17)</f>
        <v>1.17</v>
      </c>
      <c r="F1529" s="1">
        <f>IFERROR(__xludf.DUMMYFUNCTION("""COMPUTED_VALUE"""),3.85)</f>
        <v>3.85</v>
      </c>
      <c r="G1529" s="5">
        <f>IFERROR(__xludf.DUMMYFUNCTION("""COMPUTED_VALUE"""),5499.0)</f>
        <v>5499</v>
      </c>
      <c r="H1529" s="5">
        <f>IFERROR(__xludf.DUMMYFUNCTION("""COMPUTED_VALUE"""),1430.0)</f>
        <v>1430</v>
      </c>
    </row>
    <row r="1530">
      <c r="A1530" s="4">
        <f>IFERROR(__xludf.DUMMYFUNCTION("""COMPUTED_VALUE"""),43898.0)</f>
        <v>43898</v>
      </c>
      <c r="B1530" s="5">
        <f>IFERROR(__xludf.DUMMYFUNCTION("""COMPUTED_VALUE"""),1194.0)</f>
        <v>1194</v>
      </c>
      <c r="C1530" s="6">
        <f>IFERROR(__xludf.DUMMYFUNCTION("""COMPUTED_VALUE"""),0.4795)</f>
        <v>0.4795</v>
      </c>
      <c r="D1530" s="2">
        <f>IFERROR(__xludf.DUMMYFUNCTION("""COMPUTED_VALUE"""),0.0014583333333333334)</f>
        <v>0.001458333333</v>
      </c>
      <c r="E1530" s="1">
        <f>IFERROR(__xludf.DUMMYFUNCTION("""COMPUTED_VALUE"""),1.16)</f>
        <v>1.16</v>
      </c>
      <c r="F1530" s="1">
        <f>IFERROR(__xludf.DUMMYFUNCTION("""COMPUTED_VALUE"""),3.48)</f>
        <v>3.48</v>
      </c>
      <c r="G1530" s="5">
        <f>IFERROR(__xludf.DUMMYFUNCTION("""COMPUTED_VALUE"""),4832.0)</f>
        <v>4832</v>
      </c>
      <c r="H1530" s="5">
        <f>IFERROR(__xludf.DUMMYFUNCTION("""COMPUTED_VALUE"""),1389.0)</f>
        <v>1389</v>
      </c>
    </row>
    <row r="1531">
      <c r="A1531" s="4">
        <f>IFERROR(__xludf.DUMMYFUNCTION("""COMPUTED_VALUE"""),43899.0)</f>
        <v>43899</v>
      </c>
      <c r="B1531" s="5">
        <f>IFERROR(__xludf.DUMMYFUNCTION("""COMPUTED_VALUE"""),2027.0)</f>
        <v>2027</v>
      </c>
      <c r="C1531" s="6">
        <f>IFERROR(__xludf.DUMMYFUNCTION("""COMPUTED_VALUE"""),0.4811)</f>
        <v>0.4811</v>
      </c>
      <c r="D1531" s="2">
        <f>IFERROR(__xludf.DUMMYFUNCTION("""COMPUTED_VALUE"""),0.0018287037037037037)</f>
        <v>0.001828703704</v>
      </c>
      <c r="E1531" s="1">
        <f>IFERROR(__xludf.DUMMYFUNCTION("""COMPUTED_VALUE"""),1.1)</f>
        <v>1.1</v>
      </c>
      <c r="F1531" s="1">
        <f>IFERROR(__xludf.DUMMYFUNCTION("""COMPUTED_VALUE"""),5.06)</f>
        <v>5.06</v>
      </c>
      <c r="G1531" s="5">
        <f>IFERROR(__xludf.DUMMYFUNCTION("""COMPUTED_VALUE"""),11247.0)</f>
        <v>11247</v>
      </c>
      <c r="H1531" s="5">
        <f>IFERROR(__xludf.DUMMYFUNCTION("""COMPUTED_VALUE"""),2222.0)</f>
        <v>2222</v>
      </c>
    </row>
    <row r="1532">
      <c r="A1532" s="4">
        <f>IFERROR(__xludf.DUMMYFUNCTION("""COMPUTED_VALUE"""),43900.0)</f>
        <v>43900</v>
      </c>
      <c r="B1532" s="5">
        <f>IFERROR(__xludf.DUMMYFUNCTION("""COMPUTED_VALUE"""),2180.0)</f>
        <v>2180</v>
      </c>
      <c r="C1532" s="6">
        <f>IFERROR(__xludf.DUMMYFUNCTION("""COMPUTED_VALUE"""),0.4509)</f>
        <v>0.4509</v>
      </c>
      <c r="D1532" s="2">
        <f>IFERROR(__xludf.DUMMYFUNCTION("""COMPUTED_VALUE"""),0.0015625)</f>
        <v>0.0015625</v>
      </c>
      <c r="E1532" s="1">
        <f>IFERROR(__xludf.DUMMYFUNCTION("""COMPUTED_VALUE"""),1.17)</f>
        <v>1.17</v>
      </c>
      <c r="F1532" s="1">
        <f>IFERROR(__xludf.DUMMYFUNCTION("""COMPUTED_VALUE"""),3.25)</f>
        <v>3.25</v>
      </c>
      <c r="G1532" s="5">
        <f>IFERROR(__xludf.DUMMYFUNCTION("""COMPUTED_VALUE"""),8303.0)</f>
        <v>8303</v>
      </c>
      <c r="H1532" s="5">
        <f>IFERROR(__xludf.DUMMYFUNCTION("""COMPUTED_VALUE"""),2555.0)</f>
        <v>2555</v>
      </c>
    </row>
    <row r="1533">
      <c r="A1533" s="4">
        <f>IFERROR(__xludf.DUMMYFUNCTION("""COMPUTED_VALUE"""),43901.0)</f>
        <v>43901</v>
      </c>
      <c r="B1533" s="5">
        <f>IFERROR(__xludf.DUMMYFUNCTION("""COMPUTED_VALUE"""),2027.0)</f>
        <v>2027</v>
      </c>
      <c r="C1533" s="6">
        <f>IFERROR(__xludf.DUMMYFUNCTION("""COMPUTED_VALUE"""),0.4233)</f>
        <v>0.4233</v>
      </c>
      <c r="D1533" s="2">
        <f>IFERROR(__xludf.DUMMYFUNCTION("""COMPUTED_VALUE"""),0.002013888888888889)</f>
        <v>0.002013888889</v>
      </c>
      <c r="E1533" s="1">
        <f>IFERROR(__xludf.DUMMYFUNCTION("""COMPUTED_VALUE"""),1.12)</f>
        <v>1.12</v>
      </c>
      <c r="F1533" s="1">
        <f>IFERROR(__xludf.DUMMYFUNCTION("""COMPUTED_VALUE"""),4.44)</f>
        <v>4.44</v>
      </c>
      <c r="G1533" s="5">
        <f>IFERROR(__xludf.DUMMYFUNCTION("""COMPUTED_VALUE"""),10053.0)</f>
        <v>10053</v>
      </c>
      <c r="H1533" s="5">
        <f>IFERROR(__xludf.DUMMYFUNCTION("""COMPUTED_VALUE"""),2263.0)</f>
        <v>2263</v>
      </c>
    </row>
    <row r="1534">
      <c r="A1534" s="4">
        <f>IFERROR(__xludf.DUMMYFUNCTION("""COMPUTED_VALUE"""),43902.0)</f>
        <v>43902</v>
      </c>
      <c r="B1534" s="5">
        <f>IFERROR(__xludf.DUMMYFUNCTION("""COMPUTED_VALUE"""),1736.0)</f>
        <v>1736</v>
      </c>
      <c r="C1534" s="6">
        <f>IFERROR(__xludf.DUMMYFUNCTION("""COMPUTED_VALUE"""),0.5)</f>
        <v>0.5</v>
      </c>
      <c r="D1534" s="2">
        <f>IFERROR(__xludf.DUMMYFUNCTION("""COMPUTED_VALUE"""),0.002037037037037037)</f>
        <v>0.002037037037</v>
      </c>
      <c r="E1534" s="1">
        <f>IFERROR(__xludf.DUMMYFUNCTION("""COMPUTED_VALUE"""),1.12)</f>
        <v>1.12</v>
      </c>
      <c r="F1534" s="1">
        <f>IFERROR(__xludf.DUMMYFUNCTION("""COMPUTED_VALUE"""),4.0)</f>
        <v>4</v>
      </c>
      <c r="G1534" s="5">
        <f>IFERROR(__xludf.DUMMYFUNCTION("""COMPUTED_VALUE"""),7776.0)</f>
        <v>7776</v>
      </c>
      <c r="H1534" s="5">
        <f>IFERROR(__xludf.DUMMYFUNCTION("""COMPUTED_VALUE"""),1944.0)</f>
        <v>1944</v>
      </c>
    </row>
    <row r="1535">
      <c r="A1535" s="4">
        <f>IFERROR(__xludf.DUMMYFUNCTION("""COMPUTED_VALUE"""),43903.0)</f>
        <v>43903</v>
      </c>
      <c r="B1535" s="5">
        <f>IFERROR(__xludf.DUMMYFUNCTION("""COMPUTED_VALUE"""),1402.0)</f>
        <v>1402</v>
      </c>
      <c r="C1535" s="6">
        <f>IFERROR(__xludf.DUMMYFUNCTION("""COMPUTED_VALUE"""),0.5315)</f>
        <v>0.5315</v>
      </c>
      <c r="D1535" s="2">
        <f>IFERROR(__xludf.DUMMYFUNCTION("""COMPUTED_VALUE"""),0.001261574074074074)</f>
        <v>0.001261574074</v>
      </c>
      <c r="E1535" s="1">
        <f>IFERROR(__xludf.DUMMYFUNCTION("""COMPUTED_VALUE"""),1.1)</f>
        <v>1.1</v>
      </c>
      <c r="F1535" s="1">
        <f>IFERROR(__xludf.DUMMYFUNCTION("""COMPUTED_VALUE"""),3.05)</f>
        <v>3.05</v>
      </c>
      <c r="G1535" s="5">
        <f>IFERROR(__xludf.DUMMYFUNCTION("""COMPUTED_VALUE"""),4693.0)</f>
        <v>4693</v>
      </c>
      <c r="H1535" s="5">
        <f>IFERROR(__xludf.DUMMYFUNCTION("""COMPUTED_VALUE"""),1541.0)</f>
        <v>1541</v>
      </c>
    </row>
    <row r="1536">
      <c r="A1536" s="4">
        <f>IFERROR(__xludf.DUMMYFUNCTION("""COMPUTED_VALUE"""),43904.0)</f>
        <v>43904</v>
      </c>
      <c r="B1536" s="5">
        <f>IFERROR(__xludf.DUMMYFUNCTION("""COMPUTED_VALUE"""),1055.0)</f>
        <v>1055</v>
      </c>
      <c r="C1536" s="6">
        <f>IFERROR(__xludf.DUMMYFUNCTION("""COMPUTED_VALUE"""),0.4883)</f>
        <v>0.4883</v>
      </c>
      <c r="D1536" s="2">
        <f>IFERROR(__xludf.DUMMYFUNCTION("""COMPUTED_VALUE"""),0.001712962962962963)</f>
        <v>0.001712962963</v>
      </c>
      <c r="E1536" s="1">
        <f>IFERROR(__xludf.DUMMYFUNCTION("""COMPUTED_VALUE"""),1.13)</f>
        <v>1.13</v>
      </c>
      <c r="F1536" s="1">
        <f>IFERROR(__xludf.DUMMYFUNCTION("""COMPUTED_VALUE"""),3.59)</f>
        <v>3.59</v>
      </c>
      <c r="G1536" s="5">
        <f>IFERROR(__xludf.DUMMYFUNCTION("""COMPUTED_VALUE"""),4291.0)</f>
        <v>4291</v>
      </c>
      <c r="H1536" s="5">
        <f>IFERROR(__xludf.DUMMYFUNCTION("""COMPUTED_VALUE"""),1194.0)</f>
        <v>1194</v>
      </c>
    </row>
    <row r="1537">
      <c r="A1537" s="4">
        <f>IFERROR(__xludf.DUMMYFUNCTION("""COMPUTED_VALUE"""),43905.0)</f>
        <v>43905</v>
      </c>
      <c r="B1537" s="5">
        <f>IFERROR(__xludf.DUMMYFUNCTION("""COMPUTED_VALUE"""),1139.0)</f>
        <v>1139</v>
      </c>
      <c r="C1537" s="6">
        <f>IFERROR(__xludf.DUMMYFUNCTION("""COMPUTED_VALUE"""),0.5823)</f>
        <v>0.5823</v>
      </c>
      <c r="D1537" s="2">
        <f>IFERROR(__xludf.DUMMYFUNCTION("""COMPUTED_VALUE"""),0.0021412037037037038)</f>
        <v>0.002141203704</v>
      </c>
      <c r="E1537" s="1">
        <f>IFERROR(__xludf.DUMMYFUNCTION("""COMPUTED_VALUE"""),1.11)</f>
        <v>1.11</v>
      </c>
      <c r="F1537" s="1">
        <f>IFERROR(__xludf.DUMMYFUNCTION("""COMPUTED_VALUE"""),3.87)</f>
        <v>3.87</v>
      </c>
      <c r="G1537" s="5">
        <f>IFERROR(__xludf.DUMMYFUNCTION("""COMPUTED_VALUE"""),4888.0)</f>
        <v>4888</v>
      </c>
      <c r="H1537" s="5">
        <f>IFERROR(__xludf.DUMMYFUNCTION("""COMPUTED_VALUE"""),1264.0)</f>
        <v>1264</v>
      </c>
    </row>
    <row r="1538">
      <c r="A1538" s="4">
        <f>IFERROR(__xludf.DUMMYFUNCTION("""COMPUTED_VALUE"""),43906.0)</f>
        <v>43906</v>
      </c>
      <c r="B1538" s="5">
        <f>IFERROR(__xludf.DUMMYFUNCTION("""COMPUTED_VALUE"""),1430.0)</f>
        <v>1430</v>
      </c>
      <c r="C1538" s="6">
        <f>IFERROR(__xludf.DUMMYFUNCTION("""COMPUTED_VALUE"""),0.4913)</f>
        <v>0.4913</v>
      </c>
      <c r="D1538" s="2">
        <f>IFERROR(__xludf.DUMMYFUNCTION("""COMPUTED_VALUE"""),0.002824074074074074)</f>
        <v>0.002824074074</v>
      </c>
      <c r="E1538" s="1">
        <f>IFERROR(__xludf.DUMMYFUNCTION("""COMPUTED_VALUE"""),1.09)</f>
        <v>1.09</v>
      </c>
      <c r="F1538" s="1">
        <f>IFERROR(__xludf.DUMMYFUNCTION("""COMPUTED_VALUE"""),4.06)</f>
        <v>4.06</v>
      </c>
      <c r="G1538" s="5">
        <f>IFERROR(__xludf.DUMMYFUNCTION("""COMPUTED_VALUE"""),6318.0)</f>
        <v>6318</v>
      </c>
      <c r="H1538" s="5">
        <f>IFERROR(__xludf.DUMMYFUNCTION("""COMPUTED_VALUE"""),1555.0)</f>
        <v>1555</v>
      </c>
    </row>
    <row r="1539">
      <c r="A1539" s="4">
        <f>IFERROR(__xludf.DUMMYFUNCTION("""COMPUTED_VALUE"""),43907.0)</f>
        <v>43907</v>
      </c>
      <c r="B1539" s="5">
        <f>IFERROR(__xludf.DUMMYFUNCTION("""COMPUTED_VALUE"""),1402.0)</f>
        <v>1402</v>
      </c>
      <c r="C1539" s="6">
        <f>IFERROR(__xludf.DUMMYFUNCTION("""COMPUTED_VALUE"""),0.4776)</f>
        <v>0.4776</v>
      </c>
      <c r="D1539" s="2">
        <f>IFERROR(__xludf.DUMMYFUNCTION("""COMPUTED_VALUE"""),0.0029745370370370373)</f>
        <v>0.002974537037</v>
      </c>
      <c r="E1539" s="1">
        <f>IFERROR(__xludf.DUMMYFUNCTION("""COMPUTED_VALUE"""),1.1)</f>
        <v>1.1</v>
      </c>
      <c r="F1539" s="1">
        <f>IFERROR(__xludf.DUMMYFUNCTION("""COMPUTED_VALUE"""),4.34)</f>
        <v>4.34</v>
      </c>
      <c r="G1539" s="5">
        <f>IFERROR(__xludf.DUMMYFUNCTION("""COMPUTED_VALUE"""),6693.0)</f>
        <v>6693</v>
      </c>
      <c r="H1539" s="5">
        <f>IFERROR(__xludf.DUMMYFUNCTION("""COMPUTED_VALUE"""),1541.0)</f>
        <v>1541</v>
      </c>
    </row>
    <row r="1540">
      <c r="A1540" s="4">
        <f>IFERROR(__xludf.DUMMYFUNCTION("""COMPUTED_VALUE"""),43908.0)</f>
        <v>43908</v>
      </c>
      <c r="B1540" s="5">
        <f>IFERROR(__xludf.DUMMYFUNCTION("""COMPUTED_VALUE"""),1500.0)</f>
        <v>1500</v>
      </c>
      <c r="C1540" s="6">
        <f>IFERROR(__xludf.DUMMYFUNCTION("""COMPUTED_VALUE"""),0.5723)</f>
        <v>0.5723</v>
      </c>
      <c r="D1540" s="2">
        <f>IFERROR(__xludf.DUMMYFUNCTION("""COMPUTED_VALUE"""),0.0016666666666666668)</f>
        <v>0.001666666667</v>
      </c>
      <c r="E1540" s="1">
        <f>IFERROR(__xludf.DUMMYFUNCTION("""COMPUTED_VALUE"""),1.08)</f>
        <v>1.08</v>
      </c>
      <c r="F1540" s="1">
        <f>IFERROR(__xludf.DUMMYFUNCTION("""COMPUTED_VALUE"""),2.98)</f>
        <v>2.98</v>
      </c>
      <c r="G1540" s="5">
        <f>IFERROR(__xludf.DUMMYFUNCTION("""COMPUTED_VALUE"""),4846.0)</f>
        <v>4846</v>
      </c>
      <c r="H1540" s="5">
        <f>IFERROR(__xludf.DUMMYFUNCTION("""COMPUTED_VALUE"""),1625.0)</f>
        <v>1625</v>
      </c>
    </row>
    <row r="1541">
      <c r="A1541" s="4">
        <f>IFERROR(__xludf.DUMMYFUNCTION("""COMPUTED_VALUE"""),43909.0)</f>
        <v>43909</v>
      </c>
      <c r="B1541" s="5">
        <f>IFERROR(__xludf.DUMMYFUNCTION("""COMPUTED_VALUE"""),1222.0)</f>
        <v>1222</v>
      </c>
      <c r="C1541" s="6">
        <f>IFERROR(__xludf.DUMMYFUNCTION("""COMPUTED_VALUE"""),0.4612)</f>
        <v>0.4612</v>
      </c>
      <c r="D1541" s="2">
        <f>IFERROR(__xludf.DUMMYFUNCTION("""COMPUTED_VALUE"""),0.002685185185185185)</f>
        <v>0.002685185185</v>
      </c>
      <c r="E1541" s="1">
        <f>IFERROR(__xludf.DUMMYFUNCTION("""COMPUTED_VALUE"""),1.16)</f>
        <v>1.16</v>
      </c>
      <c r="F1541" s="1">
        <f>IFERROR(__xludf.DUMMYFUNCTION("""COMPUTED_VALUE"""),5.14)</f>
        <v>5.14</v>
      </c>
      <c r="G1541" s="5">
        <f>IFERROR(__xludf.DUMMYFUNCTION("""COMPUTED_VALUE"""),7276.0)</f>
        <v>7276</v>
      </c>
      <c r="H1541" s="5">
        <f>IFERROR(__xludf.DUMMYFUNCTION("""COMPUTED_VALUE"""),1416.0)</f>
        <v>1416</v>
      </c>
    </row>
    <row r="1542">
      <c r="A1542" s="4">
        <f>IFERROR(__xludf.DUMMYFUNCTION("""COMPUTED_VALUE"""),43910.0)</f>
        <v>43910</v>
      </c>
      <c r="B1542" s="5">
        <f>IFERROR(__xludf.DUMMYFUNCTION("""COMPUTED_VALUE"""),1194.0)</f>
        <v>1194</v>
      </c>
      <c r="C1542" s="6">
        <f>IFERROR(__xludf.DUMMYFUNCTION("""COMPUTED_VALUE"""),0.5099)</f>
        <v>0.5099</v>
      </c>
      <c r="D1542" s="2">
        <f>IFERROR(__xludf.DUMMYFUNCTION("""COMPUTED_VALUE"""),0.0033564814814814816)</f>
        <v>0.003356481481</v>
      </c>
      <c r="E1542" s="1">
        <f>IFERROR(__xludf.DUMMYFUNCTION("""COMPUTED_VALUE"""),1.19)</f>
        <v>1.19</v>
      </c>
      <c r="F1542" s="1">
        <f>IFERROR(__xludf.DUMMYFUNCTION("""COMPUTED_VALUE"""),4.09)</f>
        <v>4.09</v>
      </c>
      <c r="G1542" s="5">
        <f>IFERROR(__xludf.DUMMYFUNCTION("""COMPUTED_VALUE"""),5790.0)</f>
        <v>5790</v>
      </c>
      <c r="H1542" s="5">
        <f>IFERROR(__xludf.DUMMYFUNCTION("""COMPUTED_VALUE"""),1416.0)</f>
        <v>1416</v>
      </c>
    </row>
    <row r="1543">
      <c r="A1543" s="4">
        <f>IFERROR(__xludf.DUMMYFUNCTION("""COMPUTED_VALUE"""),43911.0)</f>
        <v>43911</v>
      </c>
      <c r="B1543" s="5">
        <f>IFERROR(__xludf.DUMMYFUNCTION("""COMPUTED_VALUE"""),1041.0)</f>
        <v>1041</v>
      </c>
      <c r="C1543" s="6">
        <f>IFERROR(__xludf.DUMMYFUNCTION("""COMPUTED_VALUE"""),0.5952)</f>
        <v>0.5952</v>
      </c>
      <c r="D1543" s="2">
        <f>IFERROR(__xludf.DUMMYFUNCTION("""COMPUTED_VALUE"""),0.0015046296296296296)</f>
        <v>0.00150462963</v>
      </c>
      <c r="E1543" s="1">
        <f>IFERROR(__xludf.DUMMYFUNCTION("""COMPUTED_VALUE"""),1.12)</f>
        <v>1.12</v>
      </c>
      <c r="F1543" s="1">
        <f>IFERROR(__xludf.DUMMYFUNCTION("""COMPUTED_VALUE"""),3.44)</f>
        <v>3.44</v>
      </c>
      <c r="G1543" s="5">
        <f>IFERROR(__xludf.DUMMYFUNCTION("""COMPUTED_VALUE"""),4013.0)</f>
        <v>4013</v>
      </c>
      <c r="H1543" s="5">
        <f>IFERROR(__xludf.DUMMYFUNCTION("""COMPUTED_VALUE"""),1166.0)</f>
        <v>1166</v>
      </c>
    </row>
    <row r="1544">
      <c r="A1544" s="4">
        <f>IFERROR(__xludf.DUMMYFUNCTION("""COMPUTED_VALUE"""),43912.0)</f>
        <v>43912</v>
      </c>
      <c r="B1544" s="1">
        <f>IFERROR(__xludf.DUMMYFUNCTION("""COMPUTED_VALUE"""),986.0)</f>
        <v>986</v>
      </c>
      <c r="C1544" s="6">
        <f>IFERROR(__xludf.DUMMYFUNCTION("""COMPUTED_VALUE"""),0.4569)</f>
        <v>0.4569</v>
      </c>
      <c r="D1544" s="2">
        <f>IFERROR(__xludf.DUMMYFUNCTION("""COMPUTED_VALUE"""),0.0029861111111111113)</f>
        <v>0.002986111111</v>
      </c>
      <c r="E1544" s="1">
        <f>IFERROR(__xludf.DUMMYFUNCTION("""COMPUTED_VALUE"""),1.14)</f>
        <v>1.14</v>
      </c>
      <c r="F1544" s="1">
        <f>IFERROR(__xludf.DUMMYFUNCTION("""COMPUTED_VALUE"""),4.04)</f>
        <v>4.04</v>
      </c>
      <c r="G1544" s="5">
        <f>IFERROR(__xludf.DUMMYFUNCTION("""COMPUTED_VALUE"""),4541.0)</f>
        <v>4541</v>
      </c>
      <c r="H1544" s="5">
        <f>IFERROR(__xludf.DUMMYFUNCTION("""COMPUTED_VALUE"""),1125.0)</f>
        <v>1125</v>
      </c>
    </row>
    <row r="1545">
      <c r="A1545" s="4">
        <f>IFERROR(__xludf.DUMMYFUNCTION("""COMPUTED_VALUE"""),43913.0)</f>
        <v>43913</v>
      </c>
      <c r="B1545" s="5">
        <f>IFERROR(__xludf.DUMMYFUNCTION("""COMPUTED_VALUE"""),1319.0)</f>
        <v>1319</v>
      </c>
      <c r="C1545" s="6">
        <f>IFERROR(__xludf.DUMMYFUNCTION("""COMPUTED_VALUE"""),0.4201)</f>
        <v>0.4201</v>
      </c>
      <c r="D1545" s="2">
        <f>IFERROR(__xludf.DUMMYFUNCTION("""COMPUTED_VALUE"""),0.002037037037037037)</f>
        <v>0.002037037037</v>
      </c>
      <c r="E1545" s="1">
        <f>IFERROR(__xludf.DUMMYFUNCTION("""COMPUTED_VALUE"""),1.25)</f>
        <v>1.25</v>
      </c>
      <c r="F1545" s="1">
        <f>IFERROR(__xludf.DUMMYFUNCTION("""COMPUTED_VALUE"""),3.88)</f>
        <v>3.88</v>
      </c>
      <c r="G1545" s="5">
        <f>IFERROR(__xludf.DUMMYFUNCTION("""COMPUTED_VALUE"""),6415.0)</f>
        <v>6415</v>
      </c>
      <c r="H1545" s="5">
        <f>IFERROR(__xludf.DUMMYFUNCTION("""COMPUTED_VALUE"""),1652.0)</f>
        <v>1652</v>
      </c>
    </row>
    <row r="1546">
      <c r="A1546" s="4">
        <f>IFERROR(__xludf.DUMMYFUNCTION("""COMPUTED_VALUE"""),43914.0)</f>
        <v>43914</v>
      </c>
      <c r="B1546" s="5">
        <f>IFERROR(__xludf.DUMMYFUNCTION("""COMPUTED_VALUE"""),1514.0)</f>
        <v>1514</v>
      </c>
      <c r="C1546" s="6">
        <f>IFERROR(__xludf.DUMMYFUNCTION("""COMPUTED_VALUE"""),0.4915)</f>
        <v>0.4915</v>
      </c>
      <c r="D1546" s="2">
        <f>IFERROR(__xludf.DUMMYFUNCTION("""COMPUTED_VALUE"""),9.25925925925926E-4)</f>
        <v>0.0009259259259</v>
      </c>
      <c r="E1546" s="1">
        <f>IFERROR(__xludf.DUMMYFUNCTION("""COMPUTED_VALUE"""),1.05)</f>
        <v>1.05</v>
      </c>
      <c r="F1546" s="1">
        <f>IFERROR(__xludf.DUMMYFUNCTION("""COMPUTED_VALUE"""),3.13)</f>
        <v>3.13</v>
      </c>
      <c r="G1546" s="5">
        <f>IFERROR(__xludf.DUMMYFUNCTION("""COMPUTED_VALUE"""),4957.0)</f>
        <v>4957</v>
      </c>
      <c r="H1546" s="5">
        <f>IFERROR(__xludf.DUMMYFUNCTION("""COMPUTED_VALUE"""),1583.0)</f>
        <v>1583</v>
      </c>
    </row>
    <row r="1547">
      <c r="A1547" s="4">
        <f>IFERROR(__xludf.DUMMYFUNCTION("""COMPUTED_VALUE"""),43915.0)</f>
        <v>43915</v>
      </c>
      <c r="B1547" s="5">
        <f>IFERROR(__xludf.DUMMYFUNCTION("""COMPUTED_VALUE"""),1597.0)</f>
        <v>1597</v>
      </c>
      <c r="C1547" s="6">
        <f>IFERROR(__xludf.DUMMYFUNCTION("""COMPUTED_VALUE"""),0.4922)</f>
        <v>0.4922</v>
      </c>
      <c r="D1547" s="2">
        <f>IFERROR(__xludf.DUMMYFUNCTION("""COMPUTED_VALUE"""),0.0021527777777777778)</f>
        <v>0.002152777778</v>
      </c>
      <c r="E1547" s="1">
        <f>IFERROR(__xludf.DUMMYFUNCTION("""COMPUTED_VALUE"""),1.17)</f>
        <v>1.17</v>
      </c>
      <c r="F1547" s="1">
        <f>IFERROR(__xludf.DUMMYFUNCTION("""COMPUTED_VALUE"""),4.16)</f>
        <v>4.16</v>
      </c>
      <c r="G1547" s="5">
        <f>IFERROR(__xludf.DUMMYFUNCTION("""COMPUTED_VALUE"""),7734.0)</f>
        <v>7734</v>
      </c>
      <c r="H1547" s="5">
        <f>IFERROR(__xludf.DUMMYFUNCTION("""COMPUTED_VALUE"""),1861.0)</f>
        <v>1861</v>
      </c>
    </row>
    <row r="1548">
      <c r="A1548" s="4">
        <f>IFERROR(__xludf.DUMMYFUNCTION("""COMPUTED_VALUE"""),43916.0)</f>
        <v>43916</v>
      </c>
      <c r="B1548" s="5">
        <f>IFERROR(__xludf.DUMMYFUNCTION("""COMPUTED_VALUE"""),1527.0)</f>
        <v>1527</v>
      </c>
      <c r="C1548" s="6">
        <f>IFERROR(__xludf.DUMMYFUNCTION("""COMPUTED_VALUE"""),0.4875)</f>
        <v>0.4875</v>
      </c>
      <c r="D1548" s="2">
        <f>IFERROR(__xludf.DUMMYFUNCTION("""COMPUTED_VALUE"""),0.0015046296296296296)</f>
        <v>0.00150462963</v>
      </c>
      <c r="E1548" s="1">
        <f>IFERROR(__xludf.DUMMYFUNCTION("""COMPUTED_VALUE"""),1.1)</f>
        <v>1.1</v>
      </c>
      <c r="F1548" s="1">
        <f>IFERROR(__xludf.DUMMYFUNCTION("""COMPUTED_VALUE"""),3.44)</f>
        <v>3.44</v>
      </c>
      <c r="G1548" s="5">
        <f>IFERROR(__xludf.DUMMYFUNCTION("""COMPUTED_VALUE"""),5776.0)</f>
        <v>5776</v>
      </c>
      <c r="H1548" s="5">
        <f>IFERROR(__xludf.DUMMYFUNCTION("""COMPUTED_VALUE"""),1680.0)</f>
        <v>1680</v>
      </c>
    </row>
    <row r="1549">
      <c r="A1549" s="4">
        <f>IFERROR(__xludf.DUMMYFUNCTION("""COMPUTED_VALUE"""),43917.0)</f>
        <v>43917</v>
      </c>
      <c r="B1549" s="5">
        <f>IFERROR(__xludf.DUMMYFUNCTION("""COMPUTED_VALUE"""),1486.0)</f>
        <v>1486</v>
      </c>
      <c r="C1549" s="6">
        <f>IFERROR(__xludf.DUMMYFUNCTION("""COMPUTED_VALUE"""),0.5041)</f>
        <v>0.5041</v>
      </c>
      <c r="D1549" s="2">
        <f>IFERROR(__xludf.DUMMYFUNCTION("""COMPUTED_VALUE"""),0.0017824074074074075)</f>
        <v>0.001782407407</v>
      </c>
      <c r="E1549" s="1">
        <f>IFERROR(__xludf.DUMMYFUNCTION("""COMPUTED_VALUE"""),1.15)</f>
        <v>1.15</v>
      </c>
      <c r="F1549" s="1">
        <f>IFERROR(__xludf.DUMMYFUNCTION("""COMPUTED_VALUE"""),4.08)</f>
        <v>4.08</v>
      </c>
      <c r="G1549" s="5">
        <f>IFERROR(__xludf.DUMMYFUNCTION("""COMPUTED_VALUE"""),6970.0)</f>
        <v>6970</v>
      </c>
      <c r="H1549" s="5">
        <f>IFERROR(__xludf.DUMMYFUNCTION("""COMPUTED_VALUE"""),1708.0)</f>
        <v>1708</v>
      </c>
    </row>
    <row r="1550">
      <c r="A1550" s="4">
        <f>IFERROR(__xludf.DUMMYFUNCTION("""COMPUTED_VALUE"""),43918.0)</f>
        <v>43918</v>
      </c>
      <c r="B1550" s="5">
        <f>IFERROR(__xludf.DUMMYFUNCTION("""COMPUTED_VALUE"""),1028.0)</f>
        <v>1028</v>
      </c>
      <c r="C1550" s="6">
        <f>IFERROR(__xludf.DUMMYFUNCTION("""COMPUTED_VALUE"""),0.4951)</f>
        <v>0.4951</v>
      </c>
      <c r="D1550" s="2">
        <f>IFERROR(__xludf.DUMMYFUNCTION("""COMPUTED_VALUE"""),0.002395833333333333)</f>
        <v>0.002395833333</v>
      </c>
      <c r="E1550" s="1">
        <f>IFERROR(__xludf.DUMMYFUNCTION("""COMPUTED_VALUE"""),1.28)</f>
        <v>1.28</v>
      </c>
      <c r="F1550" s="1">
        <f>IFERROR(__xludf.DUMMYFUNCTION("""COMPUTED_VALUE"""),3.42)</f>
        <v>3.42</v>
      </c>
      <c r="G1550" s="5">
        <f>IFERROR(__xludf.DUMMYFUNCTION("""COMPUTED_VALUE"""),4513.0)</f>
        <v>4513</v>
      </c>
      <c r="H1550" s="5">
        <f>IFERROR(__xludf.DUMMYFUNCTION("""COMPUTED_VALUE"""),1319.0)</f>
        <v>1319</v>
      </c>
    </row>
    <row r="1551">
      <c r="A1551" s="4">
        <f>IFERROR(__xludf.DUMMYFUNCTION("""COMPUTED_VALUE"""),43919.0)</f>
        <v>43919</v>
      </c>
      <c r="B1551" s="5">
        <f>IFERROR(__xludf.DUMMYFUNCTION("""COMPUTED_VALUE"""),1208.0)</f>
        <v>1208</v>
      </c>
      <c r="C1551" s="6">
        <f>IFERROR(__xludf.DUMMYFUNCTION("""COMPUTED_VALUE"""),0.5533)</f>
        <v>0.5533</v>
      </c>
      <c r="D1551" s="2">
        <f>IFERROR(__xludf.DUMMYFUNCTION("""COMPUTED_VALUE"""),0.002013888888888889)</f>
        <v>0.002013888889</v>
      </c>
      <c r="E1551" s="1">
        <f>IFERROR(__xludf.DUMMYFUNCTION("""COMPUTED_VALUE"""),1.08)</f>
        <v>1.08</v>
      </c>
      <c r="F1551" s="1">
        <f>IFERROR(__xludf.DUMMYFUNCTION("""COMPUTED_VALUE"""),3.68)</f>
        <v>3.68</v>
      </c>
      <c r="G1551" s="5">
        <f>IFERROR(__xludf.DUMMYFUNCTION("""COMPUTED_VALUE"""),4804.0)</f>
        <v>4804</v>
      </c>
      <c r="H1551" s="5">
        <f>IFERROR(__xludf.DUMMYFUNCTION("""COMPUTED_VALUE"""),1305.0)</f>
        <v>1305</v>
      </c>
    </row>
    <row r="1552">
      <c r="A1552" s="4">
        <f>IFERROR(__xludf.DUMMYFUNCTION("""COMPUTED_VALUE"""),43920.0)</f>
        <v>43920</v>
      </c>
      <c r="B1552" s="5">
        <f>IFERROR(__xludf.DUMMYFUNCTION("""COMPUTED_VALUE"""),1777.0)</f>
        <v>1777</v>
      </c>
      <c r="C1552" s="6">
        <f>IFERROR(__xludf.DUMMYFUNCTION("""COMPUTED_VALUE"""),0.5179)</f>
        <v>0.5179</v>
      </c>
      <c r="D1552" s="2">
        <f>IFERROR(__xludf.DUMMYFUNCTION("""COMPUTED_VALUE"""),0.0013773148148148147)</f>
        <v>0.001377314815</v>
      </c>
      <c r="E1552" s="1">
        <f>IFERROR(__xludf.DUMMYFUNCTION("""COMPUTED_VALUE"""),1.1)</f>
        <v>1.1</v>
      </c>
      <c r="F1552" s="1">
        <f>IFERROR(__xludf.DUMMYFUNCTION("""COMPUTED_VALUE"""),3.48)</f>
        <v>3.48</v>
      </c>
      <c r="G1552" s="5">
        <f>IFERROR(__xludf.DUMMYFUNCTION("""COMPUTED_VALUE"""),6818.0)</f>
        <v>6818</v>
      </c>
      <c r="H1552" s="5">
        <f>IFERROR(__xludf.DUMMYFUNCTION("""COMPUTED_VALUE"""),1958.0)</f>
        <v>1958</v>
      </c>
    </row>
    <row r="1553">
      <c r="A1553" s="4">
        <f>IFERROR(__xludf.DUMMYFUNCTION("""COMPUTED_VALUE"""),43921.0)</f>
        <v>43921</v>
      </c>
      <c r="B1553" s="5">
        <f>IFERROR(__xludf.DUMMYFUNCTION("""COMPUTED_VALUE"""),1680.0)</f>
        <v>1680</v>
      </c>
      <c r="C1553" s="6">
        <f>IFERROR(__xludf.DUMMYFUNCTION("""COMPUTED_VALUE"""),0.5449)</f>
        <v>0.5449</v>
      </c>
      <c r="D1553" s="2">
        <f>IFERROR(__xludf.DUMMYFUNCTION("""COMPUTED_VALUE"""),0.0013541666666666667)</f>
        <v>0.001354166667</v>
      </c>
      <c r="E1553" s="1">
        <f>IFERROR(__xludf.DUMMYFUNCTION("""COMPUTED_VALUE"""),1.11)</f>
        <v>1.11</v>
      </c>
      <c r="F1553" s="1">
        <f>IFERROR(__xludf.DUMMYFUNCTION("""COMPUTED_VALUE"""),3.77)</f>
        <v>3.77</v>
      </c>
      <c r="G1553" s="5">
        <f>IFERROR(__xludf.DUMMYFUNCTION("""COMPUTED_VALUE"""),7012.0)</f>
        <v>7012</v>
      </c>
      <c r="H1553" s="5">
        <f>IFERROR(__xludf.DUMMYFUNCTION("""COMPUTED_VALUE"""),1861.0)</f>
        <v>1861</v>
      </c>
    </row>
    <row r="1554">
      <c r="A1554" s="4">
        <f>IFERROR(__xludf.DUMMYFUNCTION("""COMPUTED_VALUE"""),43922.0)</f>
        <v>43922</v>
      </c>
      <c r="B1554" s="5">
        <f>IFERROR(__xludf.DUMMYFUNCTION("""COMPUTED_VALUE"""),1611.0)</f>
        <v>1611</v>
      </c>
      <c r="C1554" s="6">
        <f>IFERROR(__xludf.DUMMYFUNCTION("""COMPUTED_VALUE"""),0.4766)</f>
        <v>0.4766</v>
      </c>
      <c r="D1554" s="2">
        <f>IFERROR(__xludf.DUMMYFUNCTION("""COMPUTED_VALUE"""),0.0019097222222222222)</f>
        <v>0.001909722222</v>
      </c>
      <c r="E1554" s="1">
        <f>IFERROR(__xludf.DUMMYFUNCTION("""COMPUTED_VALUE"""),1.1)</f>
        <v>1.1</v>
      </c>
      <c r="F1554" s="1">
        <f>IFERROR(__xludf.DUMMYFUNCTION("""COMPUTED_VALUE"""),4.5)</f>
        <v>4.5</v>
      </c>
      <c r="G1554" s="5">
        <f>IFERROR(__xludf.DUMMYFUNCTION("""COMPUTED_VALUE"""),7998.0)</f>
        <v>7998</v>
      </c>
      <c r="H1554" s="5">
        <f>IFERROR(__xludf.DUMMYFUNCTION("""COMPUTED_VALUE"""),1777.0)</f>
        <v>1777</v>
      </c>
    </row>
    <row r="1555">
      <c r="A1555" s="4">
        <f>IFERROR(__xludf.DUMMYFUNCTION("""COMPUTED_VALUE"""),43923.0)</f>
        <v>43923</v>
      </c>
      <c r="B1555" s="5">
        <f>IFERROR(__xludf.DUMMYFUNCTION("""COMPUTED_VALUE"""),1805.0)</f>
        <v>1805</v>
      </c>
      <c r="C1555" s="6">
        <f>IFERROR(__xludf.DUMMYFUNCTION("""COMPUTED_VALUE"""),0.5292)</f>
        <v>0.5292</v>
      </c>
      <c r="D1555" s="2">
        <f>IFERROR(__xludf.DUMMYFUNCTION("""COMPUTED_VALUE"""),0.0011226851851851851)</f>
        <v>0.001122685185</v>
      </c>
      <c r="E1555" s="1">
        <f>IFERROR(__xludf.DUMMYFUNCTION("""COMPUTED_VALUE"""),1.06)</f>
        <v>1.06</v>
      </c>
      <c r="F1555" s="1">
        <f>IFERROR(__xludf.DUMMYFUNCTION("""COMPUTED_VALUE"""),3.43)</f>
        <v>3.43</v>
      </c>
      <c r="G1555" s="5">
        <f>IFERROR(__xludf.DUMMYFUNCTION("""COMPUTED_VALUE"""),6568.0)</f>
        <v>6568</v>
      </c>
      <c r="H1555" s="5">
        <f>IFERROR(__xludf.DUMMYFUNCTION("""COMPUTED_VALUE"""),1916.0)</f>
        <v>1916</v>
      </c>
    </row>
    <row r="1556">
      <c r="A1556" s="4">
        <f>IFERROR(__xludf.DUMMYFUNCTION("""COMPUTED_VALUE"""),43924.0)</f>
        <v>43924</v>
      </c>
      <c r="B1556" s="5">
        <f>IFERROR(__xludf.DUMMYFUNCTION("""COMPUTED_VALUE"""),1527.0)</f>
        <v>1527</v>
      </c>
      <c r="C1556" s="6">
        <f>IFERROR(__xludf.DUMMYFUNCTION("""COMPUTED_VALUE"""),0.5375)</f>
        <v>0.5375</v>
      </c>
      <c r="D1556" s="2">
        <f>IFERROR(__xludf.DUMMYFUNCTION("""COMPUTED_VALUE"""),0.001990740740740741)</f>
        <v>0.001990740741</v>
      </c>
      <c r="E1556" s="1">
        <f>IFERROR(__xludf.DUMMYFUNCTION("""COMPUTED_VALUE"""),1.1)</f>
        <v>1.1</v>
      </c>
      <c r="F1556" s="1">
        <f>IFERROR(__xludf.DUMMYFUNCTION("""COMPUTED_VALUE"""),3.4)</f>
        <v>3.4</v>
      </c>
      <c r="G1556" s="5">
        <f>IFERROR(__xludf.DUMMYFUNCTION("""COMPUTED_VALUE"""),5707.0)</f>
        <v>5707</v>
      </c>
      <c r="H1556" s="5">
        <f>IFERROR(__xludf.DUMMYFUNCTION("""COMPUTED_VALUE"""),1680.0)</f>
        <v>1680</v>
      </c>
    </row>
    <row r="1557">
      <c r="A1557" s="4">
        <f>IFERROR(__xludf.DUMMYFUNCTION("""COMPUTED_VALUE"""),43925.0)</f>
        <v>43925</v>
      </c>
      <c r="B1557" s="5">
        <f>IFERROR(__xludf.DUMMYFUNCTION("""COMPUTED_VALUE"""),1180.0)</f>
        <v>1180</v>
      </c>
      <c r="C1557" s="6">
        <f>IFERROR(__xludf.DUMMYFUNCTION("""COMPUTED_VALUE"""),0.5353)</f>
        <v>0.5353</v>
      </c>
      <c r="D1557" s="2">
        <f>IFERROR(__xludf.DUMMYFUNCTION("""COMPUTED_VALUE"""),0.001400462962962963)</f>
        <v>0.001400462963</v>
      </c>
      <c r="E1557" s="1">
        <f>IFERROR(__xludf.DUMMYFUNCTION("""COMPUTED_VALUE"""),1.17)</f>
        <v>1.17</v>
      </c>
      <c r="F1557" s="1">
        <f>IFERROR(__xludf.DUMMYFUNCTION("""COMPUTED_VALUE"""),4.24)</f>
        <v>4.24</v>
      </c>
      <c r="G1557" s="5">
        <f>IFERROR(__xludf.DUMMYFUNCTION("""COMPUTED_VALUE"""),5832.0)</f>
        <v>5832</v>
      </c>
      <c r="H1557" s="5">
        <f>IFERROR(__xludf.DUMMYFUNCTION("""COMPUTED_VALUE"""),1375.0)</f>
        <v>1375</v>
      </c>
    </row>
    <row r="1558">
      <c r="A1558" s="4">
        <f>IFERROR(__xludf.DUMMYFUNCTION("""COMPUTED_VALUE"""),43926.0)</f>
        <v>43926</v>
      </c>
      <c r="B1558" s="5">
        <f>IFERROR(__xludf.DUMMYFUNCTION("""COMPUTED_VALUE"""),1250.0)</f>
        <v>1250</v>
      </c>
      <c r="C1558" s="6">
        <f>IFERROR(__xludf.DUMMYFUNCTION("""COMPUTED_VALUE"""),0.5297)</f>
        <v>0.5297</v>
      </c>
      <c r="D1558" s="2">
        <f>IFERROR(__xludf.DUMMYFUNCTION("""COMPUTED_VALUE"""),0.0021875)</f>
        <v>0.0021875</v>
      </c>
      <c r="E1558" s="1">
        <f>IFERROR(__xludf.DUMMYFUNCTION("""COMPUTED_VALUE"""),1.13)</f>
        <v>1.13</v>
      </c>
      <c r="F1558" s="1">
        <f>IFERROR(__xludf.DUMMYFUNCTION("""COMPUTED_VALUE"""),3.95)</f>
        <v>3.95</v>
      </c>
      <c r="G1558" s="5">
        <f>IFERROR(__xludf.DUMMYFUNCTION("""COMPUTED_VALUE"""),5596.0)</f>
        <v>5596</v>
      </c>
      <c r="H1558" s="5">
        <f>IFERROR(__xludf.DUMMYFUNCTION("""COMPUTED_VALUE"""),1416.0)</f>
        <v>1416</v>
      </c>
    </row>
    <row r="1559">
      <c r="A1559" s="4">
        <f>IFERROR(__xludf.DUMMYFUNCTION("""COMPUTED_VALUE"""),43927.0)</f>
        <v>43927</v>
      </c>
      <c r="B1559" s="5">
        <f>IFERROR(__xludf.DUMMYFUNCTION("""COMPUTED_VALUE"""),1777.0)</f>
        <v>1777</v>
      </c>
      <c r="C1559" s="6">
        <f>IFERROR(__xludf.DUMMYFUNCTION("""COMPUTED_VALUE"""),0.51)</f>
        <v>0.51</v>
      </c>
      <c r="D1559" s="2">
        <f>IFERROR(__xludf.DUMMYFUNCTION("""COMPUTED_VALUE"""),0.0019675925925925924)</f>
        <v>0.001967592593</v>
      </c>
      <c r="E1559" s="1">
        <f>IFERROR(__xludf.DUMMYFUNCTION("""COMPUTED_VALUE"""),1.15)</f>
        <v>1.15</v>
      </c>
      <c r="F1559" s="1">
        <f>IFERROR(__xludf.DUMMYFUNCTION("""COMPUTED_VALUE"""),4.51)</f>
        <v>4.51</v>
      </c>
      <c r="G1559" s="5">
        <f>IFERROR(__xludf.DUMMYFUNCTION("""COMPUTED_VALUE"""),9206.0)</f>
        <v>9206</v>
      </c>
      <c r="H1559" s="5">
        <f>IFERROR(__xludf.DUMMYFUNCTION("""COMPUTED_VALUE"""),2041.0)</f>
        <v>2041</v>
      </c>
    </row>
    <row r="1560">
      <c r="A1560" s="4">
        <f>IFERROR(__xludf.DUMMYFUNCTION("""COMPUTED_VALUE"""),43928.0)</f>
        <v>43928</v>
      </c>
      <c r="B1560" s="5">
        <f>IFERROR(__xludf.DUMMYFUNCTION("""COMPUTED_VALUE"""),1736.0)</f>
        <v>1736</v>
      </c>
      <c r="C1560" s="6">
        <f>IFERROR(__xludf.DUMMYFUNCTION("""COMPUTED_VALUE"""),0.4858)</f>
        <v>0.4858</v>
      </c>
      <c r="D1560" s="2">
        <f>IFERROR(__xludf.DUMMYFUNCTION("""COMPUTED_VALUE"""),0.001585648148148148)</f>
        <v>0.001585648148</v>
      </c>
      <c r="E1560" s="1">
        <f>IFERROR(__xludf.DUMMYFUNCTION("""COMPUTED_VALUE"""),1.14)</f>
        <v>1.14</v>
      </c>
      <c r="F1560" s="1">
        <f>IFERROR(__xludf.DUMMYFUNCTION("""COMPUTED_VALUE"""),2.99)</f>
        <v>2.99</v>
      </c>
      <c r="G1560" s="5">
        <f>IFERROR(__xludf.DUMMYFUNCTION("""COMPUTED_VALUE"""),5901.0)</f>
        <v>5901</v>
      </c>
      <c r="H1560" s="5">
        <f>IFERROR(__xludf.DUMMYFUNCTION("""COMPUTED_VALUE"""),1972.0)</f>
        <v>1972</v>
      </c>
    </row>
    <row r="1561">
      <c r="A1561" s="4">
        <f>IFERROR(__xludf.DUMMYFUNCTION("""COMPUTED_VALUE"""),43929.0)</f>
        <v>43929</v>
      </c>
      <c r="B1561" s="5">
        <f>IFERROR(__xludf.DUMMYFUNCTION("""COMPUTED_VALUE"""),1819.0)</f>
        <v>1819</v>
      </c>
      <c r="C1561" s="6">
        <f>IFERROR(__xludf.DUMMYFUNCTION("""COMPUTED_VALUE"""),0.5065)</f>
        <v>0.5065</v>
      </c>
      <c r="D1561" s="2">
        <f>IFERROR(__xludf.DUMMYFUNCTION("""COMPUTED_VALUE"""),0.0021296296296296298)</f>
        <v>0.00212962963</v>
      </c>
      <c r="E1561" s="1">
        <f>IFERROR(__xludf.DUMMYFUNCTION("""COMPUTED_VALUE"""),1.15)</f>
        <v>1.15</v>
      </c>
      <c r="F1561" s="1">
        <f>IFERROR(__xludf.DUMMYFUNCTION("""COMPUTED_VALUE"""),4.19)</f>
        <v>4.19</v>
      </c>
      <c r="G1561" s="5">
        <f>IFERROR(__xludf.DUMMYFUNCTION("""COMPUTED_VALUE"""),8720.0)</f>
        <v>8720</v>
      </c>
      <c r="H1561" s="5">
        <f>IFERROR(__xludf.DUMMYFUNCTION("""COMPUTED_VALUE"""),2083.0)</f>
        <v>2083</v>
      </c>
    </row>
    <row r="1562">
      <c r="A1562" s="4">
        <f>IFERROR(__xludf.DUMMYFUNCTION("""COMPUTED_VALUE"""),43930.0)</f>
        <v>43930</v>
      </c>
      <c r="B1562" s="5">
        <f>IFERROR(__xludf.DUMMYFUNCTION("""COMPUTED_VALUE"""),1680.0)</f>
        <v>1680</v>
      </c>
      <c r="C1562" s="6">
        <f>IFERROR(__xludf.DUMMYFUNCTION("""COMPUTED_VALUE"""),0.4612)</f>
        <v>0.4612</v>
      </c>
      <c r="D1562" s="2">
        <f>IFERROR(__xludf.DUMMYFUNCTION("""COMPUTED_VALUE"""),0.0022800925925925927)</f>
        <v>0.002280092593</v>
      </c>
      <c r="E1562" s="1">
        <f>IFERROR(__xludf.DUMMYFUNCTION("""COMPUTED_VALUE"""),1.18)</f>
        <v>1.18</v>
      </c>
      <c r="F1562" s="1">
        <f>IFERROR(__xludf.DUMMYFUNCTION("""COMPUTED_VALUE"""),3.85)</f>
        <v>3.85</v>
      </c>
      <c r="G1562" s="5">
        <f>IFERROR(__xludf.DUMMYFUNCTION("""COMPUTED_VALUE"""),7637.0)</f>
        <v>7637</v>
      </c>
      <c r="H1562" s="5">
        <f>IFERROR(__xludf.DUMMYFUNCTION("""COMPUTED_VALUE"""),1986.0)</f>
        <v>1986</v>
      </c>
    </row>
    <row r="1563">
      <c r="A1563" s="4">
        <f>IFERROR(__xludf.DUMMYFUNCTION("""COMPUTED_VALUE"""),43931.0)</f>
        <v>43931</v>
      </c>
      <c r="B1563" s="5">
        <f>IFERROR(__xludf.DUMMYFUNCTION("""COMPUTED_VALUE"""),1541.0)</f>
        <v>1541</v>
      </c>
      <c r="C1563" s="6">
        <f>IFERROR(__xludf.DUMMYFUNCTION("""COMPUTED_VALUE"""),0.4518)</f>
        <v>0.4518</v>
      </c>
      <c r="D1563" s="2">
        <f>IFERROR(__xludf.DUMMYFUNCTION("""COMPUTED_VALUE"""),0.0023263888888888887)</f>
        <v>0.002326388889</v>
      </c>
      <c r="E1563" s="1">
        <f>IFERROR(__xludf.DUMMYFUNCTION("""COMPUTED_VALUE"""),1.12)</f>
        <v>1.12</v>
      </c>
      <c r="F1563" s="1">
        <f>IFERROR(__xludf.DUMMYFUNCTION("""COMPUTED_VALUE"""),4.36)</f>
        <v>4.36</v>
      </c>
      <c r="G1563" s="5">
        <f>IFERROR(__xludf.DUMMYFUNCTION("""COMPUTED_VALUE"""),7512.0)</f>
        <v>7512</v>
      </c>
      <c r="H1563" s="5">
        <f>IFERROR(__xludf.DUMMYFUNCTION("""COMPUTED_VALUE"""),1722.0)</f>
        <v>1722</v>
      </c>
    </row>
    <row r="1564">
      <c r="A1564" s="4">
        <f>IFERROR(__xludf.DUMMYFUNCTION("""COMPUTED_VALUE"""),43932.0)</f>
        <v>43932</v>
      </c>
      <c r="B1564" s="5">
        <f>IFERROR(__xludf.DUMMYFUNCTION("""COMPUTED_VALUE"""),1305.0)</f>
        <v>1305</v>
      </c>
      <c r="C1564" s="6">
        <f>IFERROR(__xludf.DUMMYFUNCTION("""COMPUTED_VALUE"""),0.5388)</f>
        <v>0.5388</v>
      </c>
      <c r="D1564" s="2">
        <f>IFERROR(__xludf.DUMMYFUNCTION("""COMPUTED_VALUE"""),0.0016550925925925926)</f>
        <v>0.001655092593</v>
      </c>
      <c r="E1564" s="1">
        <f>IFERROR(__xludf.DUMMYFUNCTION("""COMPUTED_VALUE"""),1.11)</f>
        <v>1.11</v>
      </c>
      <c r="F1564" s="1">
        <f>IFERROR(__xludf.DUMMYFUNCTION("""COMPUTED_VALUE"""),4.41)</f>
        <v>4.41</v>
      </c>
      <c r="G1564" s="5">
        <f>IFERROR(__xludf.DUMMYFUNCTION("""COMPUTED_VALUE"""),6373.0)</f>
        <v>6373</v>
      </c>
      <c r="H1564" s="5">
        <f>IFERROR(__xludf.DUMMYFUNCTION("""COMPUTED_VALUE"""),1444.0)</f>
        <v>1444</v>
      </c>
    </row>
    <row r="1565">
      <c r="A1565" s="4">
        <f>IFERROR(__xludf.DUMMYFUNCTION("""COMPUTED_VALUE"""),43933.0)</f>
        <v>43933</v>
      </c>
      <c r="B1565" s="5">
        <f>IFERROR(__xludf.DUMMYFUNCTION("""COMPUTED_VALUE"""),1305.0)</f>
        <v>1305</v>
      </c>
      <c r="C1565" s="6">
        <f>IFERROR(__xludf.DUMMYFUNCTION("""COMPUTED_VALUE"""),0.5336)</f>
        <v>0.5336</v>
      </c>
      <c r="D1565" s="2">
        <f>IFERROR(__xludf.DUMMYFUNCTION("""COMPUTED_VALUE"""),9.722222222222222E-4)</f>
        <v>0.0009722222222</v>
      </c>
      <c r="E1565" s="1">
        <f>IFERROR(__xludf.DUMMYFUNCTION("""COMPUTED_VALUE"""),1.12)</f>
        <v>1.12</v>
      </c>
      <c r="F1565" s="1">
        <f>IFERROR(__xludf.DUMMYFUNCTION("""COMPUTED_VALUE"""),3.01)</f>
        <v>3.01</v>
      </c>
      <c r="G1565" s="5">
        <f>IFERROR(__xludf.DUMMYFUNCTION("""COMPUTED_VALUE"""),4388.0)</f>
        <v>4388</v>
      </c>
      <c r="H1565" s="5">
        <f>IFERROR(__xludf.DUMMYFUNCTION("""COMPUTED_VALUE"""),1458.0)</f>
        <v>1458</v>
      </c>
    </row>
    <row r="1566">
      <c r="A1566" s="4">
        <f>IFERROR(__xludf.DUMMYFUNCTION("""COMPUTED_VALUE"""),43934.0)</f>
        <v>43934</v>
      </c>
      <c r="B1566" s="5">
        <f>IFERROR(__xludf.DUMMYFUNCTION("""COMPUTED_VALUE"""),1819.0)</f>
        <v>1819</v>
      </c>
      <c r="C1566" s="6">
        <f>IFERROR(__xludf.DUMMYFUNCTION("""COMPUTED_VALUE"""),0.4502)</f>
        <v>0.4502</v>
      </c>
      <c r="D1566" s="2">
        <f>IFERROR(__xludf.DUMMYFUNCTION("""COMPUTED_VALUE"""),0.0024189814814814816)</f>
        <v>0.002418981481</v>
      </c>
      <c r="E1566" s="1">
        <f>IFERROR(__xludf.DUMMYFUNCTION("""COMPUTED_VALUE"""),1.15)</f>
        <v>1.15</v>
      </c>
      <c r="F1566" s="1">
        <f>IFERROR(__xludf.DUMMYFUNCTION("""COMPUTED_VALUE"""),5.11)</f>
        <v>5.11</v>
      </c>
      <c r="G1566" s="5">
        <f>IFERROR(__xludf.DUMMYFUNCTION("""COMPUTED_VALUE"""),10720.0)</f>
        <v>10720</v>
      </c>
      <c r="H1566" s="5">
        <f>IFERROR(__xludf.DUMMYFUNCTION("""COMPUTED_VALUE"""),2097.0)</f>
        <v>2097</v>
      </c>
    </row>
    <row r="1567">
      <c r="A1567" s="4">
        <f>IFERROR(__xludf.DUMMYFUNCTION("""COMPUTED_VALUE"""),43935.0)</f>
        <v>43935</v>
      </c>
      <c r="B1567" s="5">
        <f>IFERROR(__xludf.DUMMYFUNCTION("""COMPUTED_VALUE"""),1847.0)</f>
        <v>1847</v>
      </c>
      <c r="C1567" s="6">
        <f>IFERROR(__xludf.DUMMYFUNCTION("""COMPUTED_VALUE"""),0.5033)</f>
        <v>0.5033</v>
      </c>
      <c r="D1567" s="2">
        <f>IFERROR(__xludf.DUMMYFUNCTION("""COMPUTED_VALUE"""),0.0020833333333333333)</f>
        <v>0.002083333333</v>
      </c>
      <c r="E1567" s="1">
        <f>IFERROR(__xludf.DUMMYFUNCTION("""COMPUTED_VALUE"""),1.15)</f>
        <v>1.15</v>
      </c>
      <c r="F1567" s="1">
        <f>IFERROR(__xludf.DUMMYFUNCTION("""COMPUTED_VALUE"""),4.71)</f>
        <v>4.71</v>
      </c>
      <c r="G1567" s="5">
        <f>IFERROR(__xludf.DUMMYFUNCTION("""COMPUTED_VALUE"""),9997.0)</f>
        <v>9997</v>
      </c>
      <c r="H1567" s="5">
        <f>IFERROR(__xludf.DUMMYFUNCTION("""COMPUTED_VALUE"""),2124.0)</f>
        <v>2124</v>
      </c>
    </row>
    <row r="1568">
      <c r="A1568" s="4">
        <f>IFERROR(__xludf.DUMMYFUNCTION("""COMPUTED_VALUE"""),43936.0)</f>
        <v>43936</v>
      </c>
      <c r="B1568" s="5">
        <f>IFERROR(__xludf.DUMMYFUNCTION("""COMPUTED_VALUE"""),2041.0)</f>
        <v>2041</v>
      </c>
      <c r="C1568" s="6">
        <f>IFERROR(__xludf.DUMMYFUNCTION("""COMPUTED_VALUE"""),0.4968)</f>
        <v>0.4968</v>
      </c>
      <c r="D1568" s="2">
        <f>IFERROR(__xludf.DUMMYFUNCTION("""COMPUTED_VALUE"""),0.0014814814814814814)</f>
        <v>0.001481481481</v>
      </c>
      <c r="E1568" s="1">
        <f>IFERROR(__xludf.DUMMYFUNCTION("""COMPUTED_VALUE"""),1.07)</f>
        <v>1.07</v>
      </c>
      <c r="F1568" s="1">
        <f>IFERROR(__xludf.DUMMYFUNCTION("""COMPUTED_VALUE"""),3.79)</f>
        <v>3.79</v>
      </c>
      <c r="G1568" s="5">
        <f>IFERROR(__xludf.DUMMYFUNCTION("""COMPUTED_VALUE"""),8262.0)</f>
        <v>8262</v>
      </c>
      <c r="H1568" s="5">
        <f>IFERROR(__xludf.DUMMYFUNCTION("""COMPUTED_VALUE"""),2180.0)</f>
        <v>2180</v>
      </c>
    </row>
    <row r="1569">
      <c r="A1569" s="4">
        <f>IFERROR(__xludf.DUMMYFUNCTION("""COMPUTED_VALUE"""),43937.0)</f>
        <v>43937</v>
      </c>
      <c r="B1569" s="5">
        <f>IFERROR(__xludf.DUMMYFUNCTION("""COMPUTED_VALUE"""),2055.0)</f>
        <v>2055</v>
      </c>
      <c r="C1569" s="6">
        <f>IFERROR(__xludf.DUMMYFUNCTION("""COMPUTED_VALUE"""),0.4444)</f>
        <v>0.4444</v>
      </c>
      <c r="D1569" s="2">
        <f>IFERROR(__xludf.DUMMYFUNCTION("""COMPUTED_VALUE"""),0.0016203703703703703)</f>
        <v>0.00162037037</v>
      </c>
      <c r="E1569" s="1">
        <f>IFERROR(__xludf.DUMMYFUNCTION("""COMPUTED_VALUE"""),1.16)</f>
        <v>1.16</v>
      </c>
      <c r="F1569" s="1">
        <f>IFERROR(__xludf.DUMMYFUNCTION("""COMPUTED_VALUE"""),3.61)</f>
        <v>3.61</v>
      </c>
      <c r="G1569" s="5">
        <f>IFERROR(__xludf.DUMMYFUNCTION("""COMPUTED_VALUE"""),8567.0)</f>
        <v>8567</v>
      </c>
      <c r="H1569" s="5">
        <f>IFERROR(__xludf.DUMMYFUNCTION("""COMPUTED_VALUE"""),2374.0)</f>
        <v>2374</v>
      </c>
    </row>
    <row r="1570">
      <c r="A1570" s="4">
        <f>IFERROR(__xludf.DUMMYFUNCTION("""COMPUTED_VALUE"""),43938.0)</f>
        <v>43938</v>
      </c>
      <c r="B1570" s="5">
        <f>IFERROR(__xludf.DUMMYFUNCTION("""COMPUTED_VALUE"""),1944.0)</f>
        <v>1944</v>
      </c>
      <c r="C1570" s="6">
        <f>IFERROR(__xludf.DUMMYFUNCTION("""COMPUTED_VALUE"""),0.5231)</f>
        <v>0.5231</v>
      </c>
      <c r="D1570" s="2">
        <f>IFERROR(__xludf.DUMMYFUNCTION("""COMPUTED_VALUE"""),0.0014814814814814814)</f>
        <v>0.001481481481</v>
      </c>
      <c r="E1570" s="1">
        <f>IFERROR(__xludf.DUMMYFUNCTION("""COMPUTED_VALUE"""),1.08)</f>
        <v>1.08</v>
      </c>
      <c r="F1570" s="1">
        <f>IFERROR(__xludf.DUMMYFUNCTION("""COMPUTED_VALUE"""),4.28)</f>
        <v>4.28</v>
      </c>
      <c r="G1570" s="5">
        <f>IFERROR(__xludf.DUMMYFUNCTION("""COMPUTED_VALUE"""),8970.0)</f>
        <v>8970</v>
      </c>
      <c r="H1570" s="5">
        <f>IFERROR(__xludf.DUMMYFUNCTION("""COMPUTED_VALUE"""),2097.0)</f>
        <v>2097</v>
      </c>
    </row>
    <row r="1571">
      <c r="A1571" s="4">
        <f>IFERROR(__xludf.DUMMYFUNCTION("""COMPUTED_VALUE"""),43939.0)</f>
        <v>43939</v>
      </c>
      <c r="B1571" s="5">
        <f>IFERROR(__xludf.DUMMYFUNCTION("""COMPUTED_VALUE"""),1472.0)</f>
        <v>1472</v>
      </c>
      <c r="C1571" s="6">
        <f>IFERROR(__xludf.DUMMYFUNCTION("""COMPUTED_VALUE"""),0.467)</f>
        <v>0.467</v>
      </c>
      <c r="D1571" s="2">
        <f>IFERROR(__xludf.DUMMYFUNCTION("""COMPUTED_VALUE"""),0.0018981481481481482)</f>
        <v>0.001898148148</v>
      </c>
      <c r="E1571" s="1">
        <f>IFERROR(__xludf.DUMMYFUNCTION("""COMPUTED_VALUE"""),1.13)</f>
        <v>1.13</v>
      </c>
      <c r="F1571" s="1">
        <f>IFERROR(__xludf.DUMMYFUNCTION("""COMPUTED_VALUE"""),4.65)</f>
        <v>4.65</v>
      </c>
      <c r="G1571" s="5">
        <f>IFERROR(__xludf.DUMMYFUNCTION("""COMPUTED_VALUE"""),7748.0)</f>
        <v>7748</v>
      </c>
      <c r="H1571" s="5">
        <f>IFERROR(__xludf.DUMMYFUNCTION("""COMPUTED_VALUE"""),1666.0)</f>
        <v>1666</v>
      </c>
    </row>
    <row r="1572">
      <c r="A1572" s="4">
        <f>IFERROR(__xludf.DUMMYFUNCTION("""COMPUTED_VALUE"""),43940.0)</f>
        <v>43940</v>
      </c>
      <c r="B1572" s="5">
        <f>IFERROR(__xludf.DUMMYFUNCTION("""COMPUTED_VALUE"""),1541.0)</f>
        <v>1541</v>
      </c>
      <c r="C1572" s="6">
        <f>IFERROR(__xludf.DUMMYFUNCTION("""COMPUTED_VALUE"""),0.4631)</f>
        <v>0.4631</v>
      </c>
      <c r="D1572" s="2">
        <f>IFERROR(__xludf.DUMMYFUNCTION("""COMPUTED_VALUE"""),0.001875)</f>
        <v>0.001875</v>
      </c>
      <c r="E1572" s="1">
        <f>IFERROR(__xludf.DUMMYFUNCTION("""COMPUTED_VALUE"""),1.11)</f>
        <v>1.11</v>
      </c>
      <c r="F1572" s="1">
        <f>IFERROR(__xludf.DUMMYFUNCTION("""COMPUTED_VALUE"""),3.55)</f>
        <v>3.55</v>
      </c>
      <c r="G1572" s="5">
        <f>IFERROR(__xludf.DUMMYFUNCTION("""COMPUTED_VALUE"""),6068.0)</f>
        <v>6068</v>
      </c>
      <c r="H1572" s="5">
        <f>IFERROR(__xludf.DUMMYFUNCTION("""COMPUTED_VALUE"""),1708.0)</f>
        <v>1708</v>
      </c>
    </row>
    <row r="1573">
      <c r="A1573" s="4">
        <f>IFERROR(__xludf.DUMMYFUNCTION("""COMPUTED_VALUE"""),43941.0)</f>
        <v>43941</v>
      </c>
      <c r="B1573" s="5">
        <f>IFERROR(__xludf.DUMMYFUNCTION("""COMPUTED_VALUE"""),1972.0)</f>
        <v>1972</v>
      </c>
      <c r="C1573" s="6">
        <f>IFERROR(__xludf.DUMMYFUNCTION("""COMPUTED_VALUE"""),0.4941)</f>
        <v>0.4941</v>
      </c>
      <c r="D1573" s="2">
        <f>IFERROR(__xludf.DUMMYFUNCTION("""COMPUTED_VALUE"""),0.0023148148148148147)</f>
        <v>0.002314814815</v>
      </c>
      <c r="E1573" s="1">
        <f>IFERROR(__xludf.DUMMYFUNCTION("""COMPUTED_VALUE"""),1.15)</f>
        <v>1.15</v>
      </c>
      <c r="F1573" s="1">
        <f>IFERROR(__xludf.DUMMYFUNCTION("""COMPUTED_VALUE"""),3.98)</f>
        <v>3.98</v>
      </c>
      <c r="G1573" s="5">
        <f>IFERROR(__xludf.DUMMYFUNCTION("""COMPUTED_VALUE"""),9053.0)</f>
        <v>9053</v>
      </c>
      <c r="H1573" s="5">
        <f>IFERROR(__xludf.DUMMYFUNCTION("""COMPUTED_VALUE"""),2277.0)</f>
        <v>2277</v>
      </c>
    </row>
    <row r="1574">
      <c r="A1574" s="4">
        <f>IFERROR(__xludf.DUMMYFUNCTION("""COMPUTED_VALUE"""),43942.0)</f>
        <v>43942</v>
      </c>
      <c r="B1574" s="5">
        <f>IFERROR(__xludf.DUMMYFUNCTION("""COMPUTED_VALUE"""),2180.0)</f>
        <v>2180</v>
      </c>
      <c r="C1574" s="6">
        <f>IFERROR(__xludf.DUMMYFUNCTION("""COMPUTED_VALUE"""),0.5358)</f>
        <v>0.5358</v>
      </c>
      <c r="D1574" s="2">
        <f>IFERROR(__xludf.DUMMYFUNCTION("""COMPUTED_VALUE"""),0.0016550925925925926)</f>
        <v>0.001655092593</v>
      </c>
      <c r="E1574" s="1">
        <f>IFERROR(__xludf.DUMMYFUNCTION("""COMPUTED_VALUE"""),1.07)</f>
        <v>1.07</v>
      </c>
      <c r="F1574" s="1">
        <f>IFERROR(__xludf.DUMMYFUNCTION("""COMPUTED_VALUE"""),3.29)</f>
        <v>3.29</v>
      </c>
      <c r="G1574" s="5">
        <f>IFERROR(__xludf.DUMMYFUNCTION("""COMPUTED_VALUE"""),7679.0)</f>
        <v>7679</v>
      </c>
      <c r="H1574" s="5">
        <f>IFERROR(__xludf.DUMMYFUNCTION("""COMPUTED_VALUE"""),2333.0)</f>
        <v>2333</v>
      </c>
    </row>
    <row r="1575">
      <c r="A1575" s="4">
        <f>IFERROR(__xludf.DUMMYFUNCTION("""COMPUTED_VALUE"""),43943.0)</f>
        <v>43943</v>
      </c>
      <c r="B1575" s="5">
        <f>IFERROR(__xludf.DUMMYFUNCTION("""COMPUTED_VALUE"""),2069.0)</f>
        <v>2069</v>
      </c>
      <c r="C1575" s="6">
        <f>IFERROR(__xludf.DUMMYFUNCTION("""COMPUTED_VALUE"""),0.473)</f>
        <v>0.473</v>
      </c>
      <c r="D1575" s="2">
        <f>IFERROR(__xludf.DUMMYFUNCTION("""COMPUTED_VALUE"""),0.0021527777777777778)</f>
        <v>0.002152777778</v>
      </c>
      <c r="E1575" s="1">
        <f>IFERROR(__xludf.DUMMYFUNCTION("""COMPUTED_VALUE"""),1.12)</f>
        <v>1.12</v>
      </c>
      <c r="F1575" s="1">
        <f>IFERROR(__xludf.DUMMYFUNCTION("""COMPUTED_VALUE"""),4.39)</f>
        <v>4.39</v>
      </c>
      <c r="G1575" s="5">
        <f>IFERROR(__xludf.DUMMYFUNCTION("""COMPUTED_VALUE"""),10178.0)</f>
        <v>10178</v>
      </c>
      <c r="H1575" s="5">
        <f>IFERROR(__xludf.DUMMYFUNCTION("""COMPUTED_VALUE"""),2319.0)</f>
        <v>2319</v>
      </c>
    </row>
    <row r="1576">
      <c r="A1576" s="4">
        <f>IFERROR(__xludf.DUMMYFUNCTION("""COMPUTED_VALUE"""),43944.0)</f>
        <v>43944</v>
      </c>
      <c r="B1576" s="5">
        <f>IFERROR(__xludf.DUMMYFUNCTION("""COMPUTED_VALUE"""),1958.0)</f>
        <v>1958</v>
      </c>
      <c r="C1576" s="6">
        <f>IFERROR(__xludf.DUMMYFUNCTION("""COMPUTED_VALUE"""),0.5327)</f>
        <v>0.5327</v>
      </c>
      <c r="D1576" s="2">
        <f>IFERROR(__xludf.DUMMYFUNCTION("""COMPUTED_VALUE"""),0.0011805555555555556)</f>
        <v>0.001180555556</v>
      </c>
      <c r="E1576" s="1">
        <f>IFERROR(__xludf.DUMMYFUNCTION("""COMPUTED_VALUE"""),1.09)</f>
        <v>1.09</v>
      </c>
      <c r="F1576" s="1">
        <f>IFERROR(__xludf.DUMMYFUNCTION("""COMPUTED_VALUE"""),3.07)</f>
        <v>3.07</v>
      </c>
      <c r="G1576" s="5">
        <f>IFERROR(__xludf.DUMMYFUNCTION("""COMPUTED_VALUE"""),6554.0)</f>
        <v>6554</v>
      </c>
      <c r="H1576" s="5">
        <f>IFERROR(__xludf.DUMMYFUNCTION("""COMPUTED_VALUE"""),2138.0)</f>
        <v>2138</v>
      </c>
    </row>
    <row r="1577">
      <c r="A1577" s="4">
        <f>IFERROR(__xludf.DUMMYFUNCTION("""COMPUTED_VALUE"""),43945.0)</f>
        <v>43945</v>
      </c>
      <c r="B1577" s="5">
        <f>IFERROR(__xludf.DUMMYFUNCTION("""COMPUTED_VALUE"""),1875.0)</f>
        <v>1875</v>
      </c>
      <c r="C1577" s="6">
        <f>IFERROR(__xludf.DUMMYFUNCTION("""COMPUTED_VALUE"""),0.4928)</f>
        <v>0.4928</v>
      </c>
      <c r="D1577" s="2">
        <f>IFERROR(__xludf.DUMMYFUNCTION("""COMPUTED_VALUE"""),0.0020833333333333333)</f>
        <v>0.002083333333</v>
      </c>
      <c r="E1577" s="1">
        <f>IFERROR(__xludf.DUMMYFUNCTION("""COMPUTED_VALUE"""),1.04)</f>
        <v>1.04</v>
      </c>
      <c r="F1577" s="1">
        <f>IFERROR(__xludf.DUMMYFUNCTION("""COMPUTED_VALUE"""),3.86)</f>
        <v>3.86</v>
      </c>
      <c r="G1577" s="5">
        <f>IFERROR(__xludf.DUMMYFUNCTION("""COMPUTED_VALUE"""),7512.0)</f>
        <v>7512</v>
      </c>
      <c r="H1577" s="5">
        <f>IFERROR(__xludf.DUMMYFUNCTION("""COMPUTED_VALUE"""),1944.0)</f>
        <v>1944</v>
      </c>
    </row>
    <row r="1578">
      <c r="A1578" s="4">
        <f>IFERROR(__xludf.DUMMYFUNCTION("""COMPUTED_VALUE"""),43946.0)</f>
        <v>43946</v>
      </c>
      <c r="B1578" s="5">
        <f>IFERROR(__xludf.DUMMYFUNCTION("""COMPUTED_VALUE"""),1458.0)</f>
        <v>1458</v>
      </c>
      <c r="C1578" s="6">
        <f>IFERROR(__xludf.DUMMYFUNCTION("""COMPUTED_VALUE"""),0.624)</f>
        <v>0.624</v>
      </c>
      <c r="D1578" s="2">
        <f>IFERROR(__xludf.DUMMYFUNCTION("""COMPUTED_VALUE"""),0.0015162037037037036)</f>
        <v>0.001516203704</v>
      </c>
      <c r="E1578" s="1">
        <f>IFERROR(__xludf.DUMMYFUNCTION("""COMPUTED_VALUE"""),1.11)</f>
        <v>1.11</v>
      </c>
      <c r="F1578" s="1">
        <f>IFERROR(__xludf.DUMMYFUNCTION("""COMPUTED_VALUE"""),3.49)</f>
        <v>3.49</v>
      </c>
      <c r="G1578" s="5">
        <f>IFERROR(__xludf.DUMMYFUNCTION("""COMPUTED_VALUE"""),5665.0)</f>
        <v>5665</v>
      </c>
      <c r="H1578" s="5">
        <f>IFERROR(__xludf.DUMMYFUNCTION("""COMPUTED_VALUE"""),1625.0)</f>
        <v>1625</v>
      </c>
    </row>
    <row r="1579">
      <c r="A1579" s="4">
        <f>IFERROR(__xludf.DUMMYFUNCTION("""COMPUTED_VALUE"""),43947.0)</f>
        <v>43947</v>
      </c>
      <c r="B1579" s="5">
        <f>IFERROR(__xludf.DUMMYFUNCTION("""COMPUTED_VALUE"""),1694.0)</f>
        <v>1694</v>
      </c>
      <c r="C1579" s="6">
        <f>IFERROR(__xludf.DUMMYFUNCTION("""COMPUTED_VALUE"""),0.5193)</f>
        <v>0.5193</v>
      </c>
      <c r="D1579" s="2">
        <f>IFERROR(__xludf.DUMMYFUNCTION("""COMPUTED_VALUE"""),0.0013541666666666667)</f>
        <v>0.001354166667</v>
      </c>
      <c r="E1579" s="1">
        <f>IFERROR(__xludf.DUMMYFUNCTION("""COMPUTED_VALUE"""),1.06)</f>
        <v>1.06</v>
      </c>
      <c r="F1579" s="1">
        <f>IFERROR(__xludf.DUMMYFUNCTION("""COMPUTED_VALUE"""),3.16)</f>
        <v>3.16</v>
      </c>
      <c r="G1579" s="5">
        <f>IFERROR(__xludf.DUMMYFUNCTION("""COMPUTED_VALUE"""),5665.0)</f>
        <v>5665</v>
      </c>
      <c r="H1579" s="5">
        <f>IFERROR(__xludf.DUMMYFUNCTION("""COMPUTED_VALUE"""),1791.0)</f>
        <v>1791</v>
      </c>
    </row>
    <row r="1580">
      <c r="A1580" s="4">
        <f>IFERROR(__xludf.DUMMYFUNCTION("""COMPUTED_VALUE"""),43948.0)</f>
        <v>43948</v>
      </c>
      <c r="B1580" s="5">
        <f>IFERROR(__xludf.DUMMYFUNCTION("""COMPUTED_VALUE"""),2305.0)</f>
        <v>2305</v>
      </c>
      <c r="C1580" s="6">
        <f>IFERROR(__xludf.DUMMYFUNCTION("""COMPUTED_VALUE"""),0.5487)</f>
        <v>0.5487</v>
      </c>
      <c r="D1580" s="2">
        <f>IFERROR(__xludf.DUMMYFUNCTION("""COMPUTED_VALUE"""),0.0014583333333333334)</f>
        <v>0.001458333333</v>
      </c>
      <c r="E1580" s="1">
        <f>IFERROR(__xludf.DUMMYFUNCTION("""COMPUTED_VALUE"""),1.11)</f>
        <v>1.11</v>
      </c>
      <c r="F1580" s="1">
        <f>IFERROR(__xludf.DUMMYFUNCTION("""COMPUTED_VALUE"""),3.42)</f>
        <v>3.42</v>
      </c>
      <c r="G1580" s="5">
        <f>IFERROR(__xludf.DUMMYFUNCTION("""COMPUTED_VALUE"""),8748.0)</f>
        <v>8748</v>
      </c>
      <c r="H1580" s="5">
        <f>IFERROR(__xludf.DUMMYFUNCTION("""COMPUTED_VALUE"""),2555.0)</f>
        <v>2555</v>
      </c>
    </row>
    <row r="1581">
      <c r="A1581" s="4">
        <f>IFERROR(__xludf.DUMMYFUNCTION("""COMPUTED_VALUE"""),43949.0)</f>
        <v>43949</v>
      </c>
      <c r="B1581" s="5">
        <f>IFERROR(__xludf.DUMMYFUNCTION("""COMPUTED_VALUE"""),2097.0)</f>
        <v>2097</v>
      </c>
      <c r="C1581" s="6">
        <f>IFERROR(__xludf.DUMMYFUNCTION("""COMPUTED_VALUE"""),0.4971)</f>
        <v>0.4971</v>
      </c>
      <c r="D1581" s="2">
        <f>IFERROR(__xludf.DUMMYFUNCTION("""COMPUTED_VALUE"""),0.0017708333333333332)</f>
        <v>0.001770833333</v>
      </c>
      <c r="E1581" s="1">
        <f>IFERROR(__xludf.DUMMYFUNCTION("""COMPUTED_VALUE"""),1.15)</f>
        <v>1.15</v>
      </c>
      <c r="F1581" s="1">
        <f>IFERROR(__xludf.DUMMYFUNCTION("""COMPUTED_VALUE"""),3.47)</f>
        <v>3.47</v>
      </c>
      <c r="G1581" s="5">
        <f>IFERROR(__xludf.DUMMYFUNCTION("""COMPUTED_VALUE"""),8331.0)</f>
        <v>8331</v>
      </c>
      <c r="H1581" s="5">
        <f>IFERROR(__xludf.DUMMYFUNCTION("""COMPUTED_VALUE"""),2402.0)</f>
        <v>2402</v>
      </c>
    </row>
    <row r="1582">
      <c r="A1582" s="4">
        <f>IFERROR(__xludf.DUMMYFUNCTION("""COMPUTED_VALUE"""),43950.0)</f>
        <v>43950</v>
      </c>
      <c r="B1582" s="5">
        <f>IFERROR(__xludf.DUMMYFUNCTION("""COMPUTED_VALUE"""),1888.0)</f>
        <v>1888</v>
      </c>
      <c r="C1582" s="6">
        <f>IFERROR(__xludf.DUMMYFUNCTION("""COMPUTED_VALUE"""),0.4935)</f>
        <v>0.4935</v>
      </c>
      <c r="D1582" s="2">
        <f>IFERROR(__xludf.DUMMYFUNCTION("""COMPUTED_VALUE"""),0.001736111111111111)</f>
        <v>0.001736111111</v>
      </c>
      <c r="E1582" s="1">
        <f>IFERROR(__xludf.DUMMYFUNCTION("""COMPUTED_VALUE"""),1.13)</f>
        <v>1.13</v>
      </c>
      <c r="F1582" s="1">
        <f>IFERROR(__xludf.DUMMYFUNCTION("""COMPUTED_VALUE"""),4.4)</f>
        <v>4.4</v>
      </c>
      <c r="G1582" s="5">
        <f>IFERROR(__xludf.DUMMYFUNCTION("""COMPUTED_VALUE"""),9400.0)</f>
        <v>9400</v>
      </c>
      <c r="H1582" s="5">
        <f>IFERROR(__xludf.DUMMYFUNCTION("""COMPUTED_VALUE"""),2138.0)</f>
        <v>2138</v>
      </c>
    </row>
    <row r="1583">
      <c r="A1583" s="4">
        <f>IFERROR(__xludf.DUMMYFUNCTION("""COMPUTED_VALUE"""),43951.0)</f>
        <v>43951</v>
      </c>
      <c r="B1583" s="5">
        <f>IFERROR(__xludf.DUMMYFUNCTION("""COMPUTED_VALUE"""),1972.0)</f>
        <v>1972</v>
      </c>
      <c r="C1583" s="6">
        <f>IFERROR(__xludf.DUMMYFUNCTION("""COMPUTED_VALUE"""),0.5161)</f>
        <v>0.5161</v>
      </c>
      <c r="D1583" s="2">
        <f>IFERROR(__xludf.DUMMYFUNCTION("""COMPUTED_VALUE"""),0.002199074074074074)</f>
        <v>0.002199074074</v>
      </c>
      <c r="E1583" s="1">
        <f>IFERROR(__xludf.DUMMYFUNCTION("""COMPUTED_VALUE"""),1.11)</f>
        <v>1.11</v>
      </c>
      <c r="F1583" s="1">
        <f>IFERROR(__xludf.DUMMYFUNCTION("""COMPUTED_VALUE"""),4.52)</f>
        <v>4.52</v>
      </c>
      <c r="G1583" s="5">
        <f>IFERROR(__xludf.DUMMYFUNCTION("""COMPUTED_VALUE"""),9859.0)</f>
        <v>9859</v>
      </c>
      <c r="H1583" s="5">
        <f>IFERROR(__xludf.DUMMYFUNCTION("""COMPUTED_VALUE"""),2180.0)</f>
        <v>2180</v>
      </c>
    </row>
    <row r="1584">
      <c r="A1584" s="4">
        <f>IFERROR(__xludf.DUMMYFUNCTION("""COMPUTED_VALUE"""),43952.0)</f>
        <v>43952</v>
      </c>
      <c r="B1584" s="5">
        <f>IFERROR(__xludf.DUMMYFUNCTION("""COMPUTED_VALUE"""),1805.0)</f>
        <v>1805</v>
      </c>
      <c r="C1584" s="6">
        <f>IFERROR(__xludf.DUMMYFUNCTION("""COMPUTED_VALUE"""),0.4224)</f>
        <v>0.4224</v>
      </c>
      <c r="D1584" s="2">
        <f>IFERROR(__xludf.DUMMYFUNCTION("""COMPUTED_VALUE"""),0.0021875)</f>
        <v>0.0021875</v>
      </c>
      <c r="E1584" s="1">
        <f>IFERROR(__xludf.DUMMYFUNCTION("""COMPUTED_VALUE"""),1.09)</f>
        <v>1.09</v>
      </c>
      <c r="F1584" s="1">
        <f>IFERROR(__xludf.DUMMYFUNCTION("""COMPUTED_VALUE"""),5.19)</f>
        <v>5.19</v>
      </c>
      <c r="G1584" s="5">
        <f>IFERROR(__xludf.DUMMYFUNCTION("""COMPUTED_VALUE"""),10234.0)</f>
        <v>10234</v>
      </c>
      <c r="H1584" s="5">
        <f>IFERROR(__xludf.DUMMYFUNCTION("""COMPUTED_VALUE"""),1972.0)</f>
        <v>1972</v>
      </c>
    </row>
    <row r="1585">
      <c r="A1585" s="4">
        <f>IFERROR(__xludf.DUMMYFUNCTION("""COMPUTED_VALUE"""),43953.0)</f>
        <v>43953</v>
      </c>
      <c r="B1585" s="5">
        <f>IFERROR(__xludf.DUMMYFUNCTION("""COMPUTED_VALUE"""),1444.0)</f>
        <v>1444</v>
      </c>
      <c r="C1585" s="6">
        <f>IFERROR(__xludf.DUMMYFUNCTION("""COMPUTED_VALUE"""),0.5309)</f>
        <v>0.5309</v>
      </c>
      <c r="D1585" s="2">
        <f>IFERROR(__xludf.DUMMYFUNCTION("""COMPUTED_VALUE"""),0.0010648148148148149)</f>
        <v>0.001064814815</v>
      </c>
      <c r="E1585" s="1">
        <f>IFERROR(__xludf.DUMMYFUNCTION("""COMPUTED_VALUE"""),1.09)</f>
        <v>1.09</v>
      </c>
      <c r="F1585" s="1">
        <f>IFERROR(__xludf.DUMMYFUNCTION("""COMPUTED_VALUE"""),3.19)</f>
        <v>3.19</v>
      </c>
      <c r="G1585" s="5">
        <f>IFERROR(__xludf.DUMMYFUNCTION("""COMPUTED_VALUE"""),4999.0)</f>
        <v>4999</v>
      </c>
      <c r="H1585" s="5">
        <f>IFERROR(__xludf.DUMMYFUNCTION("""COMPUTED_VALUE"""),1569.0)</f>
        <v>1569</v>
      </c>
    </row>
    <row r="1586">
      <c r="A1586" s="4">
        <f>IFERROR(__xludf.DUMMYFUNCTION("""COMPUTED_VALUE"""),43954.0)</f>
        <v>43954</v>
      </c>
      <c r="B1586" s="5">
        <f>IFERROR(__xludf.DUMMYFUNCTION("""COMPUTED_VALUE"""),1597.0)</f>
        <v>1597</v>
      </c>
      <c r="C1586" s="6">
        <f>IFERROR(__xludf.DUMMYFUNCTION("""COMPUTED_VALUE"""),0.678)</f>
        <v>0.678</v>
      </c>
      <c r="D1586" s="2">
        <f>IFERROR(__xludf.DUMMYFUNCTION("""COMPUTED_VALUE"""),0.0012731481481481483)</f>
        <v>0.001273148148</v>
      </c>
      <c r="E1586" s="1">
        <f>IFERROR(__xludf.DUMMYFUNCTION("""COMPUTED_VALUE"""),1.05)</f>
        <v>1.05</v>
      </c>
      <c r="F1586" s="1">
        <f>IFERROR(__xludf.DUMMYFUNCTION("""COMPUTED_VALUE"""),2.26)</f>
        <v>2.26</v>
      </c>
      <c r="G1586" s="5">
        <f>IFERROR(__xludf.DUMMYFUNCTION("""COMPUTED_VALUE"""),3805.0)</f>
        <v>3805</v>
      </c>
      <c r="H1586" s="5">
        <f>IFERROR(__xludf.DUMMYFUNCTION("""COMPUTED_VALUE"""),1680.0)</f>
        <v>1680</v>
      </c>
    </row>
    <row r="1587">
      <c r="A1587" s="4">
        <f>IFERROR(__xludf.DUMMYFUNCTION("""COMPUTED_VALUE"""),43955.0)</f>
        <v>43955</v>
      </c>
      <c r="B1587" s="5">
        <f>IFERROR(__xludf.DUMMYFUNCTION("""COMPUTED_VALUE"""),2055.0)</f>
        <v>2055</v>
      </c>
      <c r="C1587" s="6">
        <f>IFERROR(__xludf.DUMMYFUNCTION("""COMPUTED_VALUE"""),0.4818)</f>
        <v>0.4818</v>
      </c>
      <c r="D1587" s="2">
        <f>IFERROR(__xludf.DUMMYFUNCTION("""COMPUTED_VALUE"""),0.0015277777777777779)</f>
        <v>0.001527777778</v>
      </c>
      <c r="E1587" s="1">
        <f>IFERROR(__xludf.DUMMYFUNCTION("""COMPUTED_VALUE"""),1.11)</f>
        <v>1.11</v>
      </c>
      <c r="F1587" s="1">
        <f>IFERROR(__xludf.DUMMYFUNCTION("""COMPUTED_VALUE"""),3.48)</f>
        <v>3.48</v>
      </c>
      <c r="G1587" s="5">
        <f>IFERROR(__xludf.DUMMYFUNCTION("""COMPUTED_VALUE"""),7929.0)</f>
        <v>7929</v>
      </c>
      <c r="H1587" s="5">
        <f>IFERROR(__xludf.DUMMYFUNCTION("""COMPUTED_VALUE"""),2277.0)</f>
        <v>2277</v>
      </c>
    </row>
    <row r="1588">
      <c r="A1588" s="4">
        <f>IFERROR(__xludf.DUMMYFUNCTION("""COMPUTED_VALUE"""),43956.0)</f>
        <v>43956</v>
      </c>
      <c r="B1588" s="5">
        <f>IFERROR(__xludf.DUMMYFUNCTION("""COMPUTED_VALUE"""),1958.0)</f>
        <v>1958</v>
      </c>
      <c r="C1588" s="6">
        <f>IFERROR(__xludf.DUMMYFUNCTION("""COMPUTED_VALUE"""),0.4998)</f>
        <v>0.4998</v>
      </c>
      <c r="D1588" s="2">
        <f>IFERROR(__xludf.DUMMYFUNCTION("""COMPUTED_VALUE"""),0.0022453703703703702)</f>
        <v>0.00224537037</v>
      </c>
      <c r="E1588" s="1">
        <f>IFERROR(__xludf.DUMMYFUNCTION("""COMPUTED_VALUE"""),1.19)</f>
        <v>1.19</v>
      </c>
      <c r="F1588" s="1">
        <f>IFERROR(__xludf.DUMMYFUNCTION("""COMPUTED_VALUE"""),3.9)</f>
        <v>3.9</v>
      </c>
      <c r="G1588" s="5">
        <f>IFERROR(__xludf.DUMMYFUNCTION("""COMPUTED_VALUE"""),9109.0)</f>
        <v>9109</v>
      </c>
      <c r="H1588" s="5">
        <f>IFERROR(__xludf.DUMMYFUNCTION("""COMPUTED_VALUE"""),2333.0)</f>
        <v>2333</v>
      </c>
    </row>
    <row r="1589">
      <c r="A1589" s="4">
        <f>IFERROR(__xludf.DUMMYFUNCTION("""COMPUTED_VALUE"""),43957.0)</f>
        <v>43957</v>
      </c>
      <c r="B1589" s="5">
        <f>IFERROR(__xludf.DUMMYFUNCTION("""COMPUTED_VALUE"""),2041.0)</f>
        <v>2041</v>
      </c>
      <c r="C1589" s="6">
        <f>IFERROR(__xludf.DUMMYFUNCTION("""COMPUTED_VALUE"""),0.4115)</f>
        <v>0.4115</v>
      </c>
      <c r="D1589" s="2">
        <f>IFERROR(__xludf.DUMMYFUNCTION("""COMPUTED_VALUE"""),0.0020717592592592593)</f>
        <v>0.002071759259</v>
      </c>
      <c r="E1589" s="1">
        <f>IFERROR(__xludf.DUMMYFUNCTION("""COMPUTED_VALUE"""),1.19)</f>
        <v>1.19</v>
      </c>
      <c r="F1589" s="1">
        <f>IFERROR(__xludf.DUMMYFUNCTION("""COMPUTED_VALUE"""),4.26)</f>
        <v>4.26</v>
      </c>
      <c r="G1589" s="5">
        <f>IFERROR(__xludf.DUMMYFUNCTION("""COMPUTED_VALUE"""),10358.0)</f>
        <v>10358</v>
      </c>
      <c r="H1589" s="5">
        <f>IFERROR(__xludf.DUMMYFUNCTION("""COMPUTED_VALUE"""),2430.0)</f>
        <v>2430</v>
      </c>
    </row>
    <row r="1590">
      <c r="A1590" s="4">
        <f>IFERROR(__xludf.DUMMYFUNCTION("""COMPUTED_VALUE"""),43958.0)</f>
        <v>43958</v>
      </c>
      <c r="B1590" s="5">
        <f>IFERROR(__xludf.DUMMYFUNCTION("""COMPUTED_VALUE"""),1916.0)</f>
        <v>1916</v>
      </c>
      <c r="C1590" s="6">
        <f>IFERROR(__xludf.DUMMYFUNCTION("""COMPUTED_VALUE"""),0.562)</f>
        <v>0.562</v>
      </c>
      <c r="D1590" s="2">
        <f>IFERROR(__xludf.DUMMYFUNCTION("""COMPUTED_VALUE"""),0.0011689814814814816)</f>
        <v>0.001168981481</v>
      </c>
      <c r="E1590" s="1">
        <f>IFERROR(__xludf.DUMMYFUNCTION("""COMPUTED_VALUE"""),1.17)</f>
        <v>1.17</v>
      </c>
      <c r="F1590" s="1">
        <f>IFERROR(__xludf.DUMMYFUNCTION("""COMPUTED_VALUE"""),3.22)</f>
        <v>3.22</v>
      </c>
      <c r="G1590" s="5">
        <f>IFERROR(__xludf.DUMMYFUNCTION("""COMPUTED_VALUE"""),7234.0)</f>
        <v>7234</v>
      </c>
      <c r="H1590" s="5">
        <f>IFERROR(__xludf.DUMMYFUNCTION("""COMPUTED_VALUE"""),2249.0)</f>
        <v>2249</v>
      </c>
    </row>
    <row r="1591">
      <c r="A1591" s="4">
        <f>IFERROR(__xludf.DUMMYFUNCTION("""COMPUTED_VALUE"""),43959.0)</f>
        <v>43959</v>
      </c>
      <c r="B1591" s="5">
        <f>IFERROR(__xludf.DUMMYFUNCTION("""COMPUTED_VALUE"""),1958.0)</f>
        <v>1958</v>
      </c>
      <c r="C1591" s="6">
        <f>IFERROR(__xludf.DUMMYFUNCTION("""COMPUTED_VALUE"""),0.4207)</f>
        <v>0.4207</v>
      </c>
      <c r="D1591" s="2">
        <f>IFERROR(__xludf.DUMMYFUNCTION("""COMPUTED_VALUE"""),0.0024074074074074076)</f>
        <v>0.002407407407</v>
      </c>
      <c r="E1591" s="1">
        <f>IFERROR(__xludf.DUMMYFUNCTION("""COMPUTED_VALUE"""),1.16)</f>
        <v>1.16</v>
      </c>
      <c r="F1591" s="1">
        <f>IFERROR(__xludf.DUMMYFUNCTION("""COMPUTED_VALUE"""),4.77)</f>
        <v>4.77</v>
      </c>
      <c r="G1591" s="5">
        <f>IFERROR(__xludf.DUMMYFUNCTION("""COMPUTED_VALUE"""),10872.0)</f>
        <v>10872</v>
      </c>
      <c r="H1591" s="5">
        <f>IFERROR(__xludf.DUMMYFUNCTION("""COMPUTED_VALUE"""),2277.0)</f>
        <v>2277</v>
      </c>
    </row>
    <row r="1592">
      <c r="A1592" s="4">
        <f>IFERROR(__xludf.DUMMYFUNCTION("""COMPUTED_VALUE"""),43960.0)</f>
        <v>43960</v>
      </c>
      <c r="B1592" s="5">
        <f>IFERROR(__xludf.DUMMYFUNCTION("""COMPUTED_VALUE"""),1638.0)</f>
        <v>1638</v>
      </c>
      <c r="C1592" s="6">
        <f>IFERROR(__xludf.DUMMYFUNCTION("""COMPUTED_VALUE"""),0.5234)</f>
        <v>0.5234</v>
      </c>
      <c r="D1592" s="2">
        <f>IFERROR(__xludf.DUMMYFUNCTION("""COMPUTED_VALUE"""),0.0019212962962962964)</f>
        <v>0.001921296296</v>
      </c>
      <c r="E1592" s="1">
        <f>IFERROR(__xludf.DUMMYFUNCTION("""COMPUTED_VALUE"""),1.08)</f>
        <v>1.08</v>
      </c>
      <c r="F1592" s="1">
        <f>IFERROR(__xludf.DUMMYFUNCTION("""COMPUTED_VALUE"""),3.26)</f>
        <v>3.26</v>
      </c>
      <c r="G1592" s="5">
        <f>IFERROR(__xludf.DUMMYFUNCTION("""COMPUTED_VALUE"""),5790.0)</f>
        <v>5790</v>
      </c>
      <c r="H1592" s="5">
        <f>IFERROR(__xludf.DUMMYFUNCTION("""COMPUTED_VALUE"""),1777.0)</f>
        <v>1777</v>
      </c>
    </row>
    <row r="1593">
      <c r="A1593" s="4">
        <f>IFERROR(__xludf.DUMMYFUNCTION("""COMPUTED_VALUE"""),43961.0)</f>
        <v>43961</v>
      </c>
      <c r="B1593" s="5">
        <f>IFERROR(__xludf.DUMMYFUNCTION("""COMPUTED_VALUE"""),1555.0)</f>
        <v>1555</v>
      </c>
      <c r="C1593" s="6">
        <f>IFERROR(__xludf.DUMMYFUNCTION("""COMPUTED_VALUE"""),0.5669)</f>
        <v>0.5669</v>
      </c>
      <c r="D1593" s="2">
        <f>IFERROR(__xludf.DUMMYFUNCTION("""COMPUTED_VALUE"""),0.002685185185185185)</f>
        <v>0.002685185185</v>
      </c>
      <c r="E1593" s="1">
        <f>IFERROR(__xludf.DUMMYFUNCTION("""COMPUTED_VALUE"""),1.2)</f>
        <v>1.2</v>
      </c>
      <c r="F1593" s="1">
        <f>IFERROR(__xludf.DUMMYFUNCTION("""COMPUTED_VALUE"""),6.14)</f>
        <v>6.14</v>
      </c>
      <c r="G1593" s="5">
        <f>IFERROR(__xludf.DUMMYFUNCTION("""COMPUTED_VALUE"""),11428.0)</f>
        <v>11428</v>
      </c>
      <c r="H1593" s="5">
        <f>IFERROR(__xludf.DUMMYFUNCTION("""COMPUTED_VALUE"""),1861.0)</f>
        <v>1861</v>
      </c>
    </row>
    <row r="1594">
      <c r="A1594" s="4">
        <f>IFERROR(__xludf.DUMMYFUNCTION("""COMPUTED_VALUE"""),43962.0)</f>
        <v>43962</v>
      </c>
      <c r="B1594" s="5">
        <f>IFERROR(__xludf.DUMMYFUNCTION("""COMPUTED_VALUE"""),2111.0)</f>
        <v>2111</v>
      </c>
      <c r="C1594" s="6">
        <f>IFERROR(__xludf.DUMMYFUNCTION("""COMPUTED_VALUE"""),0.4189)</f>
        <v>0.4189</v>
      </c>
      <c r="D1594" s="2">
        <f>IFERROR(__xludf.DUMMYFUNCTION("""COMPUTED_VALUE"""),0.0022800925925925927)</f>
        <v>0.002280092593</v>
      </c>
      <c r="E1594" s="1">
        <f>IFERROR(__xludf.DUMMYFUNCTION("""COMPUTED_VALUE"""),1.18)</f>
        <v>1.18</v>
      </c>
      <c r="F1594" s="1">
        <f>IFERROR(__xludf.DUMMYFUNCTION("""COMPUTED_VALUE"""),5.33)</f>
        <v>5.33</v>
      </c>
      <c r="G1594" s="5">
        <f>IFERROR(__xludf.DUMMYFUNCTION("""COMPUTED_VALUE"""),13247.0)</f>
        <v>13247</v>
      </c>
      <c r="H1594" s="5">
        <f>IFERROR(__xludf.DUMMYFUNCTION("""COMPUTED_VALUE"""),2485.0)</f>
        <v>2485</v>
      </c>
    </row>
    <row r="1595">
      <c r="A1595" s="4">
        <f>IFERROR(__xludf.DUMMYFUNCTION("""COMPUTED_VALUE"""),43963.0)</f>
        <v>43963</v>
      </c>
      <c r="B1595" s="5">
        <f>IFERROR(__xludf.DUMMYFUNCTION("""COMPUTED_VALUE"""),2263.0)</f>
        <v>2263</v>
      </c>
      <c r="C1595" s="6">
        <f>IFERROR(__xludf.DUMMYFUNCTION("""COMPUTED_VALUE"""),0.4893)</f>
        <v>0.4893</v>
      </c>
      <c r="D1595" s="2">
        <f>IFERROR(__xludf.DUMMYFUNCTION("""COMPUTED_VALUE"""),0.0020833333333333333)</f>
        <v>0.002083333333</v>
      </c>
      <c r="E1595" s="1">
        <f>IFERROR(__xludf.DUMMYFUNCTION("""COMPUTED_VALUE"""),1.15)</f>
        <v>1.15</v>
      </c>
      <c r="F1595" s="1">
        <f>IFERROR(__xludf.DUMMYFUNCTION("""COMPUTED_VALUE"""),4.06)</f>
        <v>4.06</v>
      </c>
      <c r="G1595" s="5">
        <f>IFERROR(__xludf.DUMMYFUNCTION("""COMPUTED_VALUE"""),10608.0)</f>
        <v>10608</v>
      </c>
      <c r="H1595" s="5">
        <f>IFERROR(__xludf.DUMMYFUNCTION("""COMPUTED_VALUE"""),2610.0)</f>
        <v>2610</v>
      </c>
    </row>
    <row r="1596">
      <c r="A1596" s="4">
        <f>IFERROR(__xludf.DUMMYFUNCTION("""COMPUTED_VALUE"""),43964.0)</f>
        <v>43964</v>
      </c>
      <c r="B1596" s="5">
        <f>IFERROR(__xludf.DUMMYFUNCTION("""COMPUTED_VALUE"""),2236.0)</f>
        <v>2236</v>
      </c>
      <c r="C1596" s="6">
        <f>IFERROR(__xludf.DUMMYFUNCTION("""COMPUTED_VALUE"""),0.4636)</f>
        <v>0.4636</v>
      </c>
      <c r="D1596" s="2">
        <f>IFERROR(__xludf.DUMMYFUNCTION("""COMPUTED_VALUE"""),0.0021527777777777778)</f>
        <v>0.002152777778</v>
      </c>
      <c r="E1596" s="1">
        <f>IFERROR(__xludf.DUMMYFUNCTION("""COMPUTED_VALUE"""),1.11)</f>
        <v>1.11</v>
      </c>
      <c r="F1596" s="1">
        <f>IFERROR(__xludf.DUMMYFUNCTION("""COMPUTED_VALUE"""),4.95)</f>
        <v>4.95</v>
      </c>
      <c r="G1596" s="5">
        <f>IFERROR(__xludf.DUMMYFUNCTION("""COMPUTED_VALUE"""),12302.0)</f>
        <v>12302</v>
      </c>
      <c r="H1596" s="5">
        <f>IFERROR(__xludf.DUMMYFUNCTION("""COMPUTED_VALUE"""),2485.0)</f>
        <v>2485</v>
      </c>
    </row>
    <row r="1597">
      <c r="A1597" s="4">
        <f>IFERROR(__xludf.DUMMYFUNCTION("""COMPUTED_VALUE"""),43965.0)</f>
        <v>43965</v>
      </c>
      <c r="B1597" s="5">
        <f>IFERROR(__xludf.DUMMYFUNCTION("""COMPUTED_VALUE"""),2222.0)</f>
        <v>2222</v>
      </c>
      <c r="C1597" s="6">
        <f>IFERROR(__xludf.DUMMYFUNCTION("""COMPUTED_VALUE"""),0.5423)</f>
        <v>0.5423</v>
      </c>
      <c r="D1597" s="2">
        <f>IFERROR(__xludf.DUMMYFUNCTION("""COMPUTED_VALUE"""),0.0017708333333333332)</f>
        <v>0.001770833333</v>
      </c>
      <c r="E1597" s="1">
        <f>IFERROR(__xludf.DUMMYFUNCTION("""COMPUTED_VALUE"""),1.11)</f>
        <v>1.11</v>
      </c>
      <c r="F1597" s="1">
        <f>IFERROR(__xludf.DUMMYFUNCTION("""COMPUTED_VALUE"""),4.01)</f>
        <v>4.01</v>
      </c>
      <c r="G1597" s="5">
        <f>IFERROR(__xludf.DUMMYFUNCTION("""COMPUTED_VALUE"""),9859.0)</f>
        <v>9859</v>
      </c>
      <c r="H1597" s="5">
        <f>IFERROR(__xludf.DUMMYFUNCTION("""COMPUTED_VALUE"""),2458.0)</f>
        <v>2458</v>
      </c>
    </row>
    <row r="1598">
      <c r="A1598" s="4">
        <f>IFERROR(__xludf.DUMMYFUNCTION("""COMPUTED_VALUE"""),43966.0)</f>
        <v>43966</v>
      </c>
      <c r="B1598" s="5">
        <f>IFERROR(__xludf.DUMMYFUNCTION("""COMPUTED_VALUE"""),1916.0)</f>
        <v>1916</v>
      </c>
      <c r="C1598" s="6">
        <f>IFERROR(__xludf.DUMMYFUNCTION("""COMPUTED_VALUE"""),0.3932)</f>
        <v>0.3932</v>
      </c>
      <c r="D1598" s="2">
        <f>IFERROR(__xludf.DUMMYFUNCTION("""COMPUTED_VALUE"""),0.0024652777777777776)</f>
        <v>0.002465277778</v>
      </c>
      <c r="E1598" s="1">
        <f>IFERROR(__xludf.DUMMYFUNCTION("""COMPUTED_VALUE"""),1.09)</f>
        <v>1.09</v>
      </c>
      <c r="F1598" s="1">
        <f>IFERROR(__xludf.DUMMYFUNCTION("""COMPUTED_VALUE"""),4.38)</f>
        <v>4.38</v>
      </c>
      <c r="G1598" s="5">
        <f>IFERROR(__xludf.DUMMYFUNCTION("""COMPUTED_VALUE"""),9123.0)</f>
        <v>9123</v>
      </c>
      <c r="H1598" s="5">
        <f>IFERROR(__xludf.DUMMYFUNCTION("""COMPUTED_VALUE"""),2083.0)</f>
        <v>2083</v>
      </c>
    </row>
    <row r="1599">
      <c r="A1599" s="4">
        <f>IFERROR(__xludf.DUMMYFUNCTION("""COMPUTED_VALUE"""),43967.0)</f>
        <v>43967</v>
      </c>
      <c r="B1599" s="5">
        <f>IFERROR(__xludf.DUMMYFUNCTION("""COMPUTED_VALUE"""),1541.0)</f>
        <v>1541</v>
      </c>
      <c r="C1599" s="6">
        <f>IFERROR(__xludf.DUMMYFUNCTION("""COMPUTED_VALUE"""),0.4309)</f>
        <v>0.4309</v>
      </c>
      <c r="D1599" s="2">
        <f>IFERROR(__xludf.DUMMYFUNCTION("""COMPUTED_VALUE"""),0.0017824074074074075)</f>
        <v>0.001782407407</v>
      </c>
      <c r="E1599" s="1">
        <f>IFERROR(__xludf.DUMMYFUNCTION("""COMPUTED_VALUE"""),1.11)</f>
        <v>1.11</v>
      </c>
      <c r="F1599" s="1">
        <f>IFERROR(__xludf.DUMMYFUNCTION("""COMPUTED_VALUE"""),4.77)</f>
        <v>4.77</v>
      </c>
      <c r="G1599" s="5">
        <f>IFERROR(__xludf.DUMMYFUNCTION("""COMPUTED_VALUE"""),8151.0)</f>
        <v>8151</v>
      </c>
      <c r="H1599" s="5">
        <f>IFERROR(__xludf.DUMMYFUNCTION("""COMPUTED_VALUE"""),1708.0)</f>
        <v>1708</v>
      </c>
    </row>
    <row r="1600">
      <c r="A1600" s="4">
        <f>IFERROR(__xludf.DUMMYFUNCTION("""COMPUTED_VALUE"""),43968.0)</f>
        <v>43968</v>
      </c>
      <c r="B1600" s="5">
        <f>IFERROR(__xludf.DUMMYFUNCTION("""COMPUTED_VALUE"""),1638.0)</f>
        <v>1638</v>
      </c>
      <c r="C1600" s="6">
        <f>IFERROR(__xludf.DUMMYFUNCTION("""COMPUTED_VALUE"""),0.5074)</f>
        <v>0.5074</v>
      </c>
      <c r="D1600" s="2">
        <f>IFERROR(__xludf.DUMMYFUNCTION("""COMPUTED_VALUE"""),0.0019675925925925924)</f>
        <v>0.001967592593</v>
      </c>
      <c r="E1600" s="1">
        <f>IFERROR(__xludf.DUMMYFUNCTION("""COMPUTED_VALUE"""),1.15)</f>
        <v>1.15</v>
      </c>
      <c r="F1600" s="1">
        <f>IFERROR(__xludf.DUMMYFUNCTION("""COMPUTED_VALUE"""),3.59)</f>
        <v>3.59</v>
      </c>
      <c r="G1600" s="5">
        <f>IFERROR(__xludf.DUMMYFUNCTION("""COMPUTED_VALUE"""),6776.0)</f>
        <v>6776</v>
      </c>
      <c r="H1600" s="5">
        <f>IFERROR(__xludf.DUMMYFUNCTION("""COMPUTED_VALUE"""),1888.0)</f>
        <v>1888</v>
      </c>
    </row>
    <row r="1601">
      <c r="A1601" s="4">
        <f>IFERROR(__xludf.DUMMYFUNCTION("""COMPUTED_VALUE"""),43969.0)</f>
        <v>43969</v>
      </c>
      <c r="B1601" s="5">
        <f>IFERROR(__xludf.DUMMYFUNCTION("""COMPUTED_VALUE"""),2347.0)</f>
        <v>2347</v>
      </c>
      <c r="C1601" s="6">
        <f>IFERROR(__xludf.DUMMYFUNCTION("""COMPUTED_VALUE"""),0.4971)</f>
        <v>0.4971</v>
      </c>
      <c r="D1601" s="2">
        <f>IFERROR(__xludf.DUMMYFUNCTION("""COMPUTED_VALUE"""),0.0019212962962962964)</f>
        <v>0.001921296296</v>
      </c>
      <c r="E1601" s="1">
        <f>IFERROR(__xludf.DUMMYFUNCTION("""COMPUTED_VALUE"""),1.09)</f>
        <v>1.09</v>
      </c>
      <c r="F1601" s="1">
        <f>IFERROR(__xludf.DUMMYFUNCTION("""COMPUTED_VALUE"""),4.57)</f>
        <v>4.57</v>
      </c>
      <c r="G1601" s="5">
        <f>IFERROR(__xludf.DUMMYFUNCTION("""COMPUTED_VALUE"""),11733.0)</f>
        <v>11733</v>
      </c>
      <c r="H1601" s="5">
        <f>IFERROR(__xludf.DUMMYFUNCTION("""COMPUTED_VALUE"""),2569.0)</f>
        <v>2569</v>
      </c>
    </row>
    <row r="1602">
      <c r="A1602" s="4">
        <f>IFERROR(__xludf.DUMMYFUNCTION("""COMPUTED_VALUE"""),43970.0)</f>
        <v>43970</v>
      </c>
      <c r="B1602" s="5">
        <f>IFERROR(__xludf.DUMMYFUNCTION("""COMPUTED_VALUE"""),2111.0)</f>
        <v>2111</v>
      </c>
      <c r="C1602" s="6">
        <f>IFERROR(__xludf.DUMMYFUNCTION("""COMPUTED_VALUE"""),0.4589)</f>
        <v>0.4589</v>
      </c>
      <c r="D1602" s="2">
        <f>IFERROR(__xludf.DUMMYFUNCTION("""COMPUTED_VALUE"""),0.0021527777777777778)</f>
        <v>0.002152777778</v>
      </c>
      <c r="E1602" s="1">
        <f>IFERROR(__xludf.DUMMYFUNCTION("""COMPUTED_VALUE"""),1.2)</f>
        <v>1.2</v>
      </c>
      <c r="F1602" s="1">
        <f>IFERROR(__xludf.DUMMYFUNCTION("""COMPUTED_VALUE"""),5.01)</f>
        <v>5.01</v>
      </c>
      <c r="G1602" s="5">
        <f>IFERROR(__xludf.DUMMYFUNCTION("""COMPUTED_VALUE"""),12733.0)</f>
        <v>12733</v>
      </c>
      <c r="H1602" s="5">
        <f>IFERROR(__xludf.DUMMYFUNCTION("""COMPUTED_VALUE"""),2541.0)</f>
        <v>2541</v>
      </c>
    </row>
    <row r="1603">
      <c r="A1603" s="4">
        <f>IFERROR(__xludf.DUMMYFUNCTION("""COMPUTED_VALUE"""),43971.0)</f>
        <v>43971</v>
      </c>
      <c r="B1603" s="5">
        <f>IFERROR(__xludf.DUMMYFUNCTION("""COMPUTED_VALUE"""),2208.0)</f>
        <v>2208</v>
      </c>
      <c r="C1603" s="6">
        <f>IFERROR(__xludf.DUMMYFUNCTION("""COMPUTED_VALUE"""),0.4306)</f>
        <v>0.4306</v>
      </c>
      <c r="D1603" s="2">
        <f>IFERROR(__xludf.DUMMYFUNCTION("""COMPUTED_VALUE"""),0.0021296296296296298)</f>
        <v>0.00212962963</v>
      </c>
      <c r="E1603" s="1">
        <f>IFERROR(__xludf.DUMMYFUNCTION("""COMPUTED_VALUE"""),1.23)</f>
        <v>1.23</v>
      </c>
      <c r="F1603" s="1">
        <f>IFERROR(__xludf.DUMMYFUNCTION("""COMPUTED_VALUE"""),4.59)</f>
        <v>4.59</v>
      </c>
      <c r="G1603" s="5">
        <f>IFERROR(__xludf.DUMMYFUNCTION("""COMPUTED_VALUE"""),12427.0)</f>
        <v>12427</v>
      </c>
      <c r="H1603" s="5">
        <f>IFERROR(__xludf.DUMMYFUNCTION("""COMPUTED_VALUE"""),2708.0)</f>
        <v>2708</v>
      </c>
    </row>
    <row r="1604">
      <c r="A1604" s="4">
        <f>IFERROR(__xludf.DUMMYFUNCTION("""COMPUTED_VALUE"""),43972.0)</f>
        <v>43972</v>
      </c>
      <c r="B1604" s="5">
        <f>IFERROR(__xludf.DUMMYFUNCTION("""COMPUTED_VALUE"""),2208.0)</f>
        <v>2208</v>
      </c>
      <c r="C1604" s="6">
        <f>IFERROR(__xludf.DUMMYFUNCTION("""COMPUTED_VALUE"""),0.4974)</f>
        <v>0.4974</v>
      </c>
      <c r="D1604" s="2">
        <f>IFERROR(__xludf.DUMMYFUNCTION("""COMPUTED_VALUE"""),0.002025462962962963)</f>
        <v>0.002025462963</v>
      </c>
      <c r="E1604" s="1">
        <f>IFERROR(__xludf.DUMMYFUNCTION("""COMPUTED_VALUE"""),1.13)</f>
        <v>1.13</v>
      </c>
      <c r="F1604" s="1">
        <f>IFERROR(__xludf.DUMMYFUNCTION("""COMPUTED_VALUE"""),4.83)</f>
        <v>4.83</v>
      </c>
      <c r="G1604" s="5">
        <f>IFERROR(__xludf.DUMMYFUNCTION("""COMPUTED_VALUE"""),11997.0)</f>
        <v>11997</v>
      </c>
      <c r="H1604" s="5">
        <f>IFERROR(__xludf.DUMMYFUNCTION("""COMPUTED_VALUE"""),2485.0)</f>
        <v>2485</v>
      </c>
    </row>
    <row r="1605">
      <c r="A1605" s="4">
        <f>IFERROR(__xludf.DUMMYFUNCTION("""COMPUTED_VALUE"""),43973.0)</f>
        <v>43973</v>
      </c>
      <c r="B1605" s="5">
        <f>IFERROR(__xludf.DUMMYFUNCTION("""COMPUTED_VALUE"""),1750.0)</f>
        <v>1750</v>
      </c>
      <c r="C1605" s="6">
        <f>IFERROR(__xludf.DUMMYFUNCTION("""COMPUTED_VALUE"""),0.5037)</f>
        <v>0.5037</v>
      </c>
      <c r="D1605" s="2">
        <f>IFERROR(__xludf.DUMMYFUNCTION("""COMPUTED_VALUE"""),0.001990740740740741)</f>
        <v>0.001990740741</v>
      </c>
      <c r="E1605" s="1">
        <f>IFERROR(__xludf.DUMMYFUNCTION("""COMPUTED_VALUE"""),1.15)</f>
        <v>1.15</v>
      </c>
      <c r="F1605" s="1">
        <f>IFERROR(__xludf.DUMMYFUNCTION("""COMPUTED_VALUE"""),3.47)</f>
        <v>3.47</v>
      </c>
      <c r="G1605" s="5">
        <f>IFERROR(__xludf.DUMMYFUNCTION("""COMPUTED_VALUE"""),6984.0)</f>
        <v>6984</v>
      </c>
      <c r="H1605" s="5">
        <f>IFERROR(__xludf.DUMMYFUNCTION("""COMPUTED_VALUE"""),2013.0)</f>
        <v>2013</v>
      </c>
    </row>
    <row r="1606">
      <c r="A1606" s="4">
        <f>IFERROR(__xludf.DUMMYFUNCTION("""COMPUTED_VALUE"""),43974.0)</f>
        <v>43974</v>
      </c>
      <c r="B1606" s="5">
        <f>IFERROR(__xludf.DUMMYFUNCTION("""COMPUTED_VALUE"""),1472.0)</f>
        <v>1472</v>
      </c>
      <c r="C1606" s="6">
        <f>IFERROR(__xludf.DUMMYFUNCTION("""COMPUTED_VALUE"""),0.4401)</f>
        <v>0.4401</v>
      </c>
      <c r="D1606" s="2">
        <f>IFERROR(__xludf.DUMMYFUNCTION("""COMPUTED_VALUE"""),0.0018287037037037037)</f>
        <v>0.001828703704</v>
      </c>
      <c r="E1606" s="1">
        <f>IFERROR(__xludf.DUMMYFUNCTION("""COMPUTED_VALUE"""),1.18)</f>
        <v>1.18</v>
      </c>
      <c r="F1606" s="1">
        <f>IFERROR(__xludf.DUMMYFUNCTION("""COMPUTED_VALUE"""),4.6)</f>
        <v>4.6</v>
      </c>
      <c r="G1606" s="5">
        <f>IFERROR(__xludf.DUMMYFUNCTION("""COMPUTED_VALUE"""),7984.0)</f>
        <v>7984</v>
      </c>
      <c r="H1606" s="5">
        <f>IFERROR(__xludf.DUMMYFUNCTION("""COMPUTED_VALUE"""),1736.0)</f>
        <v>1736</v>
      </c>
    </row>
    <row r="1607">
      <c r="A1607" s="4">
        <f>IFERROR(__xludf.DUMMYFUNCTION("""COMPUTED_VALUE"""),43975.0)</f>
        <v>43975</v>
      </c>
      <c r="B1607" s="5">
        <f>IFERROR(__xludf.DUMMYFUNCTION("""COMPUTED_VALUE"""),1541.0)</f>
        <v>1541</v>
      </c>
      <c r="C1607" s="6">
        <f>IFERROR(__xludf.DUMMYFUNCTION("""COMPUTED_VALUE"""),0.5083)</f>
        <v>0.5083</v>
      </c>
      <c r="D1607" s="2">
        <f>IFERROR(__xludf.DUMMYFUNCTION("""COMPUTED_VALUE"""),0.002037037037037037)</f>
        <v>0.002037037037</v>
      </c>
      <c r="E1607" s="1">
        <f>IFERROR(__xludf.DUMMYFUNCTION("""COMPUTED_VALUE"""),1.1)</f>
        <v>1.1</v>
      </c>
      <c r="F1607" s="1">
        <f>IFERROR(__xludf.DUMMYFUNCTION("""COMPUTED_VALUE"""),3.17)</f>
        <v>3.17</v>
      </c>
      <c r="G1607" s="5">
        <f>IFERROR(__xludf.DUMMYFUNCTION("""COMPUTED_VALUE"""),5374.0)</f>
        <v>5374</v>
      </c>
      <c r="H1607" s="5">
        <f>IFERROR(__xludf.DUMMYFUNCTION("""COMPUTED_VALUE"""),1694.0)</f>
        <v>1694</v>
      </c>
    </row>
    <row r="1608">
      <c r="A1608" s="4">
        <f>IFERROR(__xludf.DUMMYFUNCTION("""COMPUTED_VALUE"""),43976.0)</f>
        <v>43976</v>
      </c>
      <c r="B1608" s="5">
        <f>IFERROR(__xludf.DUMMYFUNCTION("""COMPUTED_VALUE"""),1736.0)</f>
        <v>1736</v>
      </c>
      <c r="C1608" s="6">
        <f>IFERROR(__xludf.DUMMYFUNCTION("""COMPUTED_VALUE"""),0.4406)</f>
        <v>0.4406</v>
      </c>
      <c r="D1608" s="2">
        <f>IFERROR(__xludf.DUMMYFUNCTION("""COMPUTED_VALUE"""),0.0024421296296296296)</f>
        <v>0.00244212963</v>
      </c>
      <c r="E1608" s="1">
        <f>IFERROR(__xludf.DUMMYFUNCTION("""COMPUTED_VALUE"""),1.14)</f>
        <v>1.14</v>
      </c>
      <c r="F1608" s="1">
        <f>IFERROR(__xludf.DUMMYFUNCTION("""COMPUTED_VALUE"""),3.45)</f>
        <v>3.45</v>
      </c>
      <c r="G1608" s="5">
        <f>IFERROR(__xludf.DUMMYFUNCTION("""COMPUTED_VALUE"""),6859.0)</f>
        <v>6859</v>
      </c>
      <c r="H1608" s="5">
        <f>IFERROR(__xludf.DUMMYFUNCTION("""COMPUTED_VALUE"""),1986.0)</f>
        <v>1986</v>
      </c>
    </row>
    <row r="1609">
      <c r="A1609" s="4">
        <f>IFERROR(__xludf.DUMMYFUNCTION("""COMPUTED_VALUE"""),43977.0)</f>
        <v>43977</v>
      </c>
      <c r="B1609" s="5">
        <f>IFERROR(__xludf.DUMMYFUNCTION("""COMPUTED_VALUE"""),2305.0)</f>
        <v>2305</v>
      </c>
      <c r="C1609" s="6">
        <f>IFERROR(__xludf.DUMMYFUNCTION("""COMPUTED_VALUE"""),0.4444)</f>
        <v>0.4444</v>
      </c>
      <c r="D1609" s="2">
        <f>IFERROR(__xludf.DUMMYFUNCTION("""COMPUTED_VALUE"""),0.0024421296296296296)</f>
        <v>0.00244212963</v>
      </c>
      <c r="E1609" s="1">
        <f>IFERROR(__xludf.DUMMYFUNCTION("""COMPUTED_VALUE"""),1.14)</f>
        <v>1.14</v>
      </c>
      <c r="F1609" s="1">
        <f>IFERROR(__xludf.DUMMYFUNCTION("""COMPUTED_VALUE"""),5.06)</f>
        <v>5.06</v>
      </c>
      <c r="G1609" s="5">
        <f>IFERROR(__xludf.DUMMYFUNCTION("""COMPUTED_VALUE"""),13288.0)</f>
        <v>13288</v>
      </c>
      <c r="H1609" s="5">
        <f>IFERROR(__xludf.DUMMYFUNCTION("""COMPUTED_VALUE"""),2624.0)</f>
        <v>2624</v>
      </c>
    </row>
    <row r="1610">
      <c r="A1610" s="4">
        <f>IFERROR(__xludf.DUMMYFUNCTION("""COMPUTED_VALUE"""),43978.0)</f>
        <v>43978</v>
      </c>
      <c r="B1610" s="5">
        <f>IFERROR(__xludf.DUMMYFUNCTION("""COMPUTED_VALUE"""),2388.0)</f>
        <v>2388</v>
      </c>
      <c r="C1610" s="6">
        <f>IFERROR(__xludf.DUMMYFUNCTION("""COMPUTED_VALUE"""),0.4461)</f>
        <v>0.4461</v>
      </c>
      <c r="D1610" s="2">
        <f>IFERROR(__xludf.DUMMYFUNCTION("""COMPUTED_VALUE"""),0.001979166666666667)</f>
        <v>0.001979166667</v>
      </c>
      <c r="E1610" s="1">
        <f>IFERROR(__xludf.DUMMYFUNCTION("""COMPUTED_VALUE"""),1.13)</f>
        <v>1.13</v>
      </c>
      <c r="F1610" s="1">
        <f>IFERROR(__xludf.DUMMYFUNCTION("""COMPUTED_VALUE"""),4.64)</f>
        <v>4.64</v>
      </c>
      <c r="G1610" s="5">
        <f>IFERROR(__xludf.DUMMYFUNCTION("""COMPUTED_VALUE"""),12566.0)</f>
        <v>12566</v>
      </c>
      <c r="H1610" s="5">
        <f>IFERROR(__xludf.DUMMYFUNCTION("""COMPUTED_VALUE"""),2708.0)</f>
        <v>2708</v>
      </c>
    </row>
    <row r="1611">
      <c r="A1611" s="4">
        <f>IFERROR(__xludf.DUMMYFUNCTION("""COMPUTED_VALUE"""),43979.0)</f>
        <v>43979</v>
      </c>
      <c r="B1611" s="5">
        <f>IFERROR(__xludf.DUMMYFUNCTION("""COMPUTED_VALUE"""),2513.0)</f>
        <v>2513</v>
      </c>
      <c r="C1611" s="6">
        <f>IFERROR(__xludf.DUMMYFUNCTION("""COMPUTED_VALUE"""),0.4564)</f>
        <v>0.4564</v>
      </c>
      <c r="D1611" s="2">
        <f>IFERROR(__xludf.DUMMYFUNCTION("""COMPUTED_VALUE"""),0.0026157407407407405)</f>
        <v>0.002615740741</v>
      </c>
      <c r="E1611" s="1">
        <f>IFERROR(__xludf.DUMMYFUNCTION("""COMPUTED_VALUE"""),1.08)</f>
        <v>1.08</v>
      </c>
      <c r="F1611" s="1">
        <f>IFERROR(__xludf.DUMMYFUNCTION("""COMPUTED_VALUE"""),5.6)</f>
        <v>5.6</v>
      </c>
      <c r="G1611" s="5">
        <f>IFERROR(__xludf.DUMMYFUNCTION("""COMPUTED_VALUE"""),15163.0)</f>
        <v>15163</v>
      </c>
      <c r="H1611" s="5">
        <f>IFERROR(__xludf.DUMMYFUNCTION("""COMPUTED_VALUE"""),2708.0)</f>
        <v>2708</v>
      </c>
    </row>
    <row r="1612">
      <c r="A1612" s="4">
        <f>IFERROR(__xludf.DUMMYFUNCTION("""COMPUTED_VALUE"""),43980.0)</f>
        <v>43980</v>
      </c>
      <c r="B1612" s="5">
        <f>IFERROR(__xludf.DUMMYFUNCTION("""COMPUTED_VALUE"""),1958.0)</f>
        <v>1958</v>
      </c>
      <c r="C1612" s="6">
        <f>IFERROR(__xludf.DUMMYFUNCTION("""COMPUTED_VALUE"""),0.4874)</f>
        <v>0.4874</v>
      </c>
      <c r="D1612" s="2">
        <f>IFERROR(__xludf.DUMMYFUNCTION("""COMPUTED_VALUE"""),0.0024537037037037036)</f>
        <v>0.002453703704</v>
      </c>
      <c r="E1612" s="1">
        <f>IFERROR(__xludf.DUMMYFUNCTION("""COMPUTED_VALUE"""),1.13)</f>
        <v>1.13</v>
      </c>
      <c r="F1612" s="1">
        <f>IFERROR(__xludf.DUMMYFUNCTION("""COMPUTED_VALUE"""),5.27)</f>
        <v>5.27</v>
      </c>
      <c r="G1612" s="5">
        <f>IFERROR(__xludf.DUMMYFUNCTION("""COMPUTED_VALUE"""),11719.0)</f>
        <v>11719</v>
      </c>
      <c r="H1612" s="5">
        <f>IFERROR(__xludf.DUMMYFUNCTION("""COMPUTED_VALUE"""),2222.0)</f>
        <v>2222</v>
      </c>
    </row>
    <row r="1613">
      <c r="A1613" s="4">
        <f>IFERROR(__xludf.DUMMYFUNCTION("""COMPUTED_VALUE"""),43981.0)</f>
        <v>43981</v>
      </c>
      <c r="B1613" s="5">
        <f>IFERROR(__xludf.DUMMYFUNCTION("""COMPUTED_VALUE"""),1444.0)</f>
        <v>1444</v>
      </c>
      <c r="C1613" s="6">
        <f>IFERROR(__xludf.DUMMYFUNCTION("""COMPUTED_VALUE"""),0.602)</f>
        <v>0.602</v>
      </c>
      <c r="D1613" s="2">
        <f>IFERROR(__xludf.DUMMYFUNCTION("""COMPUTED_VALUE"""),8.449074074074074E-4)</f>
        <v>0.0008449074074</v>
      </c>
      <c r="E1613" s="1">
        <f>IFERROR(__xludf.DUMMYFUNCTION("""COMPUTED_VALUE"""),1.13)</f>
        <v>1.13</v>
      </c>
      <c r="F1613" s="1">
        <f>IFERROR(__xludf.DUMMYFUNCTION("""COMPUTED_VALUE"""),3.52)</f>
        <v>3.52</v>
      </c>
      <c r="G1613" s="5">
        <f>IFERROR(__xludf.DUMMYFUNCTION("""COMPUTED_VALUE"""),5762.0)</f>
        <v>5762</v>
      </c>
      <c r="H1613" s="5">
        <f>IFERROR(__xludf.DUMMYFUNCTION("""COMPUTED_VALUE"""),1638.0)</f>
        <v>1638</v>
      </c>
    </row>
    <row r="1614">
      <c r="A1614" s="4">
        <f>IFERROR(__xludf.DUMMYFUNCTION("""COMPUTED_VALUE"""),43982.0)</f>
        <v>43982</v>
      </c>
      <c r="B1614" s="5">
        <f>IFERROR(__xludf.DUMMYFUNCTION("""COMPUTED_VALUE"""),1430.0)</f>
        <v>1430</v>
      </c>
      <c r="C1614" s="6">
        <f>IFERROR(__xludf.DUMMYFUNCTION("""COMPUTED_VALUE"""),0.6276)</f>
        <v>0.6276</v>
      </c>
      <c r="D1614" s="2">
        <f>IFERROR(__xludf.DUMMYFUNCTION("""COMPUTED_VALUE"""),0.0016203703703703703)</f>
        <v>0.00162037037</v>
      </c>
      <c r="E1614" s="1">
        <f>IFERROR(__xludf.DUMMYFUNCTION("""COMPUTED_VALUE"""),1.15)</f>
        <v>1.15</v>
      </c>
      <c r="F1614" s="1">
        <f>IFERROR(__xludf.DUMMYFUNCTION("""COMPUTED_VALUE"""),4.47)</f>
        <v>4.47</v>
      </c>
      <c r="G1614" s="5">
        <f>IFERROR(__xludf.DUMMYFUNCTION("""COMPUTED_VALUE"""),7318.0)</f>
        <v>7318</v>
      </c>
      <c r="H1614" s="5">
        <f>IFERROR(__xludf.DUMMYFUNCTION("""COMPUTED_VALUE"""),1638.0)</f>
        <v>1638</v>
      </c>
    </row>
    <row r="1615">
      <c r="A1615" s="4">
        <f>IFERROR(__xludf.DUMMYFUNCTION("""COMPUTED_VALUE"""),43983.0)</f>
        <v>43983</v>
      </c>
      <c r="B1615" s="5">
        <f>IFERROR(__xludf.DUMMYFUNCTION("""COMPUTED_VALUE"""),2097.0)</f>
        <v>2097</v>
      </c>
      <c r="C1615" s="6">
        <f>IFERROR(__xludf.DUMMYFUNCTION("""COMPUTED_VALUE"""),0.4998)</f>
        <v>0.4998</v>
      </c>
      <c r="D1615" s="2">
        <f>IFERROR(__xludf.DUMMYFUNCTION("""COMPUTED_VALUE"""),0.0018055555555555555)</f>
        <v>0.001805555556</v>
      </c>
      <c r="E1615" s="1">
        <f>IFERROR(__xludf.DUMMYFUNCTION("""COMPUTED_VALUE"""),1.1)</f>
        <v>1.1</v>
      </c>
      <c r="F1615" s="1">
        <f>IFERROR(__xludf.DUMMYFUNCTION("""COMPUTED_VALUE"""),3.84)</f>
        <v>3.84</v>
      </c>
      <c r="G1615" s="5">
        <f>IFERROR(__xludf.DUMMYFUNCTION("""COMPUTED_VALUE"""),8845.0)</f>
        <v>8845</v>
      </c>
      <c r="H1615" s="5">
        <f>IFERROR(__xludf.DUMMYFUNCTION("""COMPUTED_VALUE"""),2305.0)</f>
        <v>2305</v>
      </c>
    </row>
    <row r="1616">
      <c r="A1616" s="4">
        <f>IFERROR(__xludf.DUMMYFUNCTION("""COMPUTED_VALUE"""),43984.0)</f>
        <v>43984</v>
      </c>
      <c r="B1616" s="5">
        <f>IFERROR(__xludf.DUMMYFUNCTION("""COMPUTED_VALUE"""),2194.0)</f>
        <v>2194</v>
      </c>
      <c r="C1616" s="6">
        <f>IFERROR(__xludf.DUMMYFUNCTION("""COMPUTED_VALUE"""),0.4482)</f>
        <v>0.4482</v>
      </c>
      <c r="D1616" s="2">
        <f>IFERROR(__xludf.DUMMYFUNCTION("""COMPUTED_VALUE"""),0.0021296296296296298)</f>
        <v>0.00212962963</v>
      </c>
      <c r="E1616" s="1">
        <f>IFERROR(__xludf.DUMMYFUNCTION("""COMPUTED_VALUE"""),1.16)</f>
        <v>1.16</v>
      </c>
      <c r="F1616" s="1">
        <f>IFERROR(__xludf.DUMMYFUNCTION("""COMPUTED_VALUE"""),5.79)</f>
        <v>5.79</v>
      </c>
      <c r="G1616" s="5">
        <f>IFERROR(__xludf.DUMMYFUNCTION("""COMPUTED_VALUE"""),14719.0)</f>
        <v>14719</v>
      </c>
      <c r="H1616" s="5">
        <f>IFERROR(__xludf.DUMMYFUNCTION("""COMPUTED_VALUE"""),2541.0)</f>
        <v>2541</v>
      </c>
    </row>
    <row r="1617">
      <c r="A1617" s="4">
        <f>IFERROR(__xludf.DUMMYFUNCTION("""COMPUTED_VALUE"""),43985.0)</f>
        <v>43985</v>
      </c>
      <c r="B1617" s="5">
        <f>IFERROR(__xludf.DUMMYFUNCTION("""COMPUTED_VALUE"""),2222.0)</f>
        <v>2222</v>
      </c>
      <c r="C1617" s="6">
        <f>IFERROR(__xludf.DUMMYFUNCTION("""COMPUTED_VALUE"""),0.5164)</f>
        <v>0.5164</v>
      </c>
      <c r="D1617" s="2">
        <f>IFERROR(__xludf.DUMMYFUNCTION("""COMPUTED_VALUE"""),0.002037037037037037)</f>
        <v>0.002037037037</v>
      </c>
      <c r="E1617" s="1">
        <f>IFERROR(__xludf.DUMMYFUNCTION("""COMPUTED_VALUE"""),1.14)</f>
        <v>1.14</v>
      </c>
      <c r="F1617" s="1">
        <f>IFERROR(__xludf.DUMMYFUNCTION("""COMPUTED_VALUE"""),4.05)</f>
        <v>4.05</v>
      </c>
      <c r="G1617" s="5">
        <f>IFERROR(__xludf.DUMMYFUNCTION("""COMPUTED_VALUE"""),10234.0)</f>
        <v>10234</v>
      </c>
      <c r="H1617" s="5">
        <f>IFERROR(__xludf.DUMMYFUNCTION("""COMPUTED_VALUE"""),2527.0)</f>
        <v>2527</v>
      </c>
    </row>
    <row r="1618">
      <c r="A1618" s="4">
        <f>IFERROR(__xludf.DUMMYFUNCTION("""COMPUTED_VALUE"""),43986.0)</f>
        <v>43986</v>
      </c>
      <c r="B1618" s="5">
        <f>IFERROR(__xludf.DUMMYFUNCTION("""COMPUTED_VALUE"""),2319.0)</f>
        <v>2319</v>
      </c>
      <c r="C1618" s="6">
        <f>IFERROR(__xludf.DUMMYFUNCTION("""COMPUTED_VALUE"""),0.5132)</f>
        <v>0.5132</v>
      </c>
      <c r="D1618" s="2">
        <f>IFERROR(__xludf.DUMMYFUNCTION("""COMPUTED_VALUE"""),0.0016435185185185185)</f>
        <v>0.001643518519</v>
      </c>
      <c r="E1618" s="1">
        <f>IFERROR(__xludf.DUMMYFUNCTION("""COMPUTED_VALUE"""),1.14)</f>
        <v>1.14</v>
      </c>
      <c r="F1618" s="1">
        <f>IFERROR(__xludf.DUMMYFUNCTION("""COMPUTED_VALUE"""),4.1)</f>
        <v>4.1</v>
      </c>
      <c r="G1618" s="5">
        <f>IFERROR(__xludf.DUMMYFUNCTION("""COMPUTED_VALUE"""),10872.0)</f>
        <v>10872</v>
      </c>
      <c r="H1618" s="5">
        <f>IFERROR(__xludf.DUMMYFUNCTION("""COMPUTED_VALUE"""),2652.0)</f>
        <v>2652</v>
      </c>
    </row>
    <row r="1619">
      <c r="A1619" s="4">
        <f>IFERROR(__xludf.DUMMYFUNCTION("""COMPUTED_VALUE"""),43987.0)</f>
        <v>43987</v>
      </c>
      <c r="B1619" s="5">
        <f>IFERROR(__xludf.DUMMYFUNCTION("""COMPUTED_VALUE"""),2430.0)</f>
        <v>2430</v>
      </c>
      <c r="C1619" s="6">
        <f>IFERROR(__xludf.DUMMYFUNCTION("""COMPUTED_VALUE"""),0.5103)</f>
        <v>0.5103</v>
      </c>
      <c r="D1619" s="2">
        <f>IFERROR(__xludf.DUMMYFUNCTION("""COMPUTED_VALUE"""),0.0017708333333333332)</f>
        <v>0.001770833333</v>
      </c>
      <c r="E1619" s="1">
        <f>IFERROR(__xludf.DUMMYFUNCTION("""COMPUTED_VALUE"""),1.12)</f>
        <v>1.12</v>
      </c>
      <c r="F1619" s="1">
        <f>IFERROR(__xludf.DUMMYFUNCTION("""COMPUTED_VALUE"""),4.33)</f>
        <v>4.33</v>
      </c>
      <c r="G1619" s="5">
        <f>IFERROR(__xludf.DUMMYFUNCTION("""COMPUTED_VALUE"""),11789.0)</f>
        <v>11789</v>
      </c>
      <c r="H1619" s="5">
        <f>IFERROR(__xludf.DUMMYFUNCTION("""COMPUTED_VALUE"""),2722.0)</f>
        <v>2722</v>
      </c>
    </row>
    <row r="1620">
      <c r="A1620" s="4">
        <f>IFERROR(__xludf.DUMMYFUNCTION("""COMPUTED_VALUE"""),43988.0)</f>
        <v>43988</v>
      </c>
      <c r="B1620" s="5">
        <f>IFERROR(__xludf.DUMMYFUNCTION("""COMPUTED_VALUE"""),1555.0)</f>
        <v>1555</v>
      </c>
      <c r="C1620" s="6">
        <f>IFERROR(__xludf.DUMMYFUNCTION("""COMPUTED_VALUE"""),0.5524)</f>
        <v>0.5524</v>
      </c>
      <c r="D1620" s="2">
        <f>IFERROR(__xludf.DUMMYFUNCTION("""COMPUTED_VALUE"""),0.0018865740740740742)</f>
        <v>0.001886574074</v>
      </c>
      <c r="E1620" s="1">
        <f>IFERROR(__xludf.DUMMYFUNCTION("""COMPUTED_VALUE"""),1.2)</f>
        <v>1.2</v>
      </c>
      <c r="F1620" s="1">
        <f>IFERROR(__xludf.DUMMYFUNCTION("""COMPUTED_VALUE"""),3.37)</f>
        <v>3.37</v>
      </c>
      <c r="G1620" s="5">
        <f>IFERROR(__xludf.DUMMYFUNCTION("""COMPUTED_VALUE"""),6276.0)</f>
        <v>6276</v>
      </c>
      <c r="H1620" s="5">
        <f>IFERROR(__xludf.DUMMYFUNCTION("""COMPUTED_VALUE"""),1861.0)</f>
        <v>1861</v>
      </c>
    </row>
    <row r="1621">
      <c r="A1621" s="4">
        <f>IFERROR(__xludf.DUMMYFUNCTION("""COMPUTED_VALUE"""),43989.0)</f>
        <v>43989</v>
      </c>
      <c r="B1621" s="5">
        <f>IFERROR(__xludf.DUMMYFUNCTION("""COMPUTED_VALUE"""),1805.0)</f>
        <v>1805</v>
      </c>
      <c r="C1621" s="6">
        <f>IFERROR(__xludf.DUMMYFUNCTION("""COMPUTED_VALUE"""),0.5594)</f>
        <v>0.5594</v>
      </c>
      <c r="D1621" s="2">
        <f>IFERROR(__xludf.DUMMYFUNCTION("""COMPUTED_VALUE"""),0.0013425925925925925)</f>
        <v>0.001342592593</v>
      </c>
      <c r="E1621" s="1">
        <f>IFERROR(__xludf.DUMMYFUNCTION("""COMPUTED_VALUE"""),1.1)</f>
        <v>1.1</v>
      </c>
      <c r="F1621" s="1">
        <f>IFERROR(__xludf.DUMMYFUNCTION("""COMPUTED_VALUE"""),3.53)</f>
        <v>3.53</v>
      </c>
      <c r="G1621" s="5">
        <f>IFERROR(__xludf.DUMMYFUNCTION("""COMPUTED_VALUE"""),7012.0)</f>
        <v>7012</v>
      </c>
      <c r="H1621" s="5">
        <f>IFERROR(__xludf.DUMMYFUNCTION("""COMPUTED_VALUE"""),1986.0)</f>
        <v>1986</v>
      </c>
    </row>
    <row r="1622">
      <c r="A1622" s="4">
        <f>IFERROR(__xludf.DUMMYFUNCTION("""COMPUTED_VALUE"""),43990.0)</f>
        <v>43990</v>
      </c>
      <c r="B1622" s="5">
        <f>IFERROR(__xludf.DUMMYFUNCTION("""COMPUTED_VALUE"""),2416.0)</f>
        <v>2416</v>
      </c>
      <c r="C1622" s="6">
        <f>IFERROR(__xludf.DUMMYFUNCTION("""COMPUTED_VALUE"""),0.5331)</f>
        <v>0.5331</v>
      </c>
      <c r="D1622" s="2">
        <f>IFERROR(__xludf.DUMMYFUNCTION("""COMPUTED_VALUE"""),0.0025578703703703705)</f>
        <v>0.00255787037</v>
      </c>
      <c r="E1622" s="1">
        <f>IFERROR(__xludf.DUMMYFUNCTION("""COMPUTED_VALUE"""),1.13)</f>
        <v>1.13</v>
      </c>
      <c r="F1622" s="1">
        <f>IFERROR(__xludf.DUMMYFUNCTION("""COMPUTED_VALUE"""),5.08)</f>
        <v>5.08</v>
      </c>
      <c r="G1622" s="5">
        <f>IFERROR(__xludf.DUMMYFUNCTION("""COMPUTED_VALUE"""),13899.0)</f>
        <v>13899</v>
      </c>
      <c r="H1622" s="5">
        <f>IFERROR(__xludf.DUMMYFUNCTION("""COMPUTED_VALUE"""),2735.0)</f>
        <v>2735</v>
      </c>
    </row>
    <row r="1623">
      <c r="A1623" s="4">
        <f>IFERROR(__xludf.DUMMYFUNCTION("""COMPUTED_VALUE"""),43991.0)</f>
        <v>43991</v>
      </c>
      <c r="B1623" s="5">
        <f>IFERROR(__xludf.DUMMYFUNCTION("""COMPUTED_VALUE"""),2374.0)</f>
        <v>2374</v>
      </c>
      <c r="C1623" s="6">
        <f>IFERROR(__xludf.DUMMYFUNCTION("""COMPUTED_VALUE"""),0.4564)</f>
        <v>0.4564</v>
      </c>
      <c r="D1623" s="2">
        <f>IFERROR(__xludf.DUMMYFUNCTION("""COMPUTED_VALUE"""),0.0022800925925925927)</f>
        <v>0.002280092593</v>
      </c>
      <c r="E1623" s="1">
        <f>IFERROR(__xludf.DUMMYFUNCTION("""COMPUTED_VALUE"""),1.14)</f>
        <v>1.14</v>
      </c>
      <c r="F1623" s="1">
        <f>IFERROR(__xludf.DUMMYFUNCTION("""COMPUTED_VALUE"""),4.58)</f>
        <v>4.58</v>
      </c>
      <c r="G1623" s="5">
        <f>IFERROR(__xludf.DUMMYFUNCTION("""COMPUTED_VALUE"""),12400.0)</f>
        <v>12400</v>
      </c>
      <c r="H1623" s="5">
        <f>IFERROR(__xludf.DUMMYFUNCTION("""COMPUTED_VALUE"""),2708.0)</f>
        <v>2708</v>
      </c>
    </row>
    <row r="1624">
      <c r="A1624" s="4">
        <f>IFERROR(__xludf.DUMMYFUNCTION("""COMPUTED_VALUE"""),43992.0)</f>
        <v>43992</v>
      </c>
      <c r="B1624" s="5">
        <f>IFERROR(__xludf.DUMMYFUNCTION("""COMPUTED_VALUE"""),2610.0)</f>
        <v>2610</v>
      </c>
      <c r="C1624" s="6">
        <f>IFERROR(__xludf.DUMMYFUNCTION("""COMPUTED_VALUE"""),0.5049)</f>
        <v>0.5049</v>
      </c>
      <c r="D1624" s="2">
        <f>IFERROR(__xludf.DUMMYFUNCTION("""COMPUTED_VALUE"""),0.0020833333333333333)</f>
        <v>0.002083333333</v>
      </c>
      <c r="E1624" s="1">
        <f>IFERROR(__xludf.DUMMYFUNCTION("""COMPUTED_VALUE"""),1.14)</f>
        <v>1.14</v>
      </c>
      <c r="F1624" s="1">
        <f>IFERROR(__xludf.DUMMYFUNCTION("""COMPUTED_VALUE"""),3.58)</f>
        <v>3.58</v>
      </c>
      <c r="G1624" s="5">
        <f>IFERROR(__xludf.DUMMYFUNCTION("""COMPUTED_VALUE"""),10622.0)</f>
        <v>10622</v>
      </c>
      <c r="H1624" s="5">
        <f>IFERROR(__xludf.DUMMYFUNCTION("""COMPUTED_VALUE"""),2971.0)</f>
        <v>2971</v>
      </c>
    </row>
    <row r="1625">
      <c r="A1625" s="4">
        <f>IFERROR(__xludf.DUMMYFUNCTION("""COMPUTED_VALUE"""),43993.0)</f>
        <v>43993</v>
      </c>
      <c r="B1625" s="5">
        <f>IFERROR(__xludf.DUMMYFUNCTION("""COMPUTED_VALUE"""),2444.0)</f>
        <v>2444</v>
      </c>
      <c r="C1625" s="6">
        <f>IFERROR(__xludf.DUMMYFUNCTION("""COMPUTED_VALUE"""),0.5686)</f>
        <v>0.5686</v>
      </c>
      <c r="D1625" s="2">
        <f>IFERROR(__xludf.DUMMYFUNCTION("""COMPUTED_VALUE"""),0.002199074074074074)</f>
        <v>0.002199074074</v>
      </c>
      <c r="E1625" s="1">
        <f>IFERROR(__xludf.DUMMYFUNCTION("""COMPUTED_VALUE"""),1.12)</f>
        <v>1.12</v>
      </c>
      <c r="F1625" s="1">
        <f>IFERROR(__xludf.DUMMYFUNCTION("""COMPUTED_VALUE"""),3.9)</f>
        <v>3.9</v>
      </c>
      <c r="G1625" s="5">
        <f>IFERROR(__xludf.DUMMYFUNCTION("""COMPUTED_VALUE"""),10678.0)</f>
        <v>10678</v>
      </c>
      <c r="H1625" s="5">
        <f>IFERROR(__xludf.DUMMYFUNCTION("""COMPUTED_VALUE"""),2735.0)</f>
        <v>2735</v>
      </c>
    </row>
    <row r="1626">
      <c r="A1626" s="4">
        <f>IFERROR(__xludf.DUMMYFUNCTION("""COMPUTED_VALUE"""),43994.0)</f>
        <v>43994</v>
      </c>
      <c r="B1626" s="5">
        <f>IFERROR(__xludf.DUMMYFUNCTION("""COMPUTED_VALUE"""),2055.0)</f>
        <v>2055</v>
      </c>
      <c r="C1626" s="6">
        <f>IFERROR(__xludf.DUMMYFUNCTION("""COMPUTED_VALUE"""),0.4818)</f>
        <v>0.4818</v>
      </c>
      <c r="D1626" s="2">
        <f>IFERROR(__xludf.DUMMYFUNCTION("""COMPUTED_VALUE"""),0.0018055555555555555)</f>
        <v>0.001805555556</v>
      </c>
      <c r="E1626" s="1">
        <f>IFERROR(__xludf.DUMMYFUNCTION("""COMPUTED_VALUE"""),1.11)</f>
        <v>1.11</v>
      </c>
      <c r="F1626" s="1">
        <f>IFERROR(__xludf.DUMMYFUNCTION("""COMPUTED_VALUE"""),5.01)</f>
        <v>5.01</v>
      </c>
      <c r="G1626" s="5">
        <f>IFERROR(__xludf.DUMMYFUNCTION("""COMPUTED_VALUE"""),11414.0)</f>
        <v>11414</v>
      </c>
      <c r="H1626" s="5">
        <f>IFERROR(__xludf.DUMMYFUNCTION("""COMPUTED_VALUE"""),2277.0)</f>
        <v>2277</v>
      </c>
    </row>
    <row r="1627">
      <c r="A1627" s="4">
        <f>IFERROR(__xludf.DUMMYFUNCTION("""COMPUTED_VALUE"""),43995.0)</f>
        <v>43995</v>
      </c>
      <c r="B1627" s="5">
        <f>IFERROR(__xludf.DUMMYFUNCTION("""COMPUTED_VALUE"""),1514.0)</f>
        <v>1514</v>
      </c>
      <c r="C1627" s="6">
        <f>IFERROR(__xludf.DUMMYFUNCTION("""COMPUTED_VALUE"""),0.5726)</f>
        <v>0.5726</v>
      </c>
      <c r="D1627" s="2">
        <f>IFERROR(__xludf.DUMMYFUNCTION("""COMPUTED_VALUE"""),0.0010648148148148149)</f>
        <v>0.001064814815</v>
      </c>
      <c r="E1627" s="1">
        <f>IFERROR(__xludf.DUMMYFUNCTION("""COMPUTED_VALUE"""),1.14)</f>
        <v>1.14</v>
      </c>
      <c r="F1627" s="1">
        <f>IFERROR(__xludf.DUMMYFUNCTION("""COMPUTED_VALUE"""),4.1)</f>
        <v>4.1</v>
      </c>
      <c r="G1627" s="5">
        <f>IFERROR(__xludf.DUMMYFUNCTION("""COMPUTED_VALUE"""),7068.0)</f>
        <v>7068</v>
      </c>
      <c r="H1627" s="5">
        <f>IFERROR(__xludf.DUMMYFUNCTION("""COMPUTED_VALUE"""),1722.0)</f>
        <v>1722</v>
      </c>
    </row>
    <row r="1628">
      <c r="A1628" s="4">
        <f>IFERROR(__xludf.DUMMYFUNCTION("""COMPUTED_VALUE"""),43996.0)</f>
        <v>43996</v>
      </c>
      <c r="B1628" s="5">
        <f>IFERROR(__xludf.DUMMYFUNCTION("""COMPUTED_VALUE"""),1625.0)</f>
        <v>1625</v>
      </c>
      <c r="C1628" s="6">
        <f>IFERROR(__xludf.DUMMYFUNCTION("""COMPUTED_VALUE"""),0.4963)</f>
        <v>0.4963</v>
      </c>
      <c r="D1628" s="2">
        <f>IFERROR(__xludf.DUMMYFUNCTION("""COMPUTED_VALUE"""),0.001736111111111111)</f>
        <v>0.001736111111</v>
      </c>
      <c r="E1628" s="1">
        <f>IFERROR(__xludf.DUMMYFUNCTION("""COMPUTED_VALUE"""),1.08)</f>
        <v>1.08</v>
      </c>
      <c r="F1628" s="1">
        <f>IFERROR(__xludf.DUMMYFUNCTION("""COMPUTED_VALUE"""),3.28)</f>
        <v>3.28</v>
      </c>
      <c r="G1628" s="5">
        <f>IFERROR(__xludf.DUMMYFUNCTION("""COMPUTED_VALUE"""),5776.0)</f>
        <v>5776</v>
      </c>
      <c r="H1628" s="5">
        <f>IFERROR(__xludf.DUMMYFUNCTION("""COMPUTED_VALUE"""),1763.0)</f>
        <v>1763</v>
      </c>
    </row>
    <row r="1629">
      <c r="A1629" s="4">
        <f>IFERROR(__xludf.DUMMYFUNCTION("""COMPUTED_VALUE"""),43997.0)</f>
        <v>43997</v>
      </c>
      <c r="B1629" s="5">
        <f>IFERROR(__xludf.DUMMYFUNCTION("""COMPUTED_VALUE"""),2083.0)</f>
        <v>2083</v>
      </c>
      <c r="C1629" s="6">
        <f>IFERROR(__xludf.DUMMYFUNCTION("""COMPUTED_VALUE"""),0.4094)</f>
        <v>0.4094</v>
      </c>
      <c r="D1629" s="2">
        <f>IFERROR(__xludf.DUMMYFUNCTION("""COMPUTED_VALUE"""),0.0022916666666666667)</f>
        <v>0.002291666667</v>
      </c>
      <c r="E1629" s="1">
        <f>IFERROR(__xludf.DUMMYFUNCTION("""COMPUTED_VALUE"""),1.14)</f>
        <v>1.14</v>
      </c>
      <c r="F1629" s="1">
        <f>IFERROR(__xludf.DUMMYFUNCTION("""COMPUTED_VALUE"""),4.92)</f>
        <v>4.92</v>
      </c>
      <c r="G1629" s="5">
        <f>IFERROR(__xludf.DUMMYFUNCTION("""COMPUTED_VALUE"""),11678.0)</f>
        <v>11678</v>
      </c>
      <c r="H1629" s="5">
        <f>IFERROR(__xludf.DUMMYFUNCTION("""COMPUTED_VALUE"""),2374.0)</f>
        <v>2374</v>
      </c>
    </row>
    <row r="1630">
      <c r="A1630" s="4">
        <f>IFERROR(__xludf.DUMMYFUNCTION("""COMPUTED_VALUE"""),43998.0)</f>
        <v>43998</v>
      </c>
      <c r="B1630" s="5">
        <f>IFERROR(__xludf.DUMMYFUNCTION("""COMPUTED_VALUE"""),2249.0)</f>
        <v>2249</v>
      </c>
      <c r="C1630" s="6">
        <f>IFERROR(__xludf.DUMMYFUNCTION("""COMPUTED_VALUE"""),0.4286)</f>
        <v>0.4286</v>
      </c>
      <c r="D1630" s="2">
        <f>IFERROR(__xludf.DUMMYFUNCTION("""COMPUTED_VALUE"""),0.002372685185185185)</f>
        <v>0.002372685185</v>
      </c>
      <c r="E1630" s="1">
        <f>IFERROR(__xludf.DUMMYFUNCTION("""COMPUTED_VALUE"""),1.12)</f>
        <v>1.12</v>
      </c>
      <c r="F1630" s="1">
        <f>IFERROR(__xludf.DUMMYFUNCTION("""COMPUTED_VALUE"""),4.87)</f>
        <v>4.87</v>
      </c>
      <c r="G1630" s="5">
        <f>IFERROR(__xludf.DUMMYFUNCTION("""COMPUTED_VALUE"""),12302.0)</f>
        <v>12302</v>
      </c>
      <c r="H1630" s="5">
        <f>IFERROR(__xludf.DUMMYFUNCTION("""COMPUTED_VALUE"""),2527.0)</f>
        <v>2527</v>
      </c>
    </row>
    <row r="1631">
      <c r="A1631" s="4">
        <f>IFERROR(__xludf.DUMMYFUNCTION("""COMPUTED_VALUE"""),43999.0)</f>
        <v>43999</v>
      </c>
      <c r="B1631" s="5">
        <f>IFERROR(__xludf.DUMMYFUNCTION("""COMPUTED_VALUE"""),2194.0)</f>
        <v>2194</v>
      </c>
      <c r="C1631" s="6">
        <f>IFERROR(__xludf.DUMMYFUNCTION("""COMPUTED_VALUE"""),0.4012)</f>
        <v>0.4012</v>
      </c>
      <c r="D1631" s="2">
        <f>IFERROR(__xludf.DUMMYFUNCTION("""COMPUTED_VALUE"""),0.0022800925925925927)</f>
        <v>0.002280092593</v>
      </c>
      <c r="E1631" s="1">
        <f>IFERROR(__xludf.DUMMYFUNCTION("""COMPUTED_VALUE"""),1.09)</f>
        <v>1.09</v>
      </c>
      <c r="F1631" s="1">
        <f>IFERROR(__xludf.DUMMYFUNCTION("""COMPUTED_VALUE"""),4.38)</f>
        <v>4.38</v>
      </c>
      <c r="G1631" s="5">
        <f>IFERROR(__xludf.DUMMYFUNCTION("""COMPUTED_VALUE"""),10456.0)</f>
        <v>10456</v>
      </c>
      <c r="H1631" s="5">
        <f>IFERROR(__xludf.DUMMYFUNCTION("""COMPUTED_VALUE"""),2388.0)</f>
        <v>2388</v>
      </c>
    </row>
    <row r="1632">
      <c r="A1632" s="4">
        <f>IFERROR(__xludf.DUMMYFUNCTION("""COMPUTED_VALUE"""),44000.0)</f>
        <v>44000</v>
      </c>
      <c r="B1632" s="5">
        <f>IFERROR(__xludf.DUMMYFUNCTION("""COMPUTED_VALUE"""),2055.0)</f>
        <v>2055</v>
      </c>
      <c r="C1632" s="6">
        <f>IFERROR(__xludf.DUMMYFUNCTION("""COMPUTED_VALUE"""),0.4135)</f>
        <v>0.4135</v>
      </c>
      <c r="D1632" s="2">
        <f>IFERROR(__xludf.DUMMYFUNCTION("""COMPUTED_VALUE"""),0.0026967592592592594)</f>
        <v>0.002696759259</v>
      </c>
      <c r="E1632" s="1">
        <f>IFERROR(__xludf.DUMMYFUNCTION("""COMPUTED_VALUE"""),1.09)</f>
        <v>1.09</v>
      </c>
      <c r="F1632" s="1">
        <f>IFERROR(__xludf.DUMMYFUNCTION("""COMPUTED_VALUE"""),6.35)</f>
        <v>6.35</v>
      </c>
      <c r="G1632" s="5">
        <f>IFERROR(__xludf.DUMMYFUNCTION("""COMPUTED_VALUE"""),14274.0)</f>
        <v>14274</v>
      </c>
      <c r="H1632" s="5">
        <f>IFERROR(__xludf.DUMMYFUNCTION("""COMPUTED_VALUE"""),2249.0)</f>
        <v>2249</v>
      </c>
    </row>
    <row r="1633">
      <c r="A1633" s="4">
        <f>IFERROR(__xludf.DUMMYFUNCTION("""COMPUTED_VALUE"""),44001.0)</f>
        <v>44001</v>
      </c>
      <c r="B1633" s="5">
        <f>IFERROR(__xludf.DUMMYFUNCTION("""COMPUTED_VALUE"""),1791.0)</f>
        <v>1791</v>
      </c>
      <c r="C1633" s="6">
        <f>IFERROR(__xludf.DUMMYFUNCTION("""COMPUTED_VALUE"""),0.4254)</f>
        <v>0.4254</v>
      </c>
      <c r="D1633" s="2">
        <f>IFERROR(__xludf.DUMMYFUNCTION("""COMPUTED_VALUE"""),0.002210648148148148)</f>
        <v>0.002210648148</v>
      </c>
      <c r="E1633" s="1">
        <f>IFERROR(__xludf.DUMMYFUNCTION("""COMPUTED_VALUE"""),1.09)</f>
        <v>1.09</v>
      </c>
      <c r="F1633" s="1">
        <f>IFERROR(__xludf.DUMMYFUNCTION("""COMPUTED_VALUE"""),6.5)</f>
        <v>6.5</v>
      </c>
      <c r="G1633" s="5">
        <f>IFERROR(__xludf.DUMMYFUNCTION("""COMPUTED_VALUE"""),12733.0)</f>
        <v>12733</v>
      </c>
      <c r="H1633" s="5">
        <f>IFERROR(__xludf.DUMMYFUNCTION("""COMPUTED_VALUE"""),1958.0)</f>
        <v>1958</v>
      </c>
    </row>
    <row r="1634">
      <c r="A1634" s="4">
        <f>IFERROR(__xludf.DUMMYFUNCTION("""COMPUTED_VALUE"""),44002.0)</f>
        <v>44002</v>
      </c>
      <c r="B1634" s="5">
        <f>IFERROR(__xludf.DUMMYFUNCTION("""COMPUTED_VALUE"""),1347.0)</f>
        <v>1347</v>
      </c>
      <c r="C1634" s="6">
        <f>IFERROR(__xludf.DUMMYFUNCTION("""COMPUTED_VALUE"""),0.4738)</f>
        <v>0.4738</v>
      </c>
      <c r="D1634" s="2">
        <f>IFERROR(__xludf.DUMMYFUNCTION("""COMPUTED_VALUE"""),0.0028703703703703703)</f>
        <v>0.00287037037</v>
      </c>
      <c r="E1634" s="1">
        <f>IFERROR(__xludf.DUMMYFUNCTION("""COMPUTED_VALUE"""),1.18)</f>
        <v>1.18</v>
      </c>
      <c r="F1634" s="1">
        <f>IFERROR(__xludf.DUMMYFUNCTION("""COMPUTED_VALUE"""),4.1)</f>
        <v>4.1</v>
      </c>
      <c r="G1634" s="5">
        <f>IFERROR(__xludf.DUMMYFUNCTION("""COMPUTED_VALUE"""),6498.0)</f>
        <v>6498</v>
      </c>
      <c r="H1634" s="5">
        <f>IFERROR(__xludf.DUMMYFUNCTION("""COMPUTED_VALUE"""),1583.0)</f>
        <v>1583</v>
      </c>
    </row>
    <row r="1635">
      <c r="A1635" s="4">
        <f>IFERROR(__xludf.DUMMYFUNCTION("""COMPUTED_VALUE"""),44003.0)</f>
        <v>44003</v>
      </c>
      <c r="B1635" s="5">
        <f>IFERROR(__xludf.DUMMYFUNCTION("""COMPUTED_VALUE"""),1402.0)</f>
        <v>1402</v>
      </c>
      <c r="C1635" s="6">
        <f>IFERROR(__xludf.DUMMYFUNCTION("""COMPUTED_VALUE"""),0.4569)</f>
        <v>0.4569</v>
      </c>
      <c r="D1635" s="2">
        <f>IFERROR(__xludf.DUMMYFUNCTION("""COMPUTED_VALUE"""),0.0014351851851851852)</f>
        <v>0.001435185185</v>
      </c>
      <c r="E1635" s="1">
        <f>IFERROR(__xludf.DUMMYFUNCTION("""COMPUTED_VALUE"""),1.15)</f>
        <v>1.15</v>
      </c>
      <c r="F1635" s="1">
        <f>IFERROR(__xludf.DUMMYFUNCTION("""COMPUTED_VALUE"""),4.71)</f>
        <v>4.71</v>
      </c>
      <c r="G1635" s="5">
        <f>IFERROR(__xludf.DUMMYFUNCTION("""COMPUTED_VALUE"""),7595.0)</f>
        <v>7595</v>
      </c>
      <c r="H1635" s="5">
        <f>IFERROR(__xludf.DUMMYFUNCTION("""COMPUTED_VALUE"""),1611.0)</f>
        <v>1611</v>
      </c>
    </row>
    <row r="1636">
      <c r="A1636" s="4">
        <f>IFERROR(__xludf.DUMMYFUNCTION("""COMPUTED_VALUE"""),44004.0)</f>
        <v>44004</v>
      </c>
      <c r="B1636" s="5">
        <f>IFERROR(__xludf.DUMMYFUNCTION("""COMPUTED_VALUE"""),2166.0)</f>
        <v>2166</v>
      </c>
      <c r="C1636" s="6">
        <f>IFERROR(__xludf.DUMMYFUNCTION("""COMPUTED_VALUE"""),0.4421)</f>
        <v>0.4421</v>
      </c>
      <c r="D1636" s="2">
        <f>IFERROR(__xludf.DUMMYFUNCTION("""COMPUTED_VALUE"""),0.003715277777777778)</f>
        <v>0.003715277778</v>
      </c>
      <c r="E1636" s="1">
        <f>IFERROR(__xludf.DUMMYFUNCTION("""COMPUTED_VALUE"""),1.16)</f>
        <v>1.16</v>
      </c>
      <c r="F1636" s="1">
        <f>IFERROR(__xludf.DUMMYFUNCTION("""COMPUTED_VALUE"""),6.46)</f>
        <v>6.46</v>
      </c>
      <c r="G1636" s="5">
        <f>IFERROR(__xludf.DUMMYFUNCTION("""COMPUTED_VALUE"""),16246.0)</f>
        <v>16246</v>
      </c>
      <c r="H1636" s="5">
        <f>IFERROR(__xludf.DUMMYFUNCTION("""COMPUTED_VALUE"""),2513.0)</f>
        <v>2513</v>
      </c>
    </row>
    <row r="1637">
      <c r="A1637" s="4">
        <f>IFERROR(__xludf.DUMMYFUNCTION("""COMPUTED_VALUE"""),44005.0)</f>
        <v>44005</v>
      </c>
      <c r="B1637" s="5">
        <f>IFERROR(__xludf.DUMMYFUNCTION("""COMPUTED_VALUE"""),2041.0)</f>
        <v>2041</v>
      </c>
      <c r="C1637" s="6">
        <f>IFERROR(__xludf.DUMMYFUNCTION("""COMPUTED_VALUE"""),0.4822)</f>
        <v>0.4822</v>
      </c>
      <c r="D1637" s="2">
        <f>IFERROR(__xludf.DUMMYFUNCTION("""COMPUTED_VALUE"""),0.001979166666666667)</f>
        <v>0.001979166667</v>
      </c>
      <c r="E1637" s="1">
        <f>IFERROR(__xludf.DUMMYFUNCTION("""COMPUTED_VALUE"""),1.14)</f>
        <v>1.14</v>
      </c>
      <c r="F1637" s="1">
        <f>IFERROR(__xludf.DUMMYFUNCTION("""COMPUTED_VALUE"""),4.98)</f>
        <v>4.98</v>
      </c>
      <c r="G1637" s="5">
        <f>IFERROR(__xludf.DUMMYFUNCTION("""COMPUTED_VALUE"""),11608.0)</f>
        <v>11608</v>
      </c>
      <c r="H1637" s="5">
        <f>IFERROR(__xludf.DUMMYFUNCTION("""COMPUTED_VALUE"""),2333.0)</f>
        <v>2333</v>
      </c>
    </row>
    <row r="1638">
      <c r="A1638" s="4">
        <f>IFERROR(__xludf.DUMMYFUNCTION("""COMPUTED_VALUE"""),44006.0)</f>
        <v>44006</v>
      </c>
      <c r="B1638" s="5">
        <f>IFERROR(__xludf.DUMMYFUNCTION("""COMPUTED_VALUE"""),1888.0)</f>
        <v>1888</v>
      </c>
      <c r="C1638" s="6">
        <f>IFERROR(__xludf.DUMMYFUNCTION("""COMPUTED_VALUE"""),0.4879)</f>
        <v>0.4879</v>
      </c>
      <c r="D1638" s="2">
        <f>IFERROR(__xludf.DUMMYFUNCTION("""COMPUTED_VALUE"""),0.0020833333333333333)</f>
        <v>0.002083333333</v>
      </c>
      <c r="E1638" s="1">
        <f>IFERROR(__xludf.DUMMYFUNCTION("""COMPUTED_VALUE"""),1.21)</f>
        <v>1.21</v>
      </c>
      <c r="F1638" s="1">
        <f>IFERROR(__xludf.DUMMYFUNCTION("""COMPUTED_VALUE"""),4.48)</f>
        <v>4.48</v>
      </c>
      <c r="G1638" s="5">
        <f>IFERROR(__xludf.DUMMYFUNCTION("""COMPUTED_VALUE"""),10192.0)</f>
        <v>10192</v>
      </c>
      <c r="H1638" s="5">
        <f>IFERROR(__xludf.DUMMYFUNCTION("""COMPUTED_VALUE"""),2277.0)</f>
        <v>2277</v>
      </c>
    </row>
    <row r="1639">
      <c r="A1639" s="4">
        <f>IFERROR(__xludf.DUMMYFUNCTION("""COMPUTED_VALUE"""),44007.0)</f>
        <v>44007</v>
      </c>
      <c r="B1639" s="5">
        <f>IFERROR(__xludf.DUMMYFUNCTION("""COMPUTED_VALUE"""),2763.0)</f>
        <v>2763</v>
      </c>
      <c r="C1639" s="6">
        <f>IFERROR(__xludf.DUMMYFUNCTION("""COMPUTED_VALUE"""),0.4149)</f>
        <v>0.4149</v>
      </c>
      <c r="D1639" s="2">
        <f>IFERROR(__xludf.DUMMYFUNCTION("""COMPUTED_VALUE"""),0.0024537037037037036)</f>
        <v>0.002453703704</v>
      </c>
      <c r="E1639" s="1">
        <f>IFERROR(__xludf.DUMMYFUNCTION("""COMPUTED_VALUE"""),1.09)</f>
        <v>1.09</v>
      </c>
      <c r="F1639" s="1">
        <f>IFERROR(__xludf.DUMMYFUNCTION("""COMPUTED_VALUE"""),5.51)</f>
        <v>5.51</v>
      </c>
      <c r="G1639" s="5">
        <f>IFERROR(__xludf.DUMMYFUNCTION("""COMPUTED_VALUE"""),16593.0)</f>
        <v>16593</v>
      </c>
      <c r="H1639" s="5">
        <f>IFERROR(__xludf.DUMMYFUNCTION("""COMPUTED_VALUE"""),3013.0)</f>
        <v>3013</v>
      </c>
    </row>
    <row r="1640">
      <c r="A1640" s="4">
        <f>IFERROR(__xludf.DUMMYFUNCTION("""COMPUTED_VALUE"""),44008.0)</f>
        <v>44008</v>
      </c>
      <c r="B1640" s="5">
        <f>IFERROR(__xludf.DUMMYFUNCTION("""COMPUTED_VALUE"""),2069.0)</f>
        <v>2069</v>
      </c>
      <c r="C1640" s="6">
        <f>IFERROR(__xludf.DUMMYFUNCTION("""COMPUTED_VALUE"""),0.5147)</f>
        <v>0.5147</v>
      </c>
      <c r="D1640" s="2">
        <f>IFERROR(__xludf.DUMMYFUNCTION("""COMPUTED_VALUE"""),0.0016087962962962963)</f>
        <v>0.001608796296</v>
      </c>
      <c r="E1640" s="1">
        <f>IFERROR(__xludf.DUMMYFUNCTION("""COMPUTED_VALUE"""),1.13)</f>
        <v>1.13</v>
      </c>
      <c r="F1640" s="1">
        <f>IFERROR(__xludf.DUMMYFUNCTION("""COMPUTED_VALUE"""),4.19)</f>
        <v>4.19</v>
      </c>
      <c r="G1640" s="5">
        <f>IFERROR(__xludf.DUMMYFUNCTION("""COMPUTED_VALUE"""),9831.0)</f>
        <v>9831</v>
      </c>
      <c r="H1640" s="5">
        <f>IFERROR(__xludf.DUMMYFUNCTION("""COMPUTED_VALUE"""),2347.0)</f>
        <v>2347</v>
      </c>
    </row>
    <row r="1641">
      <c r="A1641" s="4">
        <f>IFERROR(__xludf.DUMMYFUNCTION("""COMPUTED_VALUE"""),44009.0)</f>
        <v>44009</v>
      </c>
      <c r="B1641" s="5">
        <f>IFERROR(__xludf.DUMMYFUNCTION("""COMPUTED_VALUE"""),1430.0)</f>
        <v>1430</v>
      </c>
      <c r="C1641" s="6">
        <f>IFERROR(__xludf.DUMMYFUNCTION("""COMPUTED_VALUE"""),0.5174)</f>
        <v>0.5174</v>
      </c>
      <c r="D1641" s="2">
        <f>IFERROR(__xludf.DUMMYFUNCTION("""COMPUTED_VALUE"""),0.0032291666666666666)</f>
        <v>0.003229166667</v>
      </c>
      <c r="E1641" s="1">
        <f>IFERROR(__xludf.DUMMYFUNCTION("""COMPUTED_VALUE"""),1.11)</f>
        <v>1.11</v>
      </c>
      <c r="F1641" s="1">
        <f>IFERROR(__xludf.DUMMYFUNCTION("""COMPUTED_VALUE"""),5.72)</f>
        <v>5.72</v>
      </c>
      <c r="G1641" s="5">
        <f>IFERROR(__xludf.DUMMYFUNCTION("""COMPUTED_VALUE"""),9053.0)</f>
        <v>9053</v>
      </c>
      <c r="H1641" s="5">
        <f>IFERROR(__xludf.DUMMYFUNCTION("""COMPUTED_VALUE"""),1583.0)</f>
        <v>1583</v>
      </c>
    </row>
    <row r="1642">
      <c r="A1642" s="4">
        <f>IFERROR(__xludf.DUMMYFUNCTION("""COMPUTED_VALUE"""),44010.0)</f>
        <v>44010</v>
      </c>
      <c r="B1642" s="5">
        <f>IFERROR(__xludf.DUMMYFUNCTION("""COMPUTED_VALUE"""),1375.0)</f>
        <v>1375</v>
      </c>
      <c r="C1642" s="6">
        <f>IFERROR(__xludf.DUMMYFUNCTION("""COMPUTED_VALUE"""),0.4776)</f>
        <v>0.4776</v>
      </c>
      <c r="D1642" s="2">
        <f>IFERROR(__xludf.DUMMYFUNCTION("""COMPUTED_VALUE"""),0.0018055555555555555)</f>
        <v>0.001805555556</v>
      </c>
      <c r="E1642" s="1">
        <f>IFERROR(__xludf.DUMMYFUNCTION("""COMPUTED_VALUE"""),1.12)</f>
        <v>1.12</v>
      </c>
      <c r="F1642" s="1">
        <f>IFERROR(__xludf.DUMMYFUNCTION("""COMPUTED_VALUE"""),5.78)</f>
        <v>5.78</v>
      </c>
      <c r="G1642" s="5">
        <f>IFERROR(__xludf.DUMMYFUNCTION("""COMPUTED_VALUE"""),8914.0)</f>
        <v>8914</v>
      </c>
      <c r="H1642" s="5">
        <f>IFERROR(__xludf.DUMMYFUNCTION("""COMPUTED_VALUE"""),1541.0)</f>
        <v>1541</v>
      </c>
    </row>
    <row r="1643">
      <c r="A1643" s="4">
        <f>IFERROR(__xludf.DUMMYFUNCTION("""COMPUTED_VALUE"""),44011.0)</f>
        <v>44011</v>
      </c>
      <c r="B1643" s="5">
        <f>IFERROR(__xludf.DUMMYFUNCTION("""COMPUTED_VALUE"""),2194.0)</f>
        <v>2194</v>
      </c>
      <c r="C1643" s="6">
        <f>IFERROR(__xludf.DUMMYFUNCTION("""COMPUTED_VALUE"""),0.4741)</f>
        <v>0.4741</v>
      </c>
      <c r="D1643" s="2">
        <f>IFERROR(__xludf.DUMMYFUNCTION("""COMPUTED_VALUE"""),0.0017939814814814815)</f>
        <v>0.001793981481</v>
      </c>
      <c r="E1643" s="1">
        <f>IFERROR(__xludf.DUMMYFUNCTION("""COMPUTED_VALUE"""),1.11)</f>
        <v>1.11</v>
      </c>
      <c r="F1643" s="1">
        <f>IFERROR(__xludf.DUMMYFUNCTION("""COMPUTED_VALUE"""),4.35)</f>
        <v>4.35</v>
      </c>
      <c r="G1643" s="5">
        <f>IFERROR(__xludf.DUMMYFUNCTION("""COMPUTED_VALUE"""),10581.0)</f>
        <v>10581</v>
      </c>
      <c r="H1643" s="5">
        <f>IFERROR(__xludf.DUMMYFUNCTION("""COMPUTED_VALUE"""),2430.0)</f>
        <v>2430</v>
      </c>
    </row>
    <row r="1644">
      <c r="A1644" s="4">
        <f>IFERROR(__xludf.DUMMYFUNCTION("""COMPUTED_VALUE"""),44012.0)</f>
        <v>44012</v>
      </c>
      <c r="B1644" s="5">
        <f>IFERROR(__xludf.DUMMYFUNCTION("""COMPUTED_VALUE"""),1875.0)</f>
        <v>1875</v>
      </c>
      <c r="C1644" s="6">
        <f>IFERROR(__xludf.DUMMYFUNCTION("""COMPUTED_VALUE"""),0.4222)</f>
        <v>0.4222</v>
      </c>
      <c r="D1644" s="2">
        <f>IFERROR(__xludf.DUMMYFUNCTION("""COMPUTED_VALUE"""),0.0022222222222222222)</f>
        <v>0.002222222222</v>
      </c>
      <c r="E1644" s="1">
        <f>IFERROR(__xludf.DUMMYFUNCTION("""COMPUTED_VALUE"""),1.19)</f>
        <v>1.19</v>
      </c>
      <c r="F1644" s="1">
        <f>IFERROR(__xludf.DUMMYFUNCTION("""COMPUTED_VALUE"""),4.07)</f>
        <v>4.07</v>
      </c>
      <c r="G1644" s="5">
        <f>IFERROR(__xludf.DUMMYFUNCTION("""COMPUTED_VALUE"""),9109.0)</f>
        <v>9109</v>
      </c>
      <c r="H1644" s="5">
        <f>IFERROR(__xludf.DUMMYFUNCTION("""COMPUTED_VALUE"""),2236.0)</f>
        <v>2236</v>
      </c>
    </row>
    <row r="1645">
      <c r="A1645" s="4">
        <f>IFERROR(__xludf.DUMMYFUNCTION("""COMPUTED_VALUE"""),44013.0)</f>
        <v>44013</v>
      </c>
      <c r="B1645" s="5">
        <f>IFERROR(__xludf.DUMMYFUNCTION("""COMPUTED_VALUE"""),1805.0)</f>
        <v>1805</v>
      </c>
      <c r="C1645" s="6">
        <f>IFERROR(__xludf.DUMMYFUNCTION("""COMPUTED_VALUE"""),0.4297)</f>
        <v>0.4297</v>
      </c>
      <c r="D1645" s="2">
        <f>IFERROR(__xludf.DUMMYFUNCTION("""COMPUTED_VALUE"""),0.0019097222222222222)</f>
        <v>0.001909722222</v>
      </c>
      <c r="E1645" s="1">
        <f>IFERROR(__xludf.DUMMYFUNCTION("""COMPUTED_VALUE"""),1.15)</f>
        <v>1.15</v>
      </c>
      <c r="F1645" s="1">
        <f>IFERROR(__xludf.DUMMYFUNCTION("""COMPUTED_VALUE"""),4.96)</f>
        <v>4.96</v>
      </c>
      <c r="G1645" s="5">
        <f>IFERROR(__xludf.DUMMYFUNCTION("""COMPUTED_VALUE"""),10261.0)</f>
        <v>10261</v>
      </c>
      <c r="H1645" s="5">
        <f>IFERROR(__xludf.DUMMYFUNCTION("""COMPUTED_VALUE"""),2069.0)</f>
        <v>2069</v>
      </c>
    </row>
    <row r="1646">
      <c r="A1646" s="4">
        <f>IFERROR(__xludf.DUMMYFUNCTION("""COMPUTED_VALUE"""),44014.0)</f>
        <v>44014</v>
      </c>
      <c r="B1646" s="5">
        <f>IFERROR(__xludf.DUMMYFUNCTION("""COMPUTED_VALUE"""),1736.0)</f>
        <v>1736</v>
      </c>
      <c r="C1646" s="6">
        <f>IFERROR(__xludf.DUMMYFUNCTION("""COMPUTED_VALUE"""),0.4885)</f>
        <v>0.4885</v>
      </c>
      <c r="D1646" s="2">
        <f>IFERROR(__xludf.DUMMYFUNCTION("""COMPUTED_VALUE"""),0.0011921296296296296)</f>
        <v>0.00119212963</v>
      </c>
      <c r="E1646" s="1">
        <f>IFERROR(__xludf.DUMMYFUNCTION("""COMPUTED_VALUE"""),1.08)</f>
        <v>1.08</v>
      </c>
      <c r="F1646" s="1">
        <f>IFERROR(__xludf.DUMMYFUNCTION("""COMPUTED_VALUE"""),5.43)</f>
        <v>5.43</v>
      </c>
      <c r="G1646" s="5">
        <f>IFERROR(__xludf.DUMMYFUNCTION("""COMPUTED_VALUE"""),10178.0)</f>
        <v>10178</v>
      </c>
      <c r="H1646" s="5">
        <f>IFERROR(__xludf.DUMMYFUNCTION("""COMPUTED_VALUE"""),1875.0)</f>
        <v>1875</v>
      </c>
    </row>
    <row r="1647">
      <c r="A1647" s="4">
        <f>IFERROR(__xludf.DUMMYFUNCTION("""COMPUTED_VALUE"""),44015.0)</f>
        <v>44015</v>
      </c>
      <c r="B1647" s="5">
        <f>IFERROR(__xludf.DUMMYFUNCTION("""COMPUTED_VALUE"""),1486.0)</f>
        <v>1486</v>
      </c>
      <c r="C1647" s="6">
        <f>IFERROR(__xludf.DUMMYFUNCTION("""COMPUTED_VALUE"""),0.5331)</f>
        <v>0.5331</v>
      </c>
      <c r="D1647" s="2">
        <f>IFERROR(__xludf.DUMMYFUNCTION("""COMPUTED_VALUE"""),0.0021643518518518518)</f>
        <v>0.002164351852</v>
      </c>
      <c r="E1647" s="1">
        <f>IFERROR(__xludf.DUMMYFUNCTION("""COMPUTED_VALUE"""),1.14)</f>
        <v>1.14</v>
      </c>
      <c r="F1647" s="1">
        <f>IFERROR(__xludf.DUMMYFUNCTION("""COMPUTED_VALUE"""),4.37)</f>
        <v>4.37</v>
      </c>
      <c r="G1647" s="5">
        <f>IFERROR(__xludf.DUMMYFUNCTION("""COMPUTED_VALUE"""),7401.0)</f>
        <v>7401</v>
      </c>
      <c r="H1647" s="5">
        <f>IFERROR(__xludf.DUMMYFUNCTION("""COMPUTED_VALUE"""),1694.0)</f>
        <v>1694</v>
      </c>
    </row>
    <row r="1648">
      <c r="A1648" s="4">
        <f>IFERROR(__xludf.DUMMYFUNCTION("""COMPUTED_VALUE"""),44016.0)</f>
        <v>44016</v>
      </c>
      <c r="B1648" s="5">
        <f>IFERROR(__xludf.DUMMYFUNCTION("""COMPUTED_VALUE"""),1236.0)</f>
        <v>1236</v>
      </c>
      <c r="C1648" s="6">
        <f>IFERROR(__xludf.DUMMYFUNCTION("""COMPUTED_VALUE"""),0.5099)</f>
        <v>0.5099</v>
      </c>
      <c r="D1648" s="2">
        <f>IFERROR(__xludf.DUMMYFUNCTION("""COMPUTED_VALUE"""),0.0013773148148148147)</f>
        <v>0.001377314815</v>
      </c>
      <c r="E1648" s="1">
        <f>IFERROR(__xludf.DUMMYFUNCTION("""COMPUTED_VALUE"""),1.1)</f>
        <v>1.1</v>
      </c>
      <c r="F1648" s="1">
        <f>IFERROR(__xludf.DUMMYFUNCTION("""COMPUTED_VALUE"""),3.33)</f>
        <v>3.33</v>
      </c>
      <c r="G1648" s="5">
        <f>IFERROR(__xludf.DUMMYFUNCTION("""COMPUTED_VALUE"""),4527.0)</f>
        <v>4527</v>
      </c>
      <c r="H1648" s="5">
        <f>IFERROR(__xludf.DUMMYFUNCTION("""COMPUTED_VALUE"""),1361.0)</f>
        <v>1361</v>
      </c>
    </row>
    <row r="1649">
      <c r="A1649" s="4">
        <f>IFERROR(__xludf.DUMMYFUNCTION("""COMPUTED_VALUE"""),44017.0)</f>
        <v>44017</v>
      </c>
      <c r="B1649" s="5">
        <f>IFERROR(__xludf.DUMMYFUNCTION("""COMPUTED_VALUE"""),1402.0)</f>
        <v>1402</v>
      </c>
      <c r="C1649" s="6">
        <f>IFERROR(__xludf.DUMMYFUNCTION("""COMPUTED_VALUE"""),0.5406)</f>
        <v>0.5406</v>
      </c>
      <c r="D1649" s="2">
        <f>IFERROR(__xludf.DUMMYFUNCTION("""COMPUTED_VALUE"""),0.0016666666666666668)</f>
        <v>0.001666666667</v>
      </c>
      <c r="E1649" s="1">
        <f>IFERROR(__xludf.DUMMYFUNCTION("""COMPUTED_VALUE"""),1.1)</f>
        <v>1.1</v>
      </c>
      <c r="F1649" s="1">
        <f>IFERROR(__xludf.DUMMYFUNCTION("""COMPUTED_VALUE"""),4.01)</f>
        <v>4.01</v>
      </c>
      <c r="G1649" s="5">
        <f>IFERROR(__xludf.DUMMYFUNCTION("""COMPUTED_VALUE"""),6179.0)</f>
        <v>6179</v>
      </c>
      <c r="H1649" s="5">
        <f>IFERROR(__xludf.DUMMYFUNCTION("""COMPUTED_VALUE"""),1541.0)</f>
        <v>1541</v>
      </c>
    </row>
    <row r="1650">
      <c r="A1650" s="4">
        <f>IFERROR(__xludf.DUMMYFUNCTION("""COMPUTED_VALUE"""),44018.0)</f>
        <v>44018</v>
      </c>
      <c r="B1650" s="5">
        <f>IFERROR(__xludf.DUMMYFUNCTION("""COMPUTED_VALUE"""),2860.0)</f>
        <v>2860</v>
      </c>
      <c r="C1650" s="6">
        <f>IFERROR(__xludf.DUMMYFUNCTION("""COMPUTED_VALUE"""),0.4433)</f>
        <v>0.4433</v>
      </c>
      <c r="D1650" s="2">
        <f>IFERROR(__xludf.DUMMYFUNCTION("""COMPUTED_VALUE"""),0.0018171296296296297)</f>
        <v>0.00181712963</v>
      </c>
      <c r="E1650" s="1">
        <f>IFERROR(__xludf.DUMMYFUNCTION("""COMPUTED_VALUE"""),1.12)</f>
        <v>1.12</v>
      </c>
      <c r="F1650" s="1">
        <f>IFERROR(__xludf.DUMMYFUNCTION("""COMPUTED_VALUE"""),4.38)</f>
        <v>4.38</v>
      </c>
      <c r="G1650" s="5">
        <f>IFERROR(__xludf.DUMMYFUNCTION("""COMPUTED_VALUE"""),13983.0)</f>
        <v>13983</v>
      </c>
      <c r="H1650" s="5">
        <f>IFERROR(__xludf.DUMMYFUNCTION("""COMPUTED_VALUE"""),3194.0)</f>
        <v>3194</v>
      </c>
    </row>
    <row r="1651">
      <c r="A1651" s="4">
        <f>IFERROR(__xludf.DUMMYFUNCTION("""COMPUTED_VALUE"""),44019.0)</f>
        <v>44019</v>
      </c>
      <c r="B1651" s="5">
        <f>IFERROR(__xludf.DUMMYFUNCTION("""COMPUTED_VALUE"""),3180.0)</f>
        <v>3180</v>
      </c>
      <c r="C1651" s="6">
        <f>IFERROR(__xludf.DUMMYFUNCTION("""COMPUTED_VALUE"""),0.4637)</f>
        <v>0.4637</v>
      </c>
      <c r="D1651" s="2">
        <f>IFERROR(__xludf.DUMMYFUNCTION("""COMPUTED_VALUE"""),0.002395833333333333)</f>
        <v>0.002395833333</v>
      </c>
      <c r="E1651" s="1">
        <f>IFERROR(__xludf.DUMMYFUNCTION("""COMPUTED_VALUE"""),1.08)</f>
        <v>1.08</v>
      </c>
      <c r="F1651" s="1">
        <f>IFERROR(__xludf.DUMMYFUNCTION("""COMPUTED_VALUE"""),4.89)</f>
        <v>4.89</v>
      </c>
      <c r="G1651" s="5">
        <f>IFERROR(__xludf.DUMMYFUNCTION("""COMPUTED_VALUE"""),16829.0)</f>
        <v>16829</v>
      </c>
      <c r="H1651" s="5">
        <f>IFERROR(__xludf.DUMMYFUNCTION("""COMPUTED_VALUE"""),3444.0)</f>
        <v>3444</v>
      </c>
    </row>
    <row r="1652">
      <c r="A1652" s="4">
        <f>IFERROR(__xludf.DUMMYFUNCTION("""COMPUTED_VALUE"""),44020.0)</f>
        <v>44020</v>
      </c>
      <c r="B1652" s="5">
        <f>IFERROR(__xludf.DUMMYFUNCTION("""COMPUTED_VALUE"""),2888.0)</f>
        <v>2888</v>
      </c>
      <c r="C1652" s="6">
        <f>IFERROR(__xludf.DUMMYFUNCTION("""COMPUTED_VALUE"""),0.3921)</f>
        <v>0.3921</v>
      </c>
      <c r="D1652" s="2">
        <f>IFERROR(__xludf.DUMMYFUNCTION("""COMPUTED_VALUE"""),0.002002314814814815)</f>
        <v>0.002002314815</v>
      </c>
      <c r="E1652" s="1">
        <f>IFERROR(__xludf.DUMMYFUNCTION("""COMPUTED_VALUE"""),1.09)</f>
        <v>1.09</v>
      </c>
      <c r="F1652" s="1">
        <f>IFERROR(__xludf.DUMMYFUNCTION("""COMPUTED_VALUE"""),5.51)</f>
        <v>5.51</v>
      </c>
      <c r="G1652" s="5">
        <f>IFERROR(__xludf.DUMMYFUNCTION("""COMPUTED_VALUE"""),17357.0)</f>
        <v>17357</v>
      </c>
      <c r="H1652" s="5">
        <f>IFERROR(__xludf.DUMMYFUNCTION("""COMPUTED_VALUE"""),3152.0)</f>
        <v>3152</v>
      </c>
    </row>
    <row r="1653">
      <c r="A1653" s="4">
        <f>IFERROR(__xludf.DUMMYFUNCTION("""COMPUTED_VALUE"""),44021.0)</f>
        <v>44021</v>
      </c>
      <c r="B1653" s="5">
        <f>IFERROR(__xludf.DUMMYFUNCTION("""COMPUTED_VALUE"""),2916.0)</f>
        <v>2916</v>
      </c>
      <c r="C1653" s="6">
        <f>IFERROR(__xludf.DUMMYFUNCTION("""COMPUTED_VALUE"""),0.446)</f>
        <v>0.446</v>
      </c>
      <c r="D1653" s="2">
        <f>IFERROR(__xludf.DUMMYFUNCTION("""COMPUTED_VALUE"""),0.0022916666666666667)</f>
        <v>0.002291666667</v>
      </c>
      <c r="E1653" s="1">
        <f>IFERROR(__xludf.DUMMYFUNCTION("""COMPUTED_VALUE"""),1.06)</f>
        <v>1.06</v>
      </c>
      <c r="F1653" s="1">
        <f>IFERROR(__xludf.DUMMYFUNCTION("""COMPUTED_VALUE"""),4.43)</f>
        <v>4.43</v>
      </c>
      <c r="G1653" s="5">
        <f>IFERROR(__xludf.DUMMYFUNCTION("""COMPUTED_VALUE"""),13649.0)</f>
        <v>13649</v>
      </c>
      <c r="H1653" s="5">
        <f>IFERROR(__xludf.DUMMYFUNCTION("""COMPUTED_VALUE"""),3083.0)</f>
        <v>3083</v>
      </c>
    </row>
    <row r="1654">
      <c r="A1654" s="4">
        <f>IFERROR(__xludf.DUMMYFUNCTION("""COMPUTED_VALUE"""),44022.0)</f>
        <v>44022</v>
      </c>
      <c r="B1654" s="5">
        <f>IFERROR(__xludf.DUMMYFUNCTION("""COMPUTED_VALUE"""),2430.0)</f>
        <v>2430</v>
      </c>
      <c r="C1654" s="6">
        <f>IFERROR(__xludf.DUMMYFUNCTION("""COMPUTED_VALUE"""),0.43)</f>
        <v>0.43</v>
      </c>
      <c r="D1654" s="2">
        <f>IFERROR(__xludf.DUMMYFUNCTION("""COMPUTED_VALUE"""),0.0018981481481481482)</f>
        <v>0.001898148148</v>
      </c>
      <c r="E1654" s="1">
        <f>IFERROR(__xludf.DUMMYFUNCTION("""COMPUTED_VALUE"""),1.14)</f>
        <v>1.14</v>
      </c>
      <c r="F1654" s="1">
        <f>IFERROR(__xludf.DUMMYFUNCTION("""COMPUTED_VALUE"""),4.25)</f>
        <v>4.25</v>
      </c>
      <c r="G1654" s="5">
        <f>IFERROR(__xludf.DUMMYFUNCTION("""COMPUTED_VALUE"""),11803.0)</f>
        <v>11803</v>
      </c>
      <c r="H1654" s="5">
        <f>IFERROR(__xludf.DUMMYFUNCTION("""COMPUTED_VALUE"""),2777.0)</f>
        <v>2777</v>
      </c>
    </row>
    <row r="1655">
      <c r="A1655" s="4">
        <f>IFERROR(__xludf.DUMMYFUNCTION("""COMPUTED_VALUE"""),44023.0)</f>
        <v>44023</v>
      </c>
      <c r="B1655" s="5">
        <f>IFERROR(__xludf.DUMMYFUNCTION("""COMPUTED_VALUE"""),1486.0)</f>
        <v>1486</v>
      </c>
      <c r="C1655" s="6">
        <f>IFERROR(__xludf.DUMMYFUNCTION("""COMPUTED_VALUE"""),0.4869)</f>
        <v>0.4869</v>
      </c>
      <c r="D1655" s="2">
        <f>IFERROR(__xludf.DUMMYFUNCTION("""COMPUTED_VALUE"""),0.0015162037037037036)</f>
        <v>0.001516203704</v>
      </c>
      <c r="E1655" s="1">
        <f>IFERROR(__xludf.DUMMYFUNCTION("""COMPUTED_VALUE"""),1.06)</f>
        <v>1.06</v>
      </c>
      <c r="F1655" s="1">
        <f>IFERROR(__xludf.DUMMYFUNCTION("""COMPUTED_VALUE"""),4.11)</f>
        <v>4.11</v>
      </c>
      <c r="G1655" s="5">
        <f>IFERROR(__xludf.DUMMYFUNCTION("""COMPUTED_VALUE"""),6443.0)</f>
        <v>6443</v>
      </c>
      <c r="H1655" s="5">
        <f>IFERROR(__xludf.DUMMYFUNCTION("""COMPUTED_VALUE"""),1569.0)</f>
        <v>1569</v>
      </c>
    </row>
    <row r="1656">
      <c r="A1656" s="4">
        <f>IFERROR(__xludf.DUMMYFUNCTION("""COMPUTED_VALUE"""),44024.0)</f>
        <v>44024</v>
      </c>
      <c r="B1656" s="5">
        <f>IFERROR(__xludf.DUMMYFUNCTION("""COMPUTED_VALUE"""),1611.0)</f>
        <v>1611</v>
      </c>
      <c r="C1656" s="6">
        <f>IFERROR(__xludf.DUMMYFUNCTION("""COMPUTED_VALUE"""),0.5081)</f>
        <v>0.5081</v>
      </c>
      <c r="D1656" s="2">
        <f>IFERROR(__xludf.DUMMYFUNCTION("""COMPUTED_VALUE"""),0.0016203703703703703)</f>
        <v>0.00162037037</v>
      </c>
      <c r="E1656" s="1">
        <f>IFERROR(__xludf.DUMMYFUNCTION("""COMPUTED_VALUE"""),1.07)</f>
        <v>1.07</v>
      </c>
      <c r="F1656" s="1">
        <f>IFERROR(__xludf.DUMMYFUNCTION("""COMPUTED_VALUE"""),4.77)</f>
        <v>4.77</v>
      </c>
      <c r="G1656" s="5">
        <f>IFERROR(__xludf.DUMMYFUNCTION("""COMPUTED_VALUE"""),8220.0)</f>
        <v>8220</v>
      </c>
      <c r="H1656" s="5">
        <f>IFERROR(__xludf.DUMMYFUNCTION("""COMPUTED_VALUE"""),1722.0)</f>
        <v>1722</v>
      </c>
    </row>
    <row r="1657">
      <c r="A1657" s="4">
        <f>IFERROR(__xludf.DUMMYFUNCTION("""COMPUTED_VALUE"""),44025.0)</f>
        <v>44025</v>
      </c>
      <c r="B1657" s="5">
        <f>IFERROR(__xludf.DUMMYFUNCTION("""COMPUTED_VALUE"""),2735.0)</f>
        <v>2735</v>
      </c>
      <c r="C1657" s="6">
        <f>IFERROR(__xludf.DUMMYFUNCTION("""COMPUTED_VALUE"""),0.3918)</f>
        <v>0.3918</v>
      </c>
      <c r="D1657" s="2">
        <f>IFERROR(__xludf.DUMMYFUNCTION("""COMPUTED_VALUE"""),0.0021759259259259258)</f>
        <v>0.002175925926</v>
      </c>
      <c r="E1657" s="1">
        <f>IFERROR(__xludf.DUMMYFUNCTION("""COMPUTED_VALUE"""),1.13)</f>
        <v>1.13</v>
      </c>
      <c r="F1657" s="1">
        <f>IFERROR(__xludf.DUMMYFUNCTION("""COMPUTED_VALUE"""),5.16)</f>
        <v>5.16</v>
      </c>
      <c r="G1657" s="5">
        <f>IFERROR(__xludf.DUMMYFUNCTION("""COMPUTED_VALUE"""),15899.0)</f>
        <v>15899</v>
      </c>
      <c r="H1657" s="5">
        <f>IFERROR(__xludf.DUMMYFUNCTION("""COMPUTED_VALUE"""),3083.0)</f>
        <v>3083</v>
      </c>
    </row>
    <row r="1658">
      <c r="A1658" s="4">
        <f>IFERROR(__xludf.DUMMYFUNCTION("""COMPUTED_VALUE"""),44026.0)</f>
        <v>44026</v>
      </c>
      <c r="B1658" s="5">
        <f>IFERROR(__xludf.DUMMYFUNCTION("""COMPUTED_VALUE"""),2569.0)</f>
        <v>2569</v>
      </c>
      <c r="C1658" s="6">
        <f>IFERROR(__xludf.DUMMYFUNCTION("""COMPUTED_VALUE"""),0.4951)</f>
        <v>0.4951</v>
      </c>
      <c r="D1658" s="2">
        <f>IFERROR(__xludf.DUMMYFUNCTION("""COMPUTED_VALUE"""),0.0018981481481481482)</f>
        <v>0.001898148148</v>
      </c>
      <c r="E1658" s="1">
        <f>IFERROR(__xludf.DUMMYFUNCTION("""COMPUTED_VALUE"""),1.11)</f>
        <v>1.11</v>
      </c>
      <c r="F1658" s="1">
        <f>IFERROR(__xludf.DUMMYFUNCTION("""COMPUTED_VALUE"""),4.81)</f>
        <v>4.81</v>
      </c>
      <c r="G1658" s="5">
        <f>IFERROR(__xludf.DUMMYFUNCTION("""COMPUTED_VALUE"""),13747.0)</f>
        <v>13747</v>
      </c>
      <c r="H1658" s="5">
        <f>IFERROR(__xludf.DUMMYFUNCTION("""COMPUTED_VALUE"""),2860.0)</f>
        <v>2860</v>
      </c>
    </row>
    <row r="1659">
      <c r="A1659" s="4">
        <f>IFERROR(__xludf.DUMMYFUNCTION("""COMPUTED_VALUE"""),44027.0)</f>
        <v>44027</v>
      </c>
      <c r="B1659" s="5">
        <f>IFERROR(__xludf.DUMMYFUNCTION("""COMPUTED_VALUE"""),2333.0)</f>
        <v>2333</v>
      </c>
      <c r="C1659" s="6">
        <f>IFERROR(__xludf.DUMMYFUNCTION("""COMPUTED_VALUE"""),0.4378)</f>
        <v>0.4378</v>
      </c>
      <c r="D1659" s="2">
        <f>IFERROR(__xludf.DUMMYFUNCTION("""COMPUTED_VALUE"""),0.002766203703703704)</f>
        <v>0.002766203704</v>
      </c>
      <c r="E1659" s="1">
        <f>IFERROR(__xludf.DUMMYFUNCTION("""COMPUTED_VALUE"""),1.2)</f>
        <v>1.2</v>
      </c>
      <c r="F1659" s="1">
        <f>IFERROR(__xludf.DUMMYFUNCTION("""COMPUTED_VALUE"""),6.64)</f>
        <v>6.64</v>
      </c>
      <c r="G1659" s="5">
        <f>IFERROR(__xludf.DUMMYFUNCTION("""COMPUTED_VALUE"""),18523.0)</f>
        <v>18523</v>
      </c>
      <c r="H1659" s="5">
        <f>IFERROR(__xludf.DUMMYFUNCTION("""COMPUTED_VALUE"""),2791.0)</f>
        <v>2791</v>
      </c>
    </row>
    <row r="1660">
      <c r="A1660" s="4">
        <f>IFERROR(__xludf.DUMMYFUNCTION("""COMPUTED_VALUE"""),44028.0)</f>
        <v>44028</v>
      </c>
      <c r="B1660" s="5">
        <f>IFERROR(__xludf.DUMMYFUNCTION("""COMPUTED_VALUE"""),2236.0)</f>
        <v>2236</v>
      </c>
      <c r="C1660" s="6">
        <f>IFERROR(__xludf.DUMMYFUNCTION("""COMPUTED_VALUE"""),0.4024)</f>
        <v>0.4024</v>
      </c>
      <c r="D1660" s="2">
        <f>IFERROR(__xludf.DUMMYFUNCTION("""COMPUTED_VALUE"""),0.0021412037037037038)</f>
        <v>0.002141203704</v>
      </c>
      <c r="E1660" s="1">
        <f>IFERROR(__xludf.DUMMYFUNCTION("""COMPUTED_VALUE"""),1.11)</f>
        <v>1.11</v>
      </c>
      <c r="F1660" s="1">
        <f>IFERROR(__xludf.DUMMYFUNCTION("""COMPUTED_VALUE"""),5.82)</f>
        <v>5.82</v>
      </c>
      <c r="G1660" s="5">
        <f>IFERROR(__xludf.DUMMYFUNCTION("""COMPUTED_VALUE"""),14455.0)</f>
        <v>14455</v>
      </c>
      <c r="H1660" s="5">
        <f>IFERROR(__xludf.DUMMYFUNCTION("""COMPUTED_VALUE"""),2485.0)</f>
        <v>2485</v>
      </c>
    </row>
    <row r="1661">
      <c r="A1661" s="4">
        <f>IFERROR(__xludf.DUMMYFUNCTION("""COMPUTED_VALUE"""),44029.0)</f>
        <v>44029</v>
      </c>
      <c r="B1661" s="5">
        <f>IFERROR(__xludf.DUMMYFUNCTION("""COMPUTED_VALUE"""),2263.0)</f>
        <v>2263</v>
      </c>
      <c r="C1661" s="6">
        <f>IFERROR(__xludf.DUMMYFUNCTION("""COMPUTED_VALUE"""),0.4584)</f>
        <v>0.4584</v>
      </c>
      <c r="D1661" s="2">
        <f>IFERROR(__xludf.DUMMYFUNCTION("""COMPUTED_VALUE"""),0.0022222222222222222)</f>
        <v>0.002222222222</v>
      </c>
      <c r="E1661" s="1">
        <f>IFERROR(__xludf.DUMMYFUNCTION("""COMPUTED_VALUE"""),1.1)</f>
        <v>1.1</v>
      </c>
      <c r="F1661" s="1">
        <f>IFERROR(__xludf.DUMMYFUNCTION("""COMPUTED_VALUE"""),5.33)</f>
        <v>5.33</v>
      </c>
      <c r="G1661" s="5">
        <f>IFERROR(__xludf.DUMMYFUNCTION("""COMPUTED_VALUE"""),13233.0)</f>
        <v>13233</v>
      </c>
      <c r="H1661" s="5">
        <f>IFERROR(__xludf.DUMMYFUNCTION("""COMPUTED_VALUE"""),2485.0)</f>
        <v>2485</v>
      </c>
    </row>
    <row r="1662">
      <c r="A1662" s="4">
        <f>IFERROR(__xludf.DUMMYFUNCTION("""COMPUTED_VALUE"""),44030.0)</f>
        <v>44030</v>
      </c>
      <c r="B1662" s="5">
        <f>IFERROR(__xludf.DUMMYFUNCTION("""COMPUTED_VALUE"""),1458.0)</f>
        <v>1458</v>
      </c>
      <c r="C1662" s="6">
        <f>IFERROR(__xludf.DUMMYFUNCTION("""COMPUTED_VALUE"""),0.5216)</f>
        <v>0.5216</v>
      </c>
      <c r="D1662" s="2">
        <f>IFERROR(__xludf.DUMMYFUNCTION("""COMPUTED_VALUE"""),0.002013888888888889)</f>
        <v>0.002013888889</v>
      </c>
      <c r="E1662" s="1">
        <f>IFERROR(__xludf.DUMMYFUNCTION("""COMPUTED_VALUE"""),1.1)</f>
        <v>1.1</v>
      </c>
      <c r="F1662" s="1">
        <f>IFERROR(__xludf.DUMMYFUNCTION("""COMPUTED_VALUE"""),3.92)</f>
        <v>3.92</v>
      </c>
      <c r="G1662" s="5">
        <f>IFERROR(__xludf.DUMMYFUNCTION("""COMPUTED_VALUE"""),6262.0)</f>
        <v>6262</v>
      </c>
      <c r="H1662" s="5">
        <f>IFERROR(__xludf.DUMMYFUNCTION("""COMPUTED_VALUE"""),1597.0)</f>
        <v>1597</v>
      </c>
    </row>
    <row r="1663">
      <c r="A1663" s="4">
        <f>IFERROR(__xludf.DUMMYFUNCTION("""COMPUTED_VALUE"""),44031.0)</f>
        <v>44031</v>
      </c>
      <c r="B1663" s="5">
        <f>IFERROR(__xludf.DUMMYFUNCTION("""COMPUTED_VALUE"""),1569.0)</f>
        <v>1569</v>
      </c>
      <c r="C1663" s="6">
        <f>IFERROR(__xludf.DUMMYFUNCTION("""COMPUTED_VALUE"""),0.4078)</f>
        <v>0.4078</v>
      </c>
      <c r="D1663" s="2">
        <f>IFERROR(__xludf.DUMMYFUNCTION("""COMPUTED_VALUE"""),0.0020717592592592593)</f>
        <v>0.002071759259</v>
      </c>
      <c r="E1663" s="1">
        <f>IFERROR(__xludf.DUMMYFUNCTION("""COMPUTED_VALUE"""),1.11)</f>
        <v>1.11</v>
      </c>
      <c r="F1663" s="1">
        <f>IFERROR(__xludf.DUMMYFUNCTION("""COMPUTED_VALUE"""),5.21)</f>
        <v>5.21</v>
      </c>
      <c r="G1663" s="5">
        <f>IFERROR(__xludf.DUMMYFUNCTION("""COMPUTED_VALUE"""),9039.0)</f>
        <v>9039</v>
      </c>
      <c r="H1663" s="5">
        <f>IFERROR(__xludf.DUMMYFUNCTION("""COMPUTED_VALUE"""),1736.0)</f>
        <v>1736</v>
      </c>
    </row>
    <row r="1664">
      <c r="A1664" s="4">
        <f>IFERROR(__xludf.DUMMYFUNCTION("""COMPUTED_VALUE"""),44032.0)</f>
        <v>44032</v>
      </c>
      <c r="B1664" s="5">
        <f>IFERROR(__xludf.DUMMYFUNCTION("""COMPUTED_VALUE"""),2416.0)</f>
        <v>2416</v>
      </c>
      <c r="C1664" s="6">
        <f>IFERROR(__xludf.DUMMYFUNCTION("""COMPUTED_VALUE"""),0.4846)</f>
        <v>0.4846</v>
      </c>
      <c r="D1664" s="2">
        <f>IFERROR(__xludf.DUMMYFUNCTION("""COMPUTED_VALUE"""),0.001990740740740741)</f>
        <v>0.001990740741</v>
      </c>
      <c r="E1664" s="1">
        <f>IFERROR(__xludf.DUMMYFUNCTION("""COMPUTED_VALUE"""),1.13)</f>
        <v>1.13</v>
      </c>
      <c r="F1664" s="1">
        <f>IFERROR(__xludf.DUMMYFUNCTION("""COMPUTED_VALUE"""),4.79)</f>
        <v>4.79</v>
      </c>
      <c r="G1664" s="5">
        <f>IFERROR(__xludf.DUMMYFUNCTION("""COMPUTED_VALUE"""),13038.0)</f>
        <v>13038</v>
      </c>
      <c r="H1664" s="5">
        <f>IFERROR(__xludf.DUMMYFUNCTION("""COMPUTED_VALUE"""),2722.0)</f>
        <v>2722</v>
      </c>
    </row>
    <row r="1665">
      <c r="A1665" s="4">
        <f>IFERROR(__xludf.DUMMYFUNCTION("""COMPUTED_VALUE"""),44033.0)</f>
        <v>44033</v>
      </c>
      <c r="B1665" s="5">
        <f>IFERROR(__xludf.DUMMYFUNCTION("""COMPUTED_VALUE"""),2194.0)</f>
        <v>2194</v>
      </c>
      <c r="C1665" s="6">
        <f>IFERROR(__xludf.DUMMYFUNCTION("""COMPUTED_VALUE"""),0.5279)</f>
        <v>0.5279</v>
      </c>
      <c r="D1665" s="2">
        <f>IFERROR(__xludf.DUMMYFUNCTION("""COMPUTED_VALUE"""),0.001851851851851852)</f>
        <v>0.001851851852</v>
      </c>
      <c r="E1665" s="1">
        <f>IFERROR(__xludf.DUMMYFUNCTION("""COMPUTED_VALUE"""),1.13)</f>
        <v>1.13</v>
      </c>
      <c r="F1665" s="1">
        <f>IFERROR(__xludf.DUMMYFUNCTION("""COMPUTED_VALUE"""),5.46)</f>
        <v>5.46</v>
      </c>
      <c r="G1665" s="5">
        <f>IFERROR(__xludf.DUMMYFUNCTION("""COMPUTED_VALUE"""),13497.0)</f>
        <v>13497</v>
      </c>
      <c r="H1665" s="5">
        <f>IFERROR(__xludf.DUMMYFUNCTION("""COMPUTED_VALUE"""),2472.0)</f>
        <v>2472</v>
      </c>
    </row>
    <row r="1666">
      <c r="A1666" s="4">
        <f>IFERROR(__xludf.DUMMYFUNCTION("""COMPUTED_VALUE"""),44034.0)</f>
        <v>44034</v>
      </c>
      <c r="B1666" s="5">
        <f>IFERROR(__xludf.DUMMYFUNCTION("""COMPUTED_VALUE"""),2194.0)</f>
        <v>2194</v>
      </c>
      <c r="C1666" s="6">
        <f>IFERROR(__xludf.DUMMYFUNCTION("""COMPUTED_VALUE"""),0.4914)</f>
        <v>0.4914</v>
      </c>
      <c r="D1666" s="2">
        <f>IFERROR(__xludf.DUMMYFUNCTION("""COMPUTED_VALUE"""),0.0024537037037037036)</f>
        <v>0.002453703704</v>
      </c>
      <c r="E1666" s="1">
        <f>IFERROR(__xludf.DUMMYFUNCTION("""COMPUTED_VALUE"""),1.11)</f>
        <v>1.11</v>
      </c>
      <c r="F1666" s="1">
        <f>IFERROR(__xludf.DUMMYFUNCTION("""COMPUTED_VALUE"""),6.7)</f>
        <v>6.7</v>
      </c>
      <c r="G1666" s="5">
        <f>IFERROR(__xludf.DUMMYFUNCTION("""COMPUTED_VALUE"""),16288.0)</f>
        <v>16288</v>
      </c>
      <c r="H1666" s="5">
        <f>IFERROR(__xludf.DUMMYFUNCTION("""COMPUTED_VALUE"""),2430.0)</f>
        <v>2430</v>
      </c>
    </row>
    <row r="1667">
      <c r="A1667" s="4">
        <f>IFERROR(__xludf.DUMMYFUNCTION("""COMPUTED_VALUE"""),44035.0)</f>
        <v>44035</v>
      </c>
      <c r="B1667" s="5">
        <f>IFERROR(__xludf.DUMMYFUNCTION("""COMPUTED_VALUE"""),1527.0)</f>
        <v>1527</v>
      </c>
      <c r="C1667" s="6">
        <f>IFERROR(__xludf.DUMMYFUNCTION("""COMPUTED_VALUE"""),0.4434)</f>
        <v>0.4434</v>
      </c>
      <c r="D1667" s="2">
        <f>IFERROR(__xludf.DUMMYFUNCTION("""COMPUTED_VALUE"""),0.002650462962962963)</f>
        <v>0.002650462963</v>
      </c>
      <c r="E1667" s="1">
        <f>IFERROR(__xludf.DUMMYFUNCTION("""COMPUTED_VALUE"""),1.21)</f>
        <v>1.21</v>
      </c>
      <c r="F1667" s="1">
        <f>IFERROR(__xludf.DUMMYFUNCTION("""COMPUTED_VALUE"""),7.31)</f>
        <v>7.31</v>
      </c>
      <c r="G1667" s="5">
        <f>IFERROR(__xludf.DUMMYFUNCTION("""COMPUTED_VALUE"""),13497.0)</f>
        <v>13497</v>
      </c>
      <c r="H1667" s="5">
        <f>IFERROR(__xludf.DUMMYFUNCTION("""COMPUTED_VALUE"""),1847.0)</f>
        <v>1847</v>
      </c>
    </row>
    <row r="1668">
      <c r="A1668" s="4">
        <f>IFERROR(__xludf.DUMMYFUNCTION("""COMPUTED_VALUE"""),44036.0)</f>
        <v>44036</v>
      </c>
      <c r="B1668" s="5">
        <f>IFERROR(__xludf.DUMMYFUNCTION("""COMPUTED_VALUE"""),1541.0)</f>
        <v>1541</v>
      </c>
      <c r="C1668" s="6">
        <f>IFERROR(__xludf.DUMMYFUNCTION("""COMPUTED_VALUE"""),0.484)</f>
        <v>0.484</v>
      </c>
      <c r="D1668" s="2">
        <f>IFERROR(__xludf.DUMMYFUNCTION("""COMPUTED_VALUE"""),0.0021296296296296298)</f>
        <v>0.00212962963</v>
      </c>
      <c r="E1668" s="1">
        <f>IFERROR(__xludf.DUMMYFUNCTION("""COMPUTED_VALUE"""),1.14)</f>
        <v>1.14</v>
      </c>
      <c r="F1668" s="1">
        <f>IFERROR(__xludf.DUMMYFUNCTION("""COMPUTED_VALUE"""),4.84)</f>
        <v>4.84</v>
      </c>
      <c r="G1668" s="5">
        <f>IFERROR(__xludf.DUMMYFUNCTION("""COMPUTED_VALUE"""),8470.0)</f>
        <v>8470</v>
      </c>
      <c r="H1668" s="5">
        <f>IFERROR(__xludf.DUMMYFUNCTION("""COMPUTED_VALUE"""),1750.0)</f>
        <v>1750</v>
      </c>
    </row>
    <row r="1669">
      <c r="A1669" s="4">
        <f>IFERROR(__xludf.DUMMYFUNCTION("""COMPUTED_VALUE"""),44037.0)</f>
        <v>44037</v>
      </c>
      <c r="B1669" s="5">
        <f>IFERROR(__xludf.DUMMYFUNCTION("""COMPUTED_VALUE"""),1028.0)</f>
        <v>1028</v>
      </c>
      <c r="C1669" s="6">
        <f>IFERROR(__xludf.DUMMYFUNCTION("""COMPUTED_VALUE"""),0.5248)</f>
        <v>0.5248</v>
      </c>
      <c r="D1669" s="2">
        <f>IFERROR(__xludf.DUMMYFUNCTION("""COMPUTED_VALUE"""),8.796296296296296E-4)</f>
        <v>0.0008796296296</v>
      </c>
      <c r="E1669" s="1">
        <f>IFERROR(__xludf.DUMMYFUNCTION("""COMPUTED_VALUE"""),1.08)</f>
        <v>1.08</v>
      </c>
      <c r="F1669" s="1">
        <f>IFERROR(__xludf.DUMMYFUNCTION("""COMPUTED_VALUE"""),3.45)</f>
        <v>3.45</v>
      </c>
      <c r="G1669" s="5">
        <f>IFERROR(__xludf.DUMMYFUNCTION("""COMPUTED_VALUE"""),3832.0)</f>
        <v>3832</v>
      </c>
      <c r="H1669" s="5">
        <f>IFERROR(__xludf.DUMMYFUNCTION("""COMPUTED_VALUE"""),1111.0)</f>
        <v>1111</v>
      </c>
    </row>
    <row r="1670">
      <c r="A1670" s="4">
        <f>IFERROR(__xludf.DUMMYFUNCTION("""COMPUTED_VALUE"""),44038.0)</f>
        <v>44038</v>
      </c>
      <c r="B1670" s="5">
        <f>IFERROR(__xludf.DUMMYFUNCTION("""COMPUTED_VALUE"""),1097.0)</f>
        <v>1097</v>
      </c>
      <c r="C1670" s="6">
        <f>IFERROR(__xludf.DUMMYFUNCTION("""COMPUTED_VALUE"""),0.3907)</f>
        <v>0.3907</v>
      </c>
      <c r="D1670" s="2">
        <f>IFERROR(__xludf.DUMMYFUNCTION("""COMPUTED_VALUE"""),0.0030439814814814813)</f>
        <v>0.003043981481</v>
      </c>
      <c r="E1670" s="1">
        <f>IFERROR(__xludf.DUMMYFUNCTION("""COMPUTED_VALUE"""),1.1)</f>
        <v>1.1</v>
      </c>
      <c r="F1670" s="1">
        <f>IFERROR(__xludf.DUMMYFUNCTION("""COMPUTED_VALUE"""),6.76)</f>
        <v>6.76</v>
      </c>
      <c r="G1670" s="5">
        <f>IFERROR(__xludf.DUMMYFUNCTION("""COMPUTED_VALUE"""),8165.0)</f>
        <v>8165</v>
      </c>
      <c r="H1670" s="5">
        <f>IFERROR(__xludf.DUMMYFUNCTION("""COMPUTED_VALUE"""),1208.0)</f>
        <v>1208</v>
      </c>
    </row>
    <row r="1671">
      <c r="A1671" s="4">
        <f>IFERROR(__xludf.DUMMYFUNCTION("""COMPUTED_VALUE"""),44039.0)</f>
        <v>44039</v>
      </c>
      <c r="B1671" s="5">
        <f>IFERROR(__xludf.DUMMYFUNCTION("""COMPUTED_VALUE"""),1680.0)</f>
        <v>1680</v>
      </c>
      <c r="C1671" s="6">
        <f>IFERROR(__xludf.DUMMYFUNCTION("""COMPUTED_VALUE"""),0.3804)</f>
        <v>0.3804</v>
      </c>
      <c r="D1671" s="2">
        <f>IFERROR(__xludf.DUMMYFUNCTION("""COMPUTED_VALUE"""),0.002361111111111111)</f>
        <v>0.002361111111</v>
      </c>
      <c r="E1671" s="1">
        <f>IFERROR(__xludf.DUMMYFUNCTION("""COMPUTED_VALUE"""),1.11)</f>
        <v>1.11</v>
      </c>
      <c r="F1671" s="1">
        <f>IFERROR(__xludf.DUMMYFUNCTION("""COMPUTED_VALUE"""),6.36)</f>
        <v>6.36</v>
      </c>
      <c r="G1671" s="5">
        <f>IFERROR(__xludf.DUMMYFUNCTION("""COMPUTED_VALUE"""),11830.0)</f>
        <v>11830</v>
      </c>
      <c r="H1671" s="5">
        <f>IFERROR(__xludf.DUMMYFUNCTION("""COMPUTED_VALUE"""),1861.0)</f>
        <v>1861</v>
      </c>
    </row>
    <row r="1672">
      <c r="A1672" s="4">
        <f>IFERROR(__xludf.DUMMYFUNCTION("""COMPUTED_VALUE"""),44040.0)</f>
        <v>44040</v>
      </c>
      <c r="B1672" s="5">
        <f>IFERROR(__xludf.DUMMYFUNCTION("""COMPUTED_VALUE"""),1638.0)</f>
        <v>1638</v>
      </c>
      <c r="C1672" s="6">
        <f>IFERROR(__xludf.DUMMYFUNCTION("""COMPUTED_VALUE"""),0.4181)</f>
        <v>0.4181</v>
      </c>
      <c r="D1672" s="2">
        <f>IFERROR(__xludf.DUMMYFUNCTION("""COMPUTED_VALUE"""),0.0030439814814814813)</f>
        <v>0.003043981481</v>
      </c>
      <c r="E1672" s="1">
        <f>IFERROR(__xludf.DUMMYFUNCTION("""COMPUTED_VALUE"""),1.14)</f>
        <v>1.14</v>
      </c>
      <c r="F1672" s="1">
        <f>IFERROR(__xludf.DUMMYFUNCTION("""COMPUTED_VALUE"""),6.4)</f>
        <v>6.4</v>
      </c>
      <c r="G1672" s="5">
        <f>IFERROR(__xludf.DUMMYFUNCTION("""COMPUTED_VALUE"""),11914.0)</f>
        <v>11914</v>
      </c>
      <c r="H1672" s="5">
        <f>IFERROR(__xludf.DUMMYFUNCTION("""COMPUTED_VALUE"""),1861.0)</f>
        <v>1861</v>
      </c>
    </row>
    <row r="1673">
      <c r="A1673" s="4">
        <f>IFERROR(__xludf.DUMMYFUNCTION("""COMPUTED_VALUE"""),44041.0)</f>
        <v>44041</v>
      </c>
      <c r="B1673" s="5">
        <f>IFERROR(__xludf.DUMMYFUNCTION("""COMPUTED_VALUE"""),1722.0)</f>
        <v>1722</v>
      </c>
      <c r="C1673" s="6">
        <f>IFERROR(__xludf.DUMMYFUNCTION("""COMPUTED_VALUE"""),0.3642)</f>
        <v>0.3642</v>
      </c>
      <c r="D1673" s="2">
        <f>IFERROR(__xludf.DUMMYFUNCTION("""COMPUTED_VALUE"""),0.0021064814814814813)</f>
        <v>0.002106481481</v>
      </c>
      <c r="E1673" s="1">
        <f>IFERROR(__xludf.DUMMYFUNCTION("""COMPUTED_VALUE"""),1.13)</f>
        <v>1.13</v>
      </c>
      <c r="F1673" s="1">
        <f>IFERROR(__xludf.DUMMYFUNCTION("""COMPUTED_VALUE"""),5.16)</f>
        <v>5.16</v>
      </c>
      <c r="G1673" s="5">
        <f>IFERROR(__xludf.DUMMYFUNCTION("""COMPUTED_VALUE"""),10039.0)</f>
        <v>10039</v>
      </c>
      <c r="H1673" s="5">
        <f>IFERROR(__xludf.DUMMYFUNCTION("""COMPUTED_VALUE"""),1944.0)</f>
        <v>1944</v>
      </c>
    </row>
    <row r="1674">
      <c r="A1674" s="4">
        <f>IFERROR(__xludf.DUMMYFUNCTION("""COMPUTED_VALUE"""),44042.0)</f>
        <v>44042</v>
      </c>
      <c r="B1674" s="5">
        <f>IFERROR(__xludf.DUMMYFUNCTION("""COMPUTED_VALUE"""),1541.0)</f>
        <v>1541</v>
      </c>
      <c r="C1674" s="6">
        <f>IFERROR(__xludf.DUMMYFUNCTION("""COMPUTED_VALUE"""),0.3857)</f>
        <v>0.3857</v>
      </c>
      <c r="D1674" s="2">
        <f>IFERROR(__xludf.DUMMYFUNCTION("""COMPUTED_VALUE"""),0.0025578703703703705)</f>
        <v>0.00255787037</v>
      </c>
      <c r="E1674" s="1">
        <f>IFERROR(__xludf.DUMMYFUNCTION("""COMPUTED_VALUE"""),1.14)</f>
        <v>1.14</v>
      </c>
      <c r="F1674" s="1">
        <f>IFERROR(__xludf.DUMMYFUNCTION("""COMPUTED_VALUE"""),5.1)</f>
        <v>5.1</v>
      </c>
      <c r="G1674" s="5">
        <f>IFERROR(__xludf.DUMMYFUNCTION("""COMPUTED_VALUE"""),8998.0)</f>
        <v>8998</v>
      </c>
      <c r="H1674" s="5">
        <f>IFERROR(__xludf.DUMMYFUNCTION("""COMPUTED_VALUE"""),1763.0)</f>
        <v>1763</v>
      </c>
    </row>
    <row r="1675">
      <c r="A1675" s="4">
        <f>IFERROR(__xludf.DUMMYFUNCTION("""COMPUTED_VALUE"""),44043.0)</f>
        <v>44043</v>
      </c>
      <c r="B1675" s="5">
        <f>IFERROR(__xludf.DUMMYFUNCTION("""COMPUTED_VALUE"""),1583.0)</f>
        <v>1583</v>
      </c>
      <c r="C1675" s="6">
        <f>IFERROR(__xludf.DUMMYFUNCTION("""COMPUTED_VALUE"""),0.4637)</f>
        <v>0.4637</v>
      </c>
      <c r="D1675" s="2">
        <f>IFERROR(__xludf.DUMMYFUNCTION("""COMPUTED_VALUE"""),0.0022800925925925927)</f>
        <v>0.002280092593</v>
      </c>
      <c r="E1675" s="1">
        <f>IFERROR(__xludf.DUMMYFUNCTION("""COMPUTED_VALUE"""),1.1)</f>
        <v>1.1</v>
      </c>
      <c r="F1675" s="1">
        <f>IFERROR(__xludf.DUMMYFUNCTION("""COMPUTED_VALUE"""),4.91)</f>
        <v>4.91</v>
      </c>
      <c r="G1675" s="5">
        <f>IFERROR(__xludf.DUMMYFUNCTION("""COMPUTED_VALUE"""),8526.0)</f>
        <v>8526</v>
      </c>
      <c r="H1675" s="5">
        <f>IFERROR(__xludf.DUMMYFUNCTION("""COMPUTED_VALUE"""),1736.0)</f>
        <v>1736</v>
      </c>
    </row>
    <row r="1676">
      <c r="A1676" s="4">
        <f>IFERROR(__xludf.DUMMYFUNCTION("""COMPUTED_VALUE"""),44044.0)</f>
        <v>44044</v>
      </c>
      <c r="B1676" s="1">
        <f>IFERROR(__xludf.DUMMYFUNCTION("""COMPUTED_VALUE"""),903.0)</f>
        <v>903</v>
      </c>
      <c r="C1676" s="6">
        <f>IFERROR(__xludf.DUMMYFUNCTION("""COMPUTED_VALUE"""),0.4787)</f>
        <v>0.4787</v>
      </c>
      <c r="D1676" s="2">
        <f>IFERROR(__xludf.DUMMYFUNCTION("""COMPUTED_VALUE"""),0.0019675925925925924)</f>
        <v>0.001967592593</v>
      </c>
      <c r="E1676" s="1">
        <f>IFERROR(__xludf.DUMMYFUNCTION("""COMPUTED_VALUE"""),1.09)</f>
        <v>1.09</v>
      </c>
      <c r="F1676" s="1">
        <f>IFERROR(__xludf.DUMMYFUNCTION("""COMPUTED_VALUE"""),4.55)</f>
        <v>4.55</v>
      </c>
      <c r="G1676" s="5">
        <f>IFERROR(__xludf.DUMMYFUNCTION("""COMPUTED_VALUE"""),4485.0)</f>
        <v>4485</v>
      </c>
      <c r="H1676" s="1">
        <f>IFERROR(__xludf.DUMMYFUNCTION("""COMPUTED_VALUE"""),986.0)</f>
        <v>986</v>
      </c>
    </row>
    <row r="1677">
      <c r="A1677" s="4">
        <f>IFERROR(__xludf.DUMMYFUNCTION("""COMPUTED_VALUE"""),44045.0)</f>
        <v>44045</v>
      </c>
      <c r="B1677" s="5">
        <f>IFERROR(__xludf.DUMMYFUNCTION("""COMPUTED_VALUE"""),1014.0)</f>
        <v>1014</v>
      </c>
      <c r="C1677" s="6">
        <f>IFERROR(__xludf.DUMMYFUNCTION("""COMPUTED_VALUE"""),0.471)</f>
        <v>0.471</v>
      </c>
      <c r="D1677" s="2">
        <f>IFERROR(__xludf.DUMMYFUNCTION("""COMPUTED_VALUE"""),0.0021527777777777778)</f>
        <v>0.002152777778</v>
      </c>
      <c r="E1677" s="1">
        <f>IFERROR(__xludf.DUMMYFUNCTION("""COMPUTED_VALUE"""),1.19)</f>
        <v>1.19</v>
      </c>
      <c r="F1677" s="1">
        <f>IFERROR(__xludf.DUMMYFUNCTION("""COMPUTED_VALUE"""),5.59)</f>
        <v>5.59</v>
      </c>
      <c r="G1677" s="5">
        <f>IFERROR(__xludf.DUMMYFUNCTION("""COMPUTED_VALUE"""),6748.0)</f>
        <v>6748</v>
      </c>
      <c r="H1677" s="5">
        <f>IFERROR(__xludf.DUMMYFUNCTION("""COMPUTED_VALUE"""),1208.0)</f>
        <v>1208</v>
      </c>
    </row>
    <row r="1678">
      <c r="A1678" s="4">
        <f>IFERROR(__xludf.DUMMYFUNCTION("""COMPUTED_VALUE"""),44046.0)</f>
        <v>44046</v>
      </c>
      <c r="B1678" s="5">
        <f>IFERROR(__xludf.DUMMYFUNCTION("""COMPUTED_VALUE"""),2111.0)</f>
        <v>2111</v>
      </c>
      <c r="C1678" s="6">
        <f>IFERROR(__xludf.DUMMYFUNCTION("""COMPUTED_VALUE"""),0.4998)</f>
        <v>0.4998</v>
      </c>
      <c r="D1678" s="2">
        <f>IFERROR(__xludf.DUMMYFUNCTION("""COMPUTED_VALUE"""),0.0020949074074074073)</f>
        <v>0.002094907407</v>
      </c>
      <c r="E1678" s="1">
        <f>IFERROR(__xludf.DUMMYFUNCTION("""COMPUTED_VALUE"""),1.11)</f>
        <v>1.11</v>
      </c>
      <c r="F1678" s="1">
        <f>IFERROR(__xludf.DUMMYFUNCTION("""COMPUTED_VALUE"""),4.99)</f>
        <v>4.99</v>
      </c>
      <c r="G1678" s="5">
        <f>IFERROR(__xludf.DUMMYFUNCTION("""COMPUTED_VALUE"""),11636.0)</f>
        <v>11636</v>
      </c>
      <c r="H1678" s="5">
        <f>IFERROR(__xludf.DUMMYFUNCTION("""COMPUTED_VALUE"""),2333.0)</f>
        <v>2333</v>
      </c>
    </row>
    <row r="1679">
      <c r="A1679" s="4">
        <f>IFERROR(__xludf.DUMMYFUNCTION("""COMPUTED_VALUE"""),44047.0)</f>
        <v>44047</v>
      </c>
      <c r="B1679" s="5">
        <f>IFERROR(__xludf.DUMMYFUNCTION("""COMPUTED_VALUE"""),3332.0)</f>
        <v>3332</v>
      </c>
      <c r="C1679" s="6">
        <f>IFERROR(__xludf.DUMMYFUNCTION("""COMPUTED_VALUE"""),0.3494)</f>
        <v>0.3494</v>
      </c>
      <c r="D1679" s="2">
        <f>IFERROR(__xludf.DUMMYFUNCTION("""COMPUTED_VALUE"""),0.0030092592592592593)</f>
        <v>0.003009259259</v>
      </c>
      <c r="E1679" s="1">
        <f>IFERROR(__xludf.DUMMYFUNCTION("""COMPUTED_VALUE"""),1.12)</f>
        <v>1.12</v>
      </c>
      <c r="F1679" s="1">
        <f>IFERROR(__xludf.DUMMYFUNCTION("""COMPUTED_VALUE"""),6.77)</f>
        <v>6.77</v>
      </c>
      <c r="G1679" s="5">
        <f>IFERROR(__xludf.DUMMYFUNCTION("""COMPUTED_VALUE"""),25271.0)</f>
        <v>25271</v>
      </c>
      <c r="H1679" s="5">
        <f>IFERROR(__xludf.DUMMYFUNCTION("""COMPUTED_VALUE"""),3735.0)</f>
        <v>3735</v>
      </c>
    </row>
    <row r="1680">
      <c r="A1680" s="4">
        <f>IFERROR(__xludf.DUMMYFUNCTION("""COMPUTED_VALUE"""),44048.0)</f>
        <v>44048</v>
      </c>
      <c r="B1680" s="5">
        <f>IFERROR(__xludf.DUMMYFUNCTION("""COMPUTED_VALUE"""),2499.0)</f>
        <v>2499</v>
      </c>
      <c r="C1680" s="6">
        <f>IFERROR(__xludf.DUMMYFUNCTION("""COMPUTED_VALUE"""),0.3199)</f>
        <v>0.3199</v>
      </c>
      <c r="D1680" s="2">
        <f>IFERROR(__xludf.DUMMYFUNCTION("""COMPUTED_VALUE"""),0.0022685185185185187)</f>
        <v>0.002268518519</v>
      </c>
      <c r="E1680" s="1">
        <f>IFERROR(__xludf.DUMMYFUNCTION("""COMPUTED_VALUE"""),1.09)</f>
        <v>1.09</v>
      </c>
      <c r="F1680" s="1">
        <f>IFERROR(__xludf.DUMMYFUNCTION("""COMPUTED_VALUE"""),6.41)</f>
        <v>6.41</v>
      </c>
      <c r="G1680" s="5">
        <f>IFERROR(__xludf.DUMMYFUNCTION("""COMPUTED_VALUE"""),17537.0)</f>
        <v>17537</v>
      </c>
      <c r="H1680" s="5">
        <f>IFERROR(__xludf.DUMMYFUNCTION("""COMPUTED_VALUE"""),2735.0)</f>
        <v>2735</v>
      </c>
    </row>
    <row r="1681">
      <c r="A1681" s="4">
        <f>IFERROR(__xludf.DUMMYFUNCTION("""COMPUTED_VALUE"""),44049.0)</f>
        <v>44049</v>
      </c>
      <c r="B1681" s="5">
        <f>IFERROR(__xludf.DUMMYFUNCTION("""COMPUTED_VALUE"""),1694.0)</f>
        <v>1694</v>
      </c>
      <c r="C1681" s="6">
        <f>IFERROR(__xludf.DUMMYFUNCTION("""COMPUTED_VALUE"""),0.3768)</f>
        <v>0.3768</v>
      </c>
      <c r="D1681" s="2">
        <f>IFERROR(__xludf.DUMMYFUNCTION("""COMPUTED_VALUE"""),0.0033333333333333335)</f>
        <v>0.003333333333</v>
      </c>
      <c r="E1681" s="1">
        <f>IFERROR(__xludf.DUMMYFUNCTION("""COMPUTED_VALUE"""),1.13)</f>
        <v>1.13</v>
      </c>
      <c r="F1681" s="1">
        <f>IFERROR(__xludf.DUMMYFUNCTION("""COMPUTED_VALUE"""),6.8)</f>
        <v>6.8</v>
      </c>
      <c r="G1681" s="5">
        <f>IFERROR(__xludf.DUMMYFUNCTION("""COMPUTED_VALUE"""),13024.0)</f>
        <v>13024</v>
      </c>
      <c r="H1681" s="5">
        <f>IFERROR(__xludf.DUMMYFUNCTION("""COMPUTED_VALUE"""),1916.0)</f>
        <v>1916</v>
      </c>
    </row>
    <row r="1682">
      <c r="A1682" s="4">
        <f>IFERROR(__xludf.DUMMYFUNCTION("""COMPUTED_VALUE"""),44050.0)</f>
        <v>44050</v>
      </c>
      <c r="B1682" s="5">
        <f>IFERROR(__xludf.DUMMYFUNCTION("""COMPUTED_VALUE"""),2944.0)</f>
        <v>2944</v>
      </c>
      <c r="C1682" s="6">
        <f>IFERROR(__xludf.DUMMYFUNCTION("""COMPUTED_VALUE"""),0.2469)</f>
        <v>0.2469</v>
      </c>
      <c r="D1682" s="2">
        <f>IFERROR(__xludf.DUMMYFUNCTION("""COMPUTED_VALUE"""),0.0038310185185185183)</f>
        <v>0.003831018519</v>
      </c>
      <c r="E1682" s="1">
        <f>IFERROR(__xludf.DUMMYFUNCTION("""COMPUTED_VALUE"""),1.15)</f>
        <v>1.15</v>
      </c>
      <c r="F1682" s="1">
        <f>IFERROR(__xludf.DUMMYFUNCTION("""COMPUTED_VALUE"""),9.26)</f>
        <v>9.26</v>
      </c>
      <c r="G1682" s="5">
        <f>IFERROR(__xludf.DUMMYFUNCTION("""COMPUTED_VALUE"""),31256.0)</f>
        <v>31256</v>
      </c>
      <c r="H1682" s="5">
        <f>IFERROR(__xludf.DUMMYFUNCTION("""COMPUTED_VALUE"""),3374.0)</f>
        <v>3374</v>
      </c>
    </row>
    <row r="1683">
      <c r="A1683" s="4">
        <f>IFERROR(__xludf.DUMMYFUNCTION("""COMPUTED_VALUE"""),44051.0)</f>
        <v>44051</v>
      </c>
      <c r="B1683" s="5">
        <f>IFERROR(__xludf.DUMMYFUNCTION("""COMPUTED_VALUE"""),1389.0)</f>
        <v>1389</v>
      </c>
      <c r="C1683" s="6">
        <f>IFERROR(__xludf.DUMMYFUNCTION("""COMPUTED_VALUE"""),0.3706)</f>
        <v>0.3706</v>
      </c>
      <c r="D1683" s="2">
        <f>IFERROR(__xludf.DUMMYFUNCTION("""COMPUTED_VALUE"""),0.0022453703703703702)</f>
        <v>0.00224537037</v>
      </c>
      <c r="E1683" s="1">
        <f>IFERROR(__xludf.DUMMYFUNCTION("""COMPUTED_VALUE"""),1.16)</f>
        <v>1.16</v>
      </c>
      <c r="F1683" s="1">
        <f>IFERROR(__xludf.DUMMYFUNCTION("""COMPUTED_VALUE"""),5.71)</f>
        <v>5.71</v>
      </c>
      <c r="G1683" s="5">
        <f>IFERROR(__xludf.DUMMYFUNCTION("""COMPUTED_VALUE"""),9206.0)</f>
        <v>9206</v>
      </c>
      <c r="H1683" s="5">
        <f>IFERROR(__xludf.DUMMYFUNCTION("""COMPUTED_VALUE"""),1611.0)</f>
        <v>1611</v>
      </c>
    </row>
    <row r="1684">
      <c r="A1684" s="4">
        <f>IFERROR(__xludf.DUMMYFUNCTION("""COMPUTED_VALUE"""),44052.0)</f>
        <v>44052</v>
      </c>
      <c r="B1684" s="5">
        <f>IFERROR(__xludf.DUMMYFUNCTION("""COMPUTED_VALUE"""),1250.0)</f>
        <v>1250</v>
      </c>
      <c r="C1684" s="6">
        <f>IFERROR(__xludf.DUMMYFUNCTION("""COMPUTED_VALUE"""),0.4197)</f>
        <v>0.4197</v>
      </c>
      <c r="D1684" s="2">
        <f>IFERROR(__xludf.DUMMYFUNCTION("""COMPUTED_VALUE"""),0.0021643518518518518)</f>
        <v>0.002164351852</v>
      </c>
      <c r="E1684" s="1">
        <f>IFERROR(__xludf.DUMMYFUNCTION("""COMPUTED_VALUE"""),1.11)</f>
        <v>1.11</v>
      </c>
      <c r="F1684" s="1">
        <f>IFERROR(__xludf.DUMMYFUNCTION("""COMPUTED_VALUE"""),4.58)</f>
        <v>4.58</v>
      </c>
      <c r="G1684" s="5">
        <f>IFERROR(__xludf.DUMMYFUNCTION("""COMPUTED_VALUE"""),6360.0)</f>
        <v>6360</v>
      </c>
      <c r="H1684" s="5">
        <f>IFERROR(__xludf.DUMMYFUNCTION("""COMPUTED_VALUE"""),1389.0)</f>
        <v>1389</v>
      </c>
    </row>
    <row r="1685">
      <c r="A1685" s="4">
        <f>IFERROR(__xludf.DUMMYFUNCTION("""COMPUTED_VALUE"""),44053.0)</f>
        <v>44053</v>
      </c>
      <c r="B1685" s="5">
        <f>IFERROR(__xludf.DUMMYFUNCTION("""COMPUTED_VALUE"""),2222.0)</f>
        <v>2222</v>
      </c>
      <c r="C1685" s="6">
        <f>IFERROR(__xludf.DUMMYFUNCTION("""COMPUTED_VALUE"""),0.3335)</f>
        <v>0.3335</v>
      </c>
      <c r="D1685" s="2">
        <f>IFERROR(__xludf.DUMMYFUNCTION("""COMPUTED_VALUE"""),0.0025925925925925925)</f>
        <v>0.002592592593</v>
      </c>
      <c r="E1685" s="1">
        <f>IFERROR(__xludf.DUMMYFUNCTION("""COMPUTED_VALUE"""),1.18)</f>
        <v>1.18</v>
      </c>
      <c r="F1685" s="1">
        <f>IFERROR(__xludf.DUMMYFUNCTION("""COMPUTED_VALUE"""),5.29)</f>
        <v>5.29</v>
      </c>
      <c r="G1685" s="5">
        <f>IFERROR(__xludf.DUMMYFUNCTION("""COMPUTED_VALUE"""),13871.0)</f>
        <v>13871</v>
      </c>
      <c r="H1685" s="5">
        <f>IFERROR(__xludf.DUMMYFUNCTION("""COMPUTED_VALUE"""),2624.0)</f>
        <v>2624</v>
      </c>
    </row>
    <row r="1686">
      <c r="A1686" s="4">
        <f>IFERROR(__xludf.DUMMYFUNCTION("""COMPUTED_VALUE"""),44054.0)</f>
        <v>44054</v>
      </c>
      <c r="B1686" s="5">
        <f>IFERROR(__xludf.DUMMYFUNCTION("""COMPUTED_VALUE"""),1666.0)</f>
        <v>1666</v>
      </c>
      <c r="C1686" s="6">
        <f>IFERROR(__xludf.DUMMYFUNCTION("""COMPUTED_VALUE"""),0.438)</f>
        <v>0.438</v>
      </c>
      <c r="D1686" s="2">
        <f>IFERROR(__xludf.DUMMYFUNCTION("""COMPUTED_VALUE"""),0.002210648148148148)</f>
        <v>0.002210648148</v>
      </c>
      <c r="E1686" s="1">
        <f>IFERROR(__xludf.DUMMYFUNCTION("""COMPUTED_VALUE"""),1.14)</f>
        <v>1.14</v>
      </c>
      <c r="F1686" s="1">
        <f>IFERROR(__xludf.DUMMYFUNCTION("""COMPUTED_VALUE"""),4.87)</f>
        <v>4.87</v>
      </c>
      <c r="G1686" s="5">
        <f>IFERROR(__xludf.DUMMYFUNCTION("""COMPUTED_VALUE"""),9262.0)</f>
        <v>9262</v>
      </c>
      <c r="H1686" s="5">
        <f>IFERROR(__xludf.DUMMYFUNCTION("""COMPUTED_VALUE"""),1902.0)</f>
        <v>1902</v>
      </c>
    </row>
    <row r="1687">
      <c r="A1687" s="4">
        <f>IFERROR(__xludf.DUMMYFUNCTION("""COMPUTED_VALUE"""),44055.0)</f>
        <v>44055</v>
      </c>
      <c r="B1687" s="5">
        <f>IFERROR(__xludf.DUMMYFUNCTION("""COMPUTED_VALUE"""),1597.0)</f>
        <v>1597</v>
      </c>
      <c r="C1687" s="6">
        <f>IFERROR(__xludf.DUMMYFUNCTION("""COMPUTED_VALUE"""),0.4181)</f>
        <v>0.4181</v>
      </c>
      <c r="D1687" s="2">
        <f>IFERROR(__xludf.DUMMYFUNCTION("""COMPUTED_VALUE"""),0.0024652777777777776)</f>
        <v>0.002465277778</v>
      </c>
      <c r="E1687" s="1">
        <f>IFERROR(__xludf.DUMMYFUNCTION("""COMPUTED_VALUE"""),1.17)</f>
        <v>1.17</v>
      </c>
      <c r="F1687" s="1">
        <f>IFERROR(__xludf.DUMMYFUNCTION("""COMPUTED_VALUE"""),5.57)</f>
        <v>5.57</v>
      </c>
      <c r="G1687" s="5">
        <f>IFERROR(__xludf.DUMMYFUNCTION("""COMPUTED_VALUE"""),10358.0)</f>
        <v>10358</v>
      </c>
      <c r="H1687" s="5">
        <f>IFERROR(__xludf.DUMMYFUNCTION("""COMPUTED_VALUE"""),1861.0)</f>
        <v>1861</v>
      </c>
    </row>
    <row r="1688">
      <c r="A1688" s="4">
        <f>IFERROR(__xludf.DUMMYFUNCTION("""COMPUTED_VALUE"""),44056.0)</f>
        <v>44056</v>
      </c>
      <c r="B1688" s="5">
        <f>IFERROR(__xludf.DUMMYFUNCTION("""COMPUTED_VALUE"""),1514.0)</f>
        <v>1514</v>
      </c>
      <c r="C1688" s="6">
        <f>IFERROR(__xludf.DUMMYFUNCTION("""COMPUTED_VALUE"""),0.3122)</f>
        <v>0.3122</v>
      </c>
      <c r="D1688" s="2">
        <f>IFERROR(__xludf.DUMMYFUNCTION("""COMPUTED_VALUE"""),0.0029976851851851853)</f>
        <v>0.002997685185</v>
      </c>
      <c r="E1688" s="1">
        <f>IFERROR(__xludf.DUMMYFUNCTION("""COMPUTED_VALUE"""),1.15)</f>
        <v>1.15</v>
      </c>
      <c r="F1688" s="1">
        <f>IFERROR(__xludf.DUMMYFUNCTION("""COMPUTED_VALUE"""),6.31)</f>
        <v>6.31</v>
      </c>
      <c r="G1688" s="5">
        <f>IFERROR(__xludf.DUMMYFUNCTION("""COMPUTED_VALUE"""),10956.0)</f>
        <v>10956</v>
      </c>
      <c r="H1688" s="5">
        <f>IFERROR(__xludf.DUMMYFUNCTION("""COMPUTED_VALUE"""),1736.0)</f>
        <v>1736</v>
      </c>
    </row>
    <row r="1689">
      <c r="A1689" s="4">
        <f>IFERROR(__xludf.DUMMYFUNCTION("""COMPUTED_VALUE"""),44057.0)</f>
        <v>44057</v>
      </c>
      <c r="B1689" s="5">
        <f>IFERROR(__xludf.DUMMYFUNCTION("""COMPUTED_VALUE"""),1389.0)</f>
        <v>1389</v>
      </c>
      <c r="C1689" s="6">
        <f>IFERROR(__xludf.DUMMYFUNCTION("""COMPUTED_VALUE"""),0.4089)</f>
        <v>0.4089</v>
      </c>
      <c r="D1689" s="2">
        <f>IFERROR(__xludf.DUMMYFUNCTION("""COMPUTED_VALUE"""),0.003275462962962963)</f>
        <v>0.003275462963</v>
      </c>
      <c r="E1689" s="1">
        <f>IFERROR(__xludf.DUMMYFUNCTION("""COMPUTED_VALUE"""),1.15)</f>
        <v>1.15</v>
      </c>
      <c r="F1689" s="1">
        <f>IFERROR(__xludf.DUMMYFUNCTION("""COMPUTED_VALUE"""),5.94)</f>
        <v>5.94</v>
      </c>
      <c r="G1689" s="5">
        <f>IFERROR(__xludf.DUMMYFUNCTION("""COMPUTED_VALUE"""),9484.0)</f>
        <v>9484</v>
      </c>
      <c r="H1689" s="5">
        <f>IFERROR(__xludf.DUMMYFUNCTION("""COMPUTED_VALUE"""),1597.0)</f>
        <v>1597</v>
      </c>
    </row>
    <row r="1690">
      <c r="A1690" s="4">
        <f>IFERROR(__xludf.DUMMYFUNCTION("""COMPUTED_VALUE"""),44058.0)</f>
        <v>44058</v>
      </c>
      <c r="B1690" s="1">
        <f>IFERROR(__xludf.DUMMYFUNCTION("""COMPUTED_VALUE"""),930.0)</f>
        <v>930</v>
      </c>
      <c r="C1690" s="6">
        <f>IFERROR(__xludf.DUMMYFUNCTION("""COMPUTED_VALUE"""),0.45)</f>
        <v>0.45</v>
      </c>
      <c r="D1690" s="2">
        <f>IFERROR(__xludf.DUMMYFUNCTION("""COMPUTED_VALUE"""),0.002199074074074074)</f>
        <v>0.002199074074</v>
      </c>
      <c r="E1690" s="1">
        <f>IFERROR(__xludf.DUMMYFUNCTION("""COMPUTED_VALUE"""),1.19)</f>
        <v>1.19</v>
      </c>
      <c r="F1690" s="1">
        <f>IFERROR(__xludf.DUMMYFUNCTION("""COMPUTED_VALUE"""),5.2)</f>
        <v>5.2</v>
      </c>
      <c r="G1690" s="5">
        <f>IFERROR(__xludf.DUMMYFUNCTION("""COMPUTED_VALUE"""),5776.0)</f>
        <v>5776</v>
      </c>
      <c r="H1690" s="5">
        <f>IFERROR(__xludf.DUMMYFUNCTION("""COMPUTED_VALUE"""),1111.0)</f>
        <v>1111</v>
      </c>
    </row>
    <row r="1691">
      <c r="A1691" s="4">
        <f>IFERROR(__xludf.DUMMYFUNCTION("""COMPUTED_VALUE"""),44059.0)</f>
        <v>44059</v>
      </c>
      <c r="B1691" s="1">
        <f>IFERROR(__xludf.DUMMYFUNCTION("""COMPUTED_VALUE"""),778.0)</f>
        <v>778</v>
      </c>
      <c r="C1691" s="6">
        <f>IFERROR(__xludf.DUMMYFUNCTION("""COMPUTED_VALUE"""),0.4308)</f>
        <v>0.4308</v>
      </c>
      <c r="D1691" s="2">
        <f>IFERROR(__xludf.DUMMYFUNCTION("""COMPUTED_VALUE"""),0.001574074074074074)</f>
        <v>0.001574074074</v>
      </c>
      <c r="E1691" s="1">
        <f>IFERROR(__xludf.DUMMYFUNCTION("""COMPUTED_VALUE"""),1.16)</f>
        <v>1.16</v>
      </c>
      <c r="F1691" s="1">
        <f>IFERROR(__xludf.DUMMYFUNCTION("""COMPUTED_VALUE"""),4.72)</f>
        <v>4.72</v>
      </c>
      <c r="G1691" s="5">
        <f>IFERROR(__xludf.DUMMYFUNCTION("""COMPUTED_VALUE"""),4263.0)</f>
        <v>4263</v>
      </c>
      <c r="H1691" s="1">
        <f>IFERROR(__xludf.DUMMYFUNCTION("""COMPUTED_VALUE"""),903.0)</f>
        <v>903</v>
      </c>
    </row>
    <row r="1692">
      <c r="A1692" s="4">
        <f>IFERROR(__xludf.DUMMYFUNCTION("""COMPUTED_VALUE"""),44060.0)</f>
        <v>44060</v>
      </c>
      <c r="B1692" s="5">
        <f>IFERROR(__xludf.DUMMYFUNCTION("""COMPUTED_VALUE"""),1625.0)</f>
        <v>1625</v>
      </c>
      <c r="C1692" s="6">
        <f>IFERROR(__xludf.DUMMYFUNCTION("""COMPUTED_VALUE"""),0.4031)</f>
        <v>0.4031</v>
      </c>
      <c r="D1692" s="2">
        <f>IFERROR(__xludf.DUMMYFUNCTION("""COMPUTED_VALUE"""),0.0016087962962962963)</f>
        <v>0.001608796296</v>
      </c>
      <c r="E1692" s="1">
        <f>IFERROR(__xludf.DUMMYFUNCTION("""COMPUTED_VALUE"""),1.1)</f>
        <v>1.1</v>
      </c>
      <c r="F1692" s="1">
        <f>IFERROR(__xludf.DUMMYFUNCTION("""COMPUTED_VALUE"""),4.7)</f>
        <v>4.7</v>
      </c>
      <c r="G1692" s="5">
        <f>IFERROR(__xludf.DUMMYFUNCTION("""COMPUTED_VALUE"""),8415.0)</f>
        <v>8415</v>
      </c>
      <c r="H1692" s="5">
        <f>IFERROR(__xludf.DUMMYFUNCTION("""COMPUTED_VALUE"""),1791.0)</f>
        <v>1791</v>
      </c>
    </row>
    <row r="1693">
      <c r="A1693" s="4">
        <f>IFERROR(__xludf.DUMMYFUNCTION("""COMPUTED_VALUE"""),44061.0)</f>
        <v>44061</v>
      </c>
      <c r="B1693" s="5">
        <f>IFERROR(__xludf.DUMMYFUNCTION("""COMPUTED_VALUE"""),1458.0)</f>
        <v>1458</v>
      </c>
      <c r="C1693" s="6">
        <f>IFERROR(__xludf.DUMMYFUNCTION("""COMPUTED_VALUE"""),0.3804)</f>
        <v>0.3804</v>
      </c>
      <c r="D1693" s="2">
        <f>IFERROR(__xludf.DUMMYFUNCTION("""COMPUTED_VALUE"""),0.003761574074074074)</f>
        <v>0.003761574074</v>
      </c>
      <c r="E1693" s="1">
        <f>IFERROR(__xludf.DUMMYFUNCTION("""COMPUTED_VALUE"""),1.15)</f>
        <v>1.15</v>
      </c>
      <c r="F1693" s="1">
        <f>IFERROR(__xludf.DUMMYFUNCTION("""COMPUTED_VALUE"""),7.42)</f>
        <v>7.42</v>
      </c>
      <c r="G1693" s="5">
        <f>IFERROR(__xludf.DUMMYFUNCTION("""COMPUTED_VALUE"""),12469.0)</f>
        <v>12469</v>
      </c>
      <c r="H1693" s="5">
        <f>IFERROR(__xludf.DUMMYFUNCTION("""COMPUTED_VALUE"""),1680.0)</f>
        <v>1680</v>
      </c>
    </row>
    <row r="1694">
      <c r="A1694" s="4">
        <f>IFERROR(__xludf.DUMMYFUNCTION("""COMPUTED_VALUE"""),44062.0)</f>
        <v>44062</v>
      </c>
      <c r="B1694" s="5">
        <f>IFERROR(__xludf.DUMMYFUNCTION("""COMPUTED_VALUE"""),2180.0)</f>
        <v>2180</v>
      </c>
      <c r="C1694" s="6">
        <f>IFERROR(__xludf.DUMMYFUNCTION("""COMPUTED_VALUE"""),0.4047)</f>
        <v>0.4047</v>
      </c>
      <c r="D1694" s="2">
        <f>IFERROR(__xludf.DUMMYFUNCTION("""COMPUTED_VALUE"""),0.0023032407407407407)</f>
        <v>0.002303240741</v>
      </c>
      <c r="E1694" s="1">
        <f>IFERROR(__xludf.DUMMYFUNCTION("""COMPUTED_VALUE"""),1.1)</f>
        <v>1.1</v>
      </c>
      <c r="F1694" s="1">
        <f>IFERROR(__xludf.DUMMYFUNCTION("""COMPUTED_VALUE"""),5.65)</f>
        <v>5.65</v>
      </c>
      <c r="G1694" s="5">
        <f>IFERROR(__xludf.DUMMYFUNCTION("""COMPUTED_VALUE"""),13580.0)</f>
        <v>13580</v>
      </c>
      <c r="H1694" s="5">
        <f>IFERROR(__xludf.DUMMYFUNCTION("""COMPUTED_VALUE"""),2402.0)</f>
        <v>2402</v>
      </c>
    </row>
    <row r="1695">
      <c r="A1695" s="4">
        <f>IFERROR(__xludf.DUMMYFUNCTION("""COMPUTED_VALUE"""),44063.0)</f>
        <v>44063</v>
      </c>
      <c r="B1695" s="5">
        <f>IFERROR(__xludf.DUMMYFUNCTION("""COMPUTED_VALUE"""),1527.0)</f>
        <v>1527</v>
      </c>
      <c r="C1695" s="6">
        <f>IFERROR(__xludf.DUMMYFUNCTION("""COMPUTED_VALUE"""),0.4015)</f>
        <v>0.4015</v>
      </c>
      <c r="D1695" s="2">
        <f>IFERROR(__xludf.DUMMYFUNCTION("""COMPUTED_VALUE"""),0.0021296296296296298)</f>
        <v>0.00212962963</v>
      </c>
      <c r="E1695" s="1">
        <f>IFERROR(__xludf.DUMMYFUNCTION("""COMPUTED_VALUE"""),1.2)</f>
        <v>1.2</v>
      </c>
      <c r="F1695" s="1">
        <f>IFERROR(__xludf.DUMMYFUNCTION("""COMPUTED_VALUE"""),4.52)</f>
        <v>4.52</v>
      </c>
      <c r="G1695" s="5">
        <f>IFERROR(__xludf.DUMMYFUNCTION("""COMPUTED_VALUE"""),8290.0)</f>
        <v>8290</v>
      </c>
      <c r="H1695" s="5">
        <f>IFERROR(__xludf.DUMMYFUNCTION("""COMPUTED_VALUE"""),1833.0)</f>
        <v>1833</v>
      </c>
    </row>
    <row r="1696">
      <c r="A1696" s="4">
        <f>IFERROR(__xludf.DUMMYFUNCTION("""COMPUTED_VALUE"""),44064.0)</f>
        <v>44064</v>
      </c>
      <c r="B1696" s="5">
        <f>IFERROR(__xludf.DUMMYFUNCTION("""COMPUTED_VALUE"""),1444.0)</f>
        <v>1444</v>
      </c>
      <c r="C1696" s="6">
        <f>IFERROR(__xludf.DUMMYFUNCTION("""COMPUTED_VALUE"""),0.4521)</f>
        <v>0.4521</v>
      </c>
      <c r="D1696" s="2">
        <f>IFERROR(__xludf.DUMMYFUNCTION("""COMPUTED_VALUE"""),0.002523148148148148)</f>
        <v>0.002523148148</v>
      </c>
      <c r="E1696" s="1">
        <f>IFERROR(__xludf.DUMMYFUNCTION("""COMPUTED_VALUE"""),1.11)</f>
        <v>1.11</v>
      </c>
      <c r="F1696" s="1">
        <f>IFERROR(__xludf.DUMMYFUNCTION("""COMPUTED_VALUE"""),5.89)</f>
        <v>5.89</v>
      </c>
      <c r="G1696" s="5">
        <f>IFERROR(__xludf.DUMMYFUNCTION("""COMPUTED_VALUE"""),9414.0)</f>
        <v>9414</v>
      </c>
      <c r="H1696" s="5">
        <f>IFERROR(__xludf.DUMMYFUNCTION("""COMPUTED_VALUE"""),1597.0)</f>
        <v>1597</v>
      </c>
    </row>
    <row r="1697">
      <c r="A1697" s="4">
        <f>IFERROR(__xludf.DUMMYFUNCTION("""COMPUTED_VALUE"""),44065.0)</f>
        <v>44065</v>
      </c>
      <c r="B1697" s="1">
        <f>IFERROR(__xludf.DUMMYFUNCTION("""COMPUTED_VALUE"""),889.0)</f>
        <v>889</v>
      </c>
      <c r="C1697" s="6">
        <f>IFERROR(__xludf.DUMMYFUNCTION("""COMPUTED_VALUE"""),0.5764)</f>
        <v>0.5764</v>
      </c>
      <c r="D1697" s="2">
        <f>IFERROR(__xludf.DUMMYFUNCTION("""COMPUTED_VALUE"""),8.217592592592593E-4)</f>
        <v>0.0008217592593</v>
      </c>
      <c r="E1697" s="1">
        <f>IFERROR(__xludf.DUMMYFUNCTION("""COMPUTED_VALUE"""),1.03)</f>
        <v>1.03</v>
      </c>
      <c r="F1697" s="1">
        <f>IFERROR(__xludf.DUMMYFUNCTION("""COMPUTED_VALUE"""),3.05)</f>
        <v>3.05</v>
      </c>
      <c r="G1697" s="5">
        <f>IFERROR(__xludf.DUMMYFUNCTION("""COMPUTED_VALUE"""),2791.0)</f>
        <v>2791</v>
      </c>
      <c r="H1697" s="1">
        <f>IFERROR(__xludf.DUMMYFUNCTION("""COMPUTED_VALUE"""),916.0)</f>
        <v>916</v>
      </c>
    </row>
    <row r="1698">
      <c r="A1698" s="4">
        <f>IFERROR(__xludf.DUMMYFUNCTION("""COMPUTED_VALUE"""),44066.0)</f>
        <v>44066</v>
      </c>
      <c r="B1698" s="1">
        <f>IFERROR(__xludf.DUMMYFUNCTION("""COMPUTED_VALUE"""),903.0)</f>
        <v>903</v>
      </c>
      <c r="C1698" s="6">
        <f>IFERROR(__xludf.DUMMYFUNCTION("""COMPUTED_VALUE"""),0.514)</f>
        <v>0.514</v>
      </c>
      <c r="D1698" s="2">
        <f>IFERROR(__xludf.DUMMYFUNCTION("""COMPUTED_VALUE"""),0.0022337962962962962)</f>
        <v>0.002233796296</v>
      </c>
      <c r="E1698" s="1">
        <f>IFERROR(__xludf.DUMMYFUNCTION("""COMPUTED_VALUE"""),1.11)</f>
        <v>1.11</v>
      </c>
      <c r="F1698" s="1">
        <f>IFERROR(__xludf.DUMMYFUNCTION("""COMPUTED_VALUE"""),4.1)</f>
        <v>4.1</v>
      </c>
      <c r="G1698" s="5">
        <f>IFERROR(__xludf.DUMMYFUNCTION("""COMPUTED_VALUE"""),4096.0)</f>
        <v>4096</v>
      </c>
      <c r="H1698" s="5">
        <f>IFERROR(__xludf.DUMMYFUNCTION("""COMPUTED_VALUE"""),1000.0)</f>
        <v>1000</v>
      </c>
    </row>
    <row r="1699">
      <c r="A1699" s="4">
        <f>IFERROR(__xludf.DUMMYFUNCTION("""COMPUTED_VALUE"""),44067.0)</f>
        <v>44067</v>
      </c>
      <c r="B1699" s="5">
        <f>IFERROR(__xludf.DUMMYFUNCTION("""COMPUTED_VALUE"""),1333.0)</f>
        <v>1333</v>
      </c>
      <c r="C1699" s="6">
        <f>IFERROR(__xludf.DUMMYFUNCTION("""COMPUTED_VALUE"""),0.467)</f>
        <v>0.467</v>
      </c>
      <c r="D1699" s="2">
        <f>IFERROR(__xludf.DUMMYFUNCTION("""COMPUTED_VALUE"""),0.0021412037037037038)</f>
        <v>0.002141203704</v>
      </c>
      <c r="E1699" s="1">
        <f>IFERROR(__xludf.DUMMYFUNCTION("""COMPUTED_VALUE"""),1.11)</f>
        <v>1.11</v>
      </c>
      <c r="F1699" s="1">
        <f>IFERROR(__xludf.DUMMYFUNCTION("""COMPUTED_VALUE"""),4.4)</f>
        <v>4.4</v>
      </c>
      <c r="G1699" s="5">
        <f>IFERROR(__xludf.DUMMYFUNCTION("""COMPUTED_VALUE"""),6540.0)</f>
        <v>6540</v>
      </c>
      <c r="H1699" s="5">
        <f>IFERROR(__xludf.DUMMYFUNCTION("""COMPUTED_VALUE"""),1486.0)</f>
        <v>1486</v>
      </c>
    </row>
    <row r="1700">
      <c r="A1700" s="4">
        <f>IFERROR(__xludf.DUMMYFUNCTION("""COMPUTED_VALUE"""),44068.0)</f>
        <v>44068</v>
      </c>
      <c r="B1700" s="5">
        <f>IFERROR(__xludf.DUMMYFUNCTION("""COMPUTED_VALUE"""),1430.0)</f>
        <v>1430</v>
      </c>
      <c r="C1700" s="6">
        <f>IFERROR(__xludf.DUMMYFUNCTION("""COMPUTED_VALUE"""),0.3914)</f>
        <v>0.3914</v>
      </c>
      <c r="D1700" s="2">
        <f>IFERROR(__xludf.DUMMYFUNCTION("""COMPUTED_VALUE"""),0.0023148148148148147)</f>
        <v>0.002314814815</v>
      </c>
      <c r="E1700" s="1">
        <f>IFERROR(__xludf.DUMMYFUNCTION("""COMPUTED_VALUE"""),1.12)</f>
        <v>1.12</v>
      </c>
      <c r="F1700" s="1">
        <f>IFERROR(__xludf.DUMMYFUNCTION("""COMPUTED_VALUE"""),5.03)</f>
        <v>5.03</v>
      </c>
      <c r="G1700" s="5">
        <f>IFERROR(__xludf.DUMMYFUNCTION("""COMPUTED_VALUE"""),8040.0)</f>
        <v>8040</v>
      </c>
      <c r="H1700" s="5">
        <f>IFERROR(__xludf.DUMMYFUNCTION("""COMPUTED_VALUE"""),1597.0)</f>
        <v>1597</v>
      </c>
    </row>
    <row r="1701">
      <c r="A1701" s="4">
        <f>IFERROR(__xludf.DUMMYFUNCTION("""COMPUTED_VALUE"""),44069.0)</f>
        <v>44069</v>
      </c>
      <c r="B1701" s="5">
        <f>IFERROR(__xludf.DUMMYFUNCTION("""COMPUTED_VALUE"""),1486.0)</f>
        <v>1486</v>
      </c>
      <c r="C1701" s="6">
        <f>IFERROR(__xludf.DUMMYFUNCTION("""COMPUTED_VALUE"""),0.3792)</f>
        <v>0.3792</v>
      </c>
      <c r="D1701" s="2">
        <f>IFERROR(__xludf.DUMMYFUNCTION("""COMPUTED_VALUE"""),0.0015277777777777779)</f>
        <v>0.001527777778</v>
      </c>
      <c r="E1701" s="1">
        <f>IFERROR(__xludf.DUMMYFUNCTION("""COMPUTED_VALUE"""),1.16)</f>
        <v>1.16</v>
      </c>
      <c r="F1701" s="1">
        <f>IFERROR(__xludf.DUMMYFUNCTION("""COMPUTED_VALUE"""),5.02)</f>
        <v>5.02</v>
      </c>
      <c r="G1701" s="5">
        <f>IFERROR(__xludf.DUMMYFUNCTION("""COMPUTED_VALUE"""),8651.0)</f>
        <v>8651</v>
      </c>
      <c r="H1701" s="5">
        <f>IFERROR(__xludf.DUMMYFUNCTION("""COMPUTED_VALUE"""),1722.0)</f>
        <v>1722</v>
      </c>
    </row>
    <row r="1702">
      <c r="A1702" s="4">
        <f>IFERROR(__xludf.DUMMYFUNCTION("""COMPUTED_VALUE"""),44070.0)</f>
        <v>44070</v>
      </c>
      <c r="B1702" s="5">
        <f>IFERROR(__xludf.DUMMYFUNCTION("""COMPUTED_VALUE"""),1541.0)</f>
        <v>1541</v>
      </c>
      <c r="C1702" s="6">
        <f>IFERROR(__xludf.DUMMYFUNCTION("""COMPUTED_VALUE"""),0.3786)</f>
        <v>0.3786</v>
      </c>
      <c r="D1702" s="2">
        <f>IFERROR(__xludf.DUMMYFUNCTION("""COMPUTED_VALUE"""),0.002534722222222222)</f>
        <v>0.002534722222</v>
      </c>
      <c r="E1702" s="1">
        <f>IFERROR(__xludf.DUMMYFUNCTION("""COMPUTED_VALUE"""),1.19)</f>
        <v>1.19</v>
      </c>
      <c r="F1702" s="1">
        <f>IFERROR(__xludf.DUMMYFUNCTION("""COMPUTED_VALUE"""),8.2)</f>
        <v>8.2</v>
      </c>
      <c r="G1702" s="5">
        <f>IFERROR(__xludf.DUMMYFUNCTION("""COMPUTED_VALUE"""),15024.0)</f>
        <v>15024</v>
      </c>
      <c r="H1702" s="5">
        <f>IFERROR(__xludf.DUMMYFUNCTION("""COMPUTED_VALUE"""),1833.0)</f>
        <v>1833</v>
      </c>
    </row>
    <row r="1703">
      <c r="A1703" s="4">
        <f>IFERROR(__xludf.DUMMYFUNCTION("""COMPUTED_VALUE"""),44071.0)</f>
        <v>44071</v>
      </c>
      <c r="B1703" s="5">
        <f>IFERROR(__xludf.DUMMYFUNCTION("""COMPUTED_VALUE"""),1250.0)</f>
        <v>1250</v>
      </c>
      <c r="C1703" s="6">
        <f>IFERROR(__xludf.DUMMYFUNCTION("""COMPUTED_VALUE"""),0.3566)</f>
        <v>0.3566</v>
      </c>
      <c r="D1703" s="2">
        <f>IFERROR(__xludf.DUMMYFUNCTION("""COMPUTED_VALUE"""),0.0024305555555555556)</f>
        <v>0.002430555556</v>
      </c>
      <c r="E1703" s="1">
        <f>IFERROR(__xludf.DUMMYFUNCTION("""COMPUTED_VALUE"""),1.12)</f>
        <v>1.12</v>
      </c>
      <c r="F1703" s="1">
        <f>IFERROR(__xludf.DUMMYFUNCTION("""COMPUTED_VALUE"""),5.93)</f>
        <v>5.93</v>
      </c>
      <c r="G1703" s="5">
        <f>IFERROR(__xludf.DUMMYFUNCTION("""COMPUTED_VALUE"""),8317.0)</f>
        <v>8317</v>
      </c>
      <c r="H1703" s="5">
        <f>IFERROR(__xludf.DUMMYFUNCTION("""COMPUTED_VALUE"""),1402.0)</f>
        <v>1402</v>
      </c>
    </row>
    <row r="1704">
      <c r="A1704" s="4">
        <f>IFERROR(__xludf.DUMMYFUNCTION("""COMPUTED_VALUE"""),44072.0)</f>
        <v>44072</v>
      </c>
      <c r="B1704" s="1">
        <f>IFERROR(__xludf.DUMMYFUNCTION("""COMPUTED_VALUE"""),889.0)</f>
        <v>889</v>
      </c>
      <c r="C1704" s="6">
        <f>IFERROR(__xludf.DUMMYFUNCTION("""COMPUTED_VALUE"""),0.4503)</f>
        <v>0.4503</v>
      </c>
      <c r="D1704" s="2">
        <f>IFERROR(__xludf.DUMMYFUNCTION("""COMPUTED_VALUE"""),0.0015972222222222223)</f>
        <v>0.001597222222</v>
      </c>
      <c r="E1704" s="1">
        <f>IFERROR(__xludf.DUMMYFUNCTION("""COMPUTED_VALUE"""),1.11)</f>
        <v>1.11</v>
      </c>
      <c r="F1704" s="1">
        <f>IFERROR(__xludf.DUMMYFUNCTION("""COMPUTED_VALUE"""),3.32)</f>
        <v>3.32</v>
      </c>
      <c r="G1704" s="5">
        <f>IFERROR(__xludf.DUMMYFUNCTION("""COMPUTED_VALUE"""),3277.0)</f>
        <v>3277</v>
      </c>
      <c r="H1704" s="1">
        <f>IFERROR(__xludf.DUMMYFUNCTION("""COMPUTED_VALUE"""),986.0)</f>
        <v>986</v>
      </c>
    </row>
    <row r="1705">
      <c r="A1705" s="4">
        <f>IFERROR(__xludf.DUMMYFUNCTION("""COMPUTED_VALUE"""),44073.0)</f>
        <v>44073</v>
      </c>
      <c r="B1705" s="1">
        <f>IFERROR(__xludf.DUMMYFUNCTION("""COMPUTED_VALUE"""),972.0)</f>
        <v>972</v>
      </c>
      <c r="C1705" s="6">
        <f>IFERROR(__xludf.DUMMYFUNCTION("""COMPUTED_VALUE"""),0.4488)</f>
        <v>0.4488</v>
      </c>
      <c r="D1705" s="2">
        <f>IFERROR(__xludf.DUMMYFUNCTION("""COMPUTED_VALUE"""),0.0021875)</f>
        <v>0.0021875</v>
      </c>
      <c r="E1705" s="1">
        <f>IFERROR(__xludf.DUMMYFUNCTION("""COMPUTED_VALUE"""),1.11)</f>
        <v>1.11</v>
      </c>
      <c r="F1705" s="1">
        <f>IFERROR(__xludf.DUMMYFUNCTION("""COMPUTED_VALUE"""),3.96)</f>
        <v>3.96</v>
      </c>
      <c r="G1705" s="5">
        <f>IFERROR(__xludf.DUMMYFUNCTION("""COMPUTED_VALUE"""),4291.0)</f>
        <v>4291</v>
      </c>
      <c r="H1705" s="5">
        <f>IFERROR(__xludf.DUMMYFUNCTION("""COMPUTED_VALUE"""),1083.0)</f>
        <v>1083</v>
      </c>
    </row>
    <row r="1706">
      <c r="A1706" s="4">
        <f>IFERROR(__xludf.DUMMYFUNCTION("""COMPUTED_VALUE"""),44074.0)</f>
        <v>44074</v>
      </c>
      <c r="B1706" s="5">
        <f>IFERROR(__xludf.DUMMYFUNCTION("""COMPUTED_VALUE"""),1389.0)</f>
        <v>1389</v>
      </c>
      <c r="C1706" s="6">
        <f>IFERROR(__xludf.DUMMYFUNCTION("""COMPUTED_VALUE"""),0.3667)</f>
        <v>0.3667</v>
      </c>
      <c r="D1706" s="2">
        <f>IFERROR(__xludf.DUMMYFUNCTION("""COMPUTED_VALUE"""),0.0021875)</f>
        <v>0.0021875</v>
      </c>
      <c r="E1706" s="1">
        <f>IFERROR(__xludf.DUMMYFUNCTION("""COMPUTED_VALUE"""),1.2)</f>
        <v>1.2</v>
      </c>
      <c r="F1706" s="1">
        <f>IFERROR(__xludf.DUMMYFUNCTION("""COMPUTED_VALUE"""),4.73)</f>
        <v>4.73</v>
      </c>
      <c r="G1706" s="5">
        <f>IFERROR(__xludf.DUMMYFUNCTION("""COMPUTED_VALUE"""),7887.0)</f>
        <v>7887</v>
      </c>
      <c r="H1706" s="5">
        <f>IFERROR(__xludf.DUMMYFUNCTION("""COMPUTED_VALUE"""),1666.0)</f>
        <v>1666</v>
      </c>
    </row>
    <row r="1707">
      <c r="A1707" s="4">
        <f>IFERROR(__xludf.DUMMYFUNCTION("""COMPUTED_VALUE"""),44075.0)</f>
        <v>44075</v>
      </c>
      <c r="B1707" s="5">
        <f>IFERROR(__xludf.DUMMYFUNCTION("""COMPUTED_VALUE"""),1389.0)</f>
        <v>1389</v>
      </c>
      <c r="C1707" s="6">
        <f>IFERROR(__xludf.DUMMYFUNCTION("""COMPUTED_VALUE"""),0.4861)</f>
        <v>0.4861</v>
      </c>
      <c r="D1707" s="2">
        <f>IFERROR(__xludf.DUMMYFUNCTION("""COMPUTED_VALUE"""),0.0015277777777777779)</f>
        <v>0.001527777778</v>
      </c>
      <c r="E1707" s="1">
        <f>IFERROR(__xludf.DUMMYFUNCTION("""COMPUTED_VALUE"""),1.09)</f>
        <v>1.09</v>
      </c>
      <c r="F1707" s="1">
        <f>IFERROR(__xludf.DUMMYFUNCTION("""COMPUTED_VALUE"""),4.61)</f>
        <v>4.61</v>
      </c>
      <c r="G1707" s="5">
        <f>IFERROR(__xludf.DUMMYFUNCTION("""COMPUTED_VALUE"""),6984.0)</f>
        <v>6984</v>
      </c>
      <c r="H1707" s="5">
        <f>IFERROR(__xludf.DUMMYFUNCTION("""COMPUTED_VALUE"""),1514.0)</f>
        <v>1514</v>
      </c>
    </row>
    <row r="1708">
      <c r="A1708" s="4">
        <f>IFERROR(__xludf.DUMMYFUNCTION("""COMPUTED_VALUE"""),44076.0)</f>
        <v>44076</v>
      </c>
      <c r="B1708" s="5">
        <f>IFERROR(__xludf.DUMMYFUNCTION("""COMPUTED_VALUE"""),1541.0)</f>
        <v>1541</v>
      </c>
      <c r="C1708" s="6">
        <f>IFERROR(__xludf.DUMMYFUNCTION("""COMPUTED_VALUE"""),0.4145)</f>
        <v>0.4145</v>
      </c>
      <c r="D1708" s="2">
        <f>IFERROR(__xludf.DUMMYFUNCTION("""COMPUTED_VALUE"""),0.0023263888888888887)</f>
        <v>0.002326388889</v>
      </c>
      <c r="E1708" s="1">
        <f>IFERROR(__xludf.DUMMYFUNCTION("""COMPUTED_VALUE"""),1.11)</f>
        <v>1.11</v>
      </c>
      <c r="F1708" s="1">
        <f>IFERROR(__xludf.DUMMYFUNCTION("""COMPUTED_VALUE"""),4.63)</f>
        <v>4.63</v>
      </c>
      <c r="G1708" s="5">
        <f>IFERROR(__xludf.DUMMYFUNCTION("""COMPUTED_VALUE"""),7915.0)</f>
        <v>7915</v>
      </c>
      <c r="H1708" s="5">
        <f>IFERROR(__xludf.DUMMYFUNCTION("""COMPUTED_VALUE"""),1708.0)</f>
        <v>1708</v>
      </c>
    </row>
    <row r="1709">
      <c r="A1709" s="4">
        <f>IFERROR(__xludf.DUMMYFUNCTION("""COMPUTED_VALUE"""),44077.0)</f>
        <v>44077</v>
      </c>
      <c r="B1709" s="5">
        <f>IFERROR(__xludf.DUMMYFUNCTION("""COMPUTED_VALUE"""),1305.0)</f>
        <v>1305</v>
      </c>
      <c r="C1709" s="6">
        <f>IFERROR(__xludf.DUMMYFUNCTION("""COMPUTED_VALUE"""),0.3429)</f>
        <v>0.3429</v>
      </c>
      <c r="D1709" s="2">
        <f>IFERROR(__xludf.DUMMYFUNCTION("""COMPUTED_VALUE"""),0.0018981481481481482)</f>
        <v>0.001898148148</v>
      </c>
      <c r="E1709" s="1">
        <f>IFERROR(__xludf.DUMMYFUNCTION("""COMPUTED_VALUE"""),1.12)</f>
        <v>1.12</v>
      </c>
      <c r="F1709" s="1">
        <f>IFERROR(__xludf.DUMMYFUNCTION("""COMPUTED_VALUE"""),4.46)</f>
        <v>4.46</v>
      </c>
      <c r="G1709" s="5">
        <f>IFERROR(__xludf.DUMMYFUNCTION("""COMPUTED_VALUE"""),6498.0)</f>
        <v>6498</v>
      </c>
      <c r="H1709" s="5">
        <f>IFERROR(__xludf.DUMMYFUNCTION("""COMPUTED_VALUE"""),1458.0)</f>
        <v>1458</v>
      </c>
    </row>
    <row r="1710">
      <c r="A1710" s="4">
        <f>IFERROR(__xludf.DUMMYFUNCTION("""COMPUTED_VALUE"""),44078.0)</f>
        <v>44078</v>
      </c>
      <c r="B1710" s="5">
        <f>IFERROR(__xludf.DUMMYFUNCTION("""COMPUTED_VALUE"""),1028.0)</f>
        <v>1028</v>
      </c>
      <c r="C1710" s="6">
        <f>IFERROR(__xludf.DUMMYFUNCTION("""COMPUTED_VALUE"""),0.4705)</f>
        <v>0.4705</v>
      </c>
      <c r="D1710" s="2">
        <f>IFERROR(__xludf.DUMMYFUNCTION("""COMPUTED_VALUE"""),0.0016666666666666668)</f>
        <v>0.001666666667</v>
      </c>
      <c r="E1710" s="1">
        <f>IFERROR(__xludf.DUMMYFUNCTION("""COMPUTED_VALUE"""),1.12)</f>
        <v>1.12</v>
      </c>
      <c r="F1710" s="1">
        <f>IFERROR(__xludf.DUMMYFUNCTION("""COMPUTED_VALUE"""),4.76)</f>
        <v>4.76</v>
      </c>
      <c r="G1710" s="5">
        <f>IFERROR(__xludf.DUMMYFUNCTION("""COMPUTED_VALUE"""),5485.0)</f>
        <v>5485</v>
      </c>
      <c r="H1710" s="5">
        <f>IFERROR(__xludf.DUMMYFUNCTION("""COMPUTED_VALUE"""),1152.0)</f>
        <v>1152</v>
      </c>
    </row>
    <row r="1711">
      <c r="A1711" s="4">
        <f>IFERROR(__xludf.DUMMYFUNCTION("""COMPUTED_VALUE"""),44079.0)</f>
        <v>44079</v>
      </c>
      <c r="B1711" s="1">
        <f>IFERROR(__xludf.DUMMYFUNCTION("""COMPUTED_VALUE"""),847.0)</f>
        <v>847</v>
      </c>
      <c r="C1711" s="6">
        <f>IFERROR(__xludf.DUMMYFUNCTION("""COMPUTED_VALUE"""),0.5306)</f>
        <v>0.5306</v>
      </c>
      <c r="D1711" s="2">
        <f>IFERROR(__xludf.DUMMYFUNCTION("""COMPUTED_VALUE"""),0.0017824074074074075)</f>
        <v>0.001782407407</v>
      </c>
      <c r="E1711" s="1">
        <f>IFERROR(__xludf.DUMMYFUNCTION("""COMPUTED_VALUE"""),1.08)</f>
        <v>1.08</v>
      </c>
      <c r="F1711" s="1">
        <f>IFERROR(__xludf.DUMMYFUNCTION("""COMPUTED_VALUE"""),4.34)</f>
        <v>4.34</v>
      </c>
      <c r="G1711" s="5">
        <f>IFERROR(__xludf.DUMMYFUNCTION("""COMPUTED_VALUE"""),3971.0)</f>
        <v>3971</v>
      </c>
      <c r="H1711" s="1">
        <f>IFERROR(__xludf.DUMMYFUNCTION("""COMPUTED_VALUE"""),916.0)</f>
        <v>916</v>
      </c>
    </row>
    <row r="1712">
      <c r="A1712" s="4">
        <f>IFERROR(__xludf.DUMMYFUNCTION("""COMPUTED_VALUE"""),44080.0)</f>
        <v>44080</v>
      </c>
      <c r="B1712" s="1">
        <f>IFERROR(__xludf.DUMMYFUNCTION("""COMPUTED_VALUE"""),944.0)</f>
        <v>944</v>
      </c>
      <c r="C1712" s="6">
        <f>IFERROR(__xludf.DUMMYFUNCTION("""COMPUTED_VALUE"""),0.4056)</f>
        <v>0.4056</v>
      </c>
      <c r="D1712" s="2">
        <f>IFERROR(__xludf.DUMMYFUNCTION("""COMPUTED_VALUE"""),0.0024074074074074076)</f>
        <v>0.002407407407</v>
      </c>
      <c r="E1712" s="1">
        <f>IFERROR(__xludf.DUMMYFUNCTION("""COMPUTED_VALUE"""),1.09)</f>
        <v>1.09</v>
      </c>
      <c r="F1712" s="1">
        <f>IFERROR(__xludf.DUMMYFUNCTION("""COMPUTED_VALUE"""),5.89)</f>
        <v>5.89</v>
      </c>
      <c r="G1712" s="5">
        <f>IFERROR(__xludf.DUMMYFUNCTION("""COMPUTED_VALUE"""),6054.0)</f>
        <v>6054</v>
      </c>
      <c r="H1712" s="5">
        <f>IFERROR(__xludf.DUMMYFUNCTION("""COMPUTED_VALUE"""),1028.0)</f>
        <v>1028</v>
      </c>
    </row>
    <row r="1713">
      <c r="A1713" s="4">
        <f>IFERROR(__xludf.DUMMYFUNCTION("""COMPUTED_VALUE"""),44081.0)</f>
        <v>44081</v>
      </c>
      <c r="B1713" s="5">
        <f>IFERROR(__xludf.DUMMYFUNCTION("""COMPUTED_VALUE"""),1111.0)</f>
        <v>1111</v>
      </c>
      <c r="C1713" s="6">
        <f>IFERROR(__xludf.DUMMYFUNCTION("""COMPUTED_VALUE"""),0.4408)</f>
        <v>0.4408</v>
      </c>
      <c r="D1713" s="2">
        <f>IFERROR(__xludf.DUMMYFUNCTION("""COMPUTED_VALUE"""),0.001400462962962963)</f>
        <v>0.001400462963</v>
      </c>
      <c r="E1713" s="1">
        <f>IFERROR(__xludf.DUMMYFUNCTION("""COMPUTED_VALUE"""),1.05)</f>
        <v>1.05</v>
      </c>
      <c r="F1713" s="1">
        <f>IFERROR(__xludf.DUMMYFUNCTION("""COMPUTED_VALUE"""),3.88)</f>
        <v>3.88</v>
      </c>
      <c r="G1713" s="5">
        <f>IFERROR(__xludf.DUMMYFUNCTION("""COMPUTED_VALUE"""),4527.0)</f>
        <v>4527</v>
      </c>
      <c r="H1713" s="5">
        <f>IFERROR(__xludf.DUMMYFUNCTION("""COMPUTED_VALUE"""),1166.0)</f>
        <v>1166</v>
      </c>
    </row>
    <row r="1714">
      <c r="A1714" s="4">
        <f>IFERROR(__xludf.DUMMYFUNCTION("""COMPUTED_VALUE"""),44082.0)</f>
        <v>44082</v>
      </c>
      <c r="B1714" s="5">
        <f>IFERROR(__xludf.DUMMYFUNCTION("""COMPUTED_VALUE"""),1597.0)</f>
        <v>1597</v>
      </c>
      <c r="C1714" s="6">
        <f>IFERROR(__xludf.DUMMYFUNCTION("""COMPUTED_VALUE"""),0.3562)</f>
        <v>0.3562</v>
      </c>
      <c r="D1714" s="2">
        <f>IFERROR(__xludf.DUMMYFUNCTION("""COMPUTED_VALUE"""),0.002013888888888889)</f>
        <v>0.002013888889</v>
      </c>
      <c r="E1714" s="1">
        <f>IFERROR(__xludf.DUMMYFUNCTION("""COMPUTED_VALUE"""),1.15)</f>
        <v>1.15</v>
      </c>
      <c r="F1714" s="1">
        <f>IFERROR(__xludf.DUMMYFUNCTION("""COMPUTED_VALUE"""),5.7)</f>
        <v>5.7</v>
      </c>
      <c r="G1714" s="5">
        <f>IFERROR(__xludf.DUMMYFUNCTION("""COMPUTED_VALUE"""),10442.0)</f>
        <v>10442</v>
      </c>
      <c r="H1714" s="5">
        <f>IFERROR(__xludf.DUMMYFUNCTION("""COMPUTED_VALUE"""),1833.0)</f>
        <v>1833</v>
      </c>
    </row>
    <row r="1715">
      <c r="A1715" s="4">
        <f>IFERROR(__xludf.DUMMYFUNCTION("""COMPUTED_VALUE"""),44083.0)</f>
        <v>44083</v>
      </c>
      <c r="B1715" s="5">
        <f>IFERROR(__xludf.DUMMYFUNCTION("""COMPUTED_VALUE"""),1611.0)</f>
        <v>1611</v>
      </c>
      <c r="C1715" s="6">
        <f>IFERROR(__xludf.DUMMYFUNCTION("""COMPUTED_VALUE"""),0.4345)</f>
        <v>0.4345</v>
      </c>
      <c r="D1715" s="2">
        <f>IFERROR(__xludf.DUMMYFUNCTION("""COMPUTED_VALUE"""),0.0016666666666666668)</f>
        <v>0.001666666667</v>
      </c>
      <c r="E1715" s="1">
        <f>IFERROR(__xludf.DUMMYFUNCTION("""COMPUTED_VALUE"""),1.05)</f>
        <v>1.05</v>
      </c>
      <c r="F1715" s="1">
        <f>IFERROR(__xludf.DUMMYFUNCTION("""COMPUTED_VALUE"""),6.3)</f>
        <v>6.3</v>
      </c>
      <c r="G1715" s="5">
        <f>IFERROR(__xludf.DUMMYFUNCTION("""COMPUTED_VALUE"""),10664.0)</f>
        <v>10664</v>
      </c>
      <c r="H1715" s="5">
        <f>IFERROR(__xludf.DUMMYFUNCTION("""COMPUTED_VALUE"""),1694.0)</f>
        <v>1694</v>
      </c>
    </row>
    <row r="1716">
      <c r="A1716" s="4">
        <f>IFERROR(__xludf.DUMMYFUNCTION("""COMPUTED_VALUE"""),44084.0)</f>
        <v>44084</v>
      </c>
      <c r="B1716" s="5">
        <f>IFERROR(__xludf.DUMMYFUNCTION("""COMPUTED_VALUE"""),1805.0)</f>
        <v>1805</v>
      </c>
      <c r="C1716" s="6">
        <f>IFERROR(__xludf.DUMMYFUNCTION("""COMPUTED_VALUE"""),0.3973)</f>
        <v>0.3973</v>
      </c>
      <c r="D1716" s="2">
        <f>IFERROR(__xludf.DUMMYFUNCTION("""COMPUTED_VALUE"""),0.0038425925925925928)</f>
        <v>0.003842592593</v>
      </c>
      <c r="E1716" s="1">
        <f>IFERROR(__xludf.DUMMYFUNCTION("""COMPUTED_VALUE"""),1.08)</f>
        <v>1.08</v>
      </c>
      <c r="F1716" s="1">
        <f>IFERROR(__xludf.DUMMYFUNCTION("""COMPUTED_VALUE"""),6.52)</f>
        <v>6.52</v>
      </c>
      <c r="G1716" s="5">
        <f>IFERROR(__xludf.DUMMYFUNCTION("""COMPUTED_VALUE"""),12775.0)</f>
        <v>12775</v>
      </c>
      <c r="H1716" s="5">
        <f>IFERROR(__xludf.DUMMYFUNCTION("""COMPUTED_VALUE"""),1958.0)</f>
        <v>1958</v>
      </c>
    </row>
    <row r="1717">
      <c r="A1717" s="4">
        <f>IFERROR(__xludf.DUMMYFUNCTION("""COMPUTED_VALUE"""),44085.0)</f>
        <v>44085</v>
      </c>
      <c r="B1717" s="5">
        <f>IFERROR(__xludf.DUMMYFUNCTION("""COMPUTED_VALUE"""),1680.0)</f>
        <v>1680</v>
      </c>
      <c r="C1717" s="6">
        <f>IFERROR(__xludf.DUMMYFUNCTION("""COMPUTED_VALUE"""),0.4443)</f>
        <v>0.4443</v>
      </c>
      <c r="D1717" s="2">
        <f>IFERROR(__xludf.DUMMYFUNCTION("""COMPUTED_VALUE"""),0.002534722222222222)</f>
        <v>0.002534722222</v>
      </c>
      <c r="E1717" s="1">
        <f>IFERROR(__xludf.DUMMYFUNCTION("""COMPUTED_VALUE"""),1.12)</f>
        <v>1.12</v>
      </c>
      <c r="F1717" s="1">
        <f>IFERROR(__xludf.DUMMYFUNCTION("""COMPUTED_VALUE"""),5.95)</f>
        <v>5.95</v>
      </c>
      <c r="G1717" s="5">
        <f>IFERROR(__xludf.DUMMYFUNCTION("""COMPUTED_VALUE"""),11150.0)</f>
        <v>11150</v>
      </c>
      <c r="H1717" s="5">
        <f>IFERROR(__xludf.DUMMYFUNCTION("""COMPUTED_VALUE"""),1875.0)</f>
        <v>1875</v>
      </c>
    </row>
    <row r="1718">
      <c r="A1718" s="4">
        <f>IFERROR(__xludf.DUMMYFUNCTION("""COMPUTED_VALUE"""),44086.0)</f>
        <v>44086</v>
      </c>
      <c r="B1718" s="1">
        <f>IFERROR(__xludf.DUMMYFUNCTION("""COMPUTED_VALUE"""),986.0)</f>
        <v>986</v>
      </c>
      <c r="C1718" s="6">
        <f>IFERROR(__xludf.DUMMYFUNCTION("""COMPUTED_VALUE"""),0.4693)</f>
        <v>0.4693</v>
      </c>
      <c r="D1718" s="2">
        <f>IFERROR(__xludf.DUMMYFUNCTION("""COMPUTED_VALUE"""),0.0026157407407407405)</f>
        <v>0.002615740741</v>
      </c>
      <c r="E1718" s="1">
        <f>IFERROR(__xludf.DUMMYFUNCTION("""COMPUTED_VALUE"""),1.14)</f>
        <v>1.14</v>
      </c>
      <c r="F1718" s="1">
        <f>IFERROR(__xludf.DUMMYFUNCTION("""COMPUTED_VALUE"""),5.18)</f>
        <v>5.18</v>
      </c>
      <c r="G1718" s="5">
        <f>IFERROR(__xludf.DUMMYFUNCTION("""COMPUTED_VALUE"""),5832.0)</f>
        <v>5832</v>
      </c>
      <c r="H1718" s="5">
        <f>IFERROR(__xludf.DUMMYFUNCTION("""COMPUTED_VALUE"""),1125.0)</f>
        <v>1125</v>
      </c>
    </row>
    <row r="1719">
      <c r="A1719" s="4">
        <f>IFERROR(__xludf.DUMMYFUNCTION("""COMPUTED_VALUE"""),44087.0)</f>
        <v>44087</v>
      </c>
      <c r="B1719" s="5">
        <f>IFERROR(__xludf.DUMMYFUNCTION("""COMPUTED_VALUE"""),1097.0)</f>
        <v>1097</v>
      </c>
      <c r="C1719" s="6">
        <f>IFERROR(__xludf.DUMMYFUNCTION("""COMPUTED_VALUE"""),0.5701)</f>
        <v>0.5701</v>
      </c>
      <c r="D1719" s="2">
        <f>IFERROR(__xludf.DUMMYFUNCTION("""COMPUTED_VALUE"""),0.0024305555555555556)</f>
        <v>0.002430555556</v>
      </c>
      <c r="E1719" s="1">
        <f>IFERROR(__xludf.DUMMYFUNCTION("""COMPUTED_VALUE"""),1.18)</f>
        <v>1.18</v>
      </c>
      <c r="F1719" s="1">
        <f>IFERROR(__xludf.DUMMYFUNCTION("""COMPUTED_VALUE"""),3.39)</f>
        <v>3.39</v>
      </c>
      <c r="G1719" s="5">
        <f>IFERROR(__xludf.DUMMYFUNCTION("""COMPUTED_VALUE"""),4374.0)</f>
        <v>4374</v>
      </c>
      <c r="H1719" s="5">
        <f>IFERROR(__xludf.DUMMYFUNCTION("""COMPUTED_VALUE"""),1291.0)</f>
        <v>1291</v>
      </c>
    </row>
    <row r="1720">
      <c r="A1720" s="4">
        <f>IFERROR(__xludf.DUMMYFUNCTION("""COMPUTED_VALUE"""),44088.0)</f>
        <v>44088</v>
      </c>
      <c r="B1720" s="5">
        <f>IFERROR(__xludf.DUMMYFUNCTION("""COMPUTED_VALUE"""),1902.0)</f>
        <v>1902</v>
      </c>
      <c r="C1720" s="6">
        <f>IFERROR(__xludf.DUMMYFUNCTION("""COMPUTED_VALUE"""),0.4967)</f>
        <v>0.4967</v>
      </c>
      <c r="D1720" s="2">
        <f>IFERROR(__xludf.DUMMYFUNCTION("""COMPUTED_VALUE"""),0.001736111111111111)</f>
        <v>0.001736111111</v>
      </c>
      <c r="E1720" s="1">
        <f>IFERROR(__xludf.DUMMYFUNCTION("""COMPUTED_VALUE"""),1.12)</f>
        <v>1.12</v>
      </c>
      <c r="F1720" s="1">
        <f>IFERROR(__xludf.DUMMYFUNCTION("""COMPUTED_VALUE"""),4.05)</f>
        <v>4.05</v>
      </c>
      <c r="G1720" s="5">
        <f>IFERROR(__xludf.DUMMYFUNCTION("""COMPUTED_VALUE"""),8595.0)</f>
        <v>8595</v>
      </c>
      <c r="H1720" s="5">
        <f>IFERROR(__xludf.DUMMYFUNCTION("""COMPUTED_VALUE"""),2124.0)</f>
        <v>2124</v>
      </c>
    </row>
    <row r="1721">
      <c r="A1721" s="4">
        <f>IFERROR(__xludf.DUMMYFUNCTION("""COMPUTED_VALUE"""),44089.0)</f>
        <v>44089</v>
      </c>
      <c r="B1721" s="5">
        <f>IFERROR(__xludf.DUMMYFUNCTION("""COMPUTED_VALUE"""),1736.0)</f>
        <v>1736</v>
      </c>
      <c r="C1721" s="6">
        <f>IFERROR(__xludf.DUMMYFUNCTION("""COMPUTED_VALUE"""),0.4694)</f>
        <v>0.4694</v>
      </c>
      <c r="D1721" s="2">
        <f>IFERROR(__xludf.DUMMYFUNCTION("""COMPUTED_VALUE"""),0.002511574074074074)</f>
        <v>0.002511574074</v>
      </c>
      <c r="E1721" s="1">
        <f>IFERROR(__xludf.DUMMYFUNCTION("""COMPUTED_VALUE"""),1.18)</f>
        <v>1.18</v>
      </c>
      <c r="F1721" s="1">
        <f>IFERROR(__xludf.DUMMYFUNCTION("""COMPUTED_VALUE"""),8.33)</f>
        <v>8.33</v>
      </c>
      <c r="G1721" s="5">
        <f>IFERROR(__xludf.DUMMYFUNCTION("""COMPUTED_VALUE"""),17010.0)</f>
        <v>17010</v>
      </c>
      <c r="H1721" s="5">
        <f>IFERROR(__xludf.DUMMYFUNCTION("""COMPUTED_VALUE"""),2041.0)</f>
        <v>2041</v>
      </c>
    </row>
    <row r="1722">
      <c r="A1722" s="4">
        <f>IFERROR(__xludf.DUMMYFUNCTION("""COMPUTED_VALUE"""),44090.0)</f>
        <v>44090</v>
      </c>
      <c r="B1722" s="5">
        <f>IFERROR(__xludf.DUMMYFUNCTION("""COMPUTED_VALUE"""),1569.0)</f>
        <v>1569</v>
      </c>
      <c r="C1722" s="6">
        <f>IFERROR(__xludf.DUMMYFUNCTION("""COMPUTED_VALUE"""),0.4357)</f>
        <v>0.4357</v>
      </c>
      <c r="D1722" s="2">
        <f>IFERROR(__xludf.DUMMYFUNCTION("""COMPUTED_VALUE"""),0.0022453703703703702)</f>
        <v>0.00224537037</v>
      </c>
      <c r="E1722" s="1">
        <f>IFERROR(__xludf.DUMMYFUNCTION("""COMPUTED_VALUE"""),1.24)</f>
        <v>1.24</v>
      </c>
      <c r="F1722" s="1">
        <f>IFERROR(__xludf.DUMMYFUNCTION("""COMPUTED_VALUE"""),5.56)</f>
        <v>5.56</v>
      </c>
      <c r="G1722" s="5">
        <f>IFERROR(__xludf.DUMMYFUNCTION("""COMPUTED_VALUE"""),10817.0)</f>
        <v>10817</v>
      </c>
      <c r="H1722" s="5">
        <f>IFERROR(__xludf.DUMMYFUNCTION("""COMPUTED_VALUE"""),1944.0)</f>
        <v>1944</v>
      </c>
    </row>
    <row r="1723">
      <c r="A1723" s="4">
        <f>IFERROR(__xludf.DUMMYFUNCTION("""COMPUTED_VALUE"""),44091.0)</f>
        <v>44091</v>
      </c>
      <c r="B1723" s="5">
        <f>IFERROR(__xludf.DUMMYFUNCTION("""COMPUTED_VALUE"""),1652.0)</f>
        <v>1652</v>
      </c>
      <c r="C1723" s="6">
        <f>IFERROR(__xludf.DUMMYFUNCTION("""COMPUTED_VALUE"""),0.4141)</f>
        <v>0.4141</v>
      </c>
      <c r="D1723" s="2">
        <f>IFERROR(__xludf.DUMMYFUNCTION("""COMPUTED_VALUE"""),0.003125)</f>
        <v>0.003125</v>
      </c>
      <c r="E1723" s="1">
        <f>IFERROR(__xludf.DUMMYFUNCTION("""COMPUTED_VALUE"""),1.18)</f>
        <v>1.18</v>
      </c>
      <c r="F1723" s="1">
        <f>IFERROR(__xludf.DUMMYFUNCTION("""COMPUTED_VALUE"""),5.36)</f>
        <v>5.36</v>
      </c>
      <c r="G1723" s="5">
        <f>IFERROR(__xludf.DUMMYFUNCTION("""COMPUTED_VALUE"""),10414.0)</f>
        <v>10414</v>
      </c>
      <c r="H1723" s="5">
        <f>IFERROR(__xludf.DUMMYFUNCTION("""COMPUTED_VALUE"""),1944.0)</f>
        <v>1944</v>
      </c>
    </row>
    <row r="1724">
      <c r="A1724" s="4">
        <f>IFERROR(__xludf.DUMMYFUNCTION("""COMPUTED_VALUE"""),44092.0)</f>
        <v>44092</v>
      </c>
      <c r="B1724" s="5">
        <f>IFERROR(__xludf.DUMMYFUNCTION("""COMPUTED_VALUE"""),1444.0)</f>
        <v>1444</v>
      </c>
      <c r="C1724" s="6">
        <f>IFERROR(__xludf.DUMMYFUNCTION("""COMPUTED_VALUE"""),0.3305)</f>
        <v>0.3305</v>
      </c>
      <c r="D1724" s="2">
        <f>IFERROR(__xludf.DUMMYFUNCTION("""COMPUTED_VALUE"""),0.0025810185185185185)</f>
        <v>0.002581018519</v>
      </c>
      <c r="E1724" s="1">
        <f>IFERROR(__xludf.DUMMYFUNCTION("""COMPUTED_VALUE"""),1.08)</f>
        <v>1.08</v>
      </c>
      <c r="F1724" s="1">
        <f>IFERROR(__xludf.DUMMYFUNCTION("""COMPUTED_VALUE"""),5.72)</f>
        <v>5.72</v>
      </c>
      <c r="G1724" s="5">
        <f>IFERROR(__xludf.DUMMYFUNCTION("""COMPUTED_VALUE"""),8901.0)</f>
        <v>8901</v>
      </c>
      <c r="H1724" s="5">
        <f>IFERROR(__xludf.DUMMYFUNCTION("""COMPUTED_VALUE"""),1555.0)</f>
        <v>1555</v>
      </c>
    </row>
    <row r="1725">
      <c r="A1725" s="4">
        <f>IFERROR(__xludf.DUMMYFUNCTION("""COMPUTED_VALUE"""),44093.0)</f>
        <v>44093</v>
      </c>
      <c r="B1725" s="1">
        <f>IFERROR(__xludf.DUMMYFUNCTION("""COMPUTED_VALUE"""),764.0)</f>
        <v>764</v>
      </c>
      <c r="C1725" s="6">
        <f>IFERROR(__xludf.DUMMYFUNCTION("""COMPUTED_VALUE"""),0.4691)</f>
        <v>0.4691</v>
      </c>
      <c r="D1725" s="2">
        <f>IFERROR(__xludf.DUMMYFUNCTION("""COMPUTED_VALUE"""),0.0015972222222222223)</f>
        <v>0.001597222222</v>
      </c>
      <c r="E1725" s="1">
        <f>IFERROR(__xludf.DUMMYFUNCTION("""COMPUTED_VALUE"""),1.16)</f>
        <v>1.16</v>
      </c>
      <c r="F1725" s="1">
        <f>IFERROR(__xludf.DUMMYFUNCTION("""COMPUTED_VALUE"""),3.97)</f>
        <v>3.97</v>
      </c>
      <c r="G1725" s="5">
        <f>IFERROR(__xludf.DUMMYFUNCTION("""COMPUTED_VALUE"""),3527.0)</f>
        <v>3527</v>
      </c>
      <c r="H1725" s="1">
        <f>IFERROR(__xludf.DUMMYFUNCTION("""COMPUTED_VALUE"""),889.0)</f>
        <v>889</v>
      </c>
    </row>
    <row r="1726">
      <c r="A1726" s="4">
        <f>IFERROR(__xludf.DUMMYFUNCTION("""COMPUTED_VALUE"""),44094.0)</f>
        <v>44094</v>
      </c>
      <c r="B1726" s="5">
        <f>IFERROR(__xludf.DUMMYFUNCTION("""COMPUTED_VALUE"""),1000.0)</f>
        <v>1000</v>
      </c>
      <c r="C1726" s="6">
        <f>IFERROR(__xludf.DUMMYFUNCTION("""COMPUTED_VALUE"""),0.4739)</f>
        <v>0.4739</v>
      </c>
      <c r="D1726" s="2">
        <f>IFERROR(__xludf.DUMMYFUNCTION("""COMPUTED_VALUE"""),0.0013078703703703703)</f>
        <v>0.00130787037</v>
      </c>
      <c r="E1726" s="1">
        <f>IFERROR(__xludf.DUMMYFUNCTION("""COMPUTED_VALUE"""),1.06)</f>
        <v>1.06</v>
      </c>
      <c r="F1726" s="1">
        <f>IFERROR(__xludf.DUMMYFUNCTION("""COMPUTED_VALUE"""),4.01)</f>
        <v>4.01</v>
      </c>
      <c r="G1726" s="5">
        <f>IFERROR(__xludf.DUMMYFUNCTION("""COMPUTED_VALUE"""),4235.0)</f>
        <v>4235</v>
      </c>
      <c r="H1726" s="5">
        <f>IFERROR(__xludf.DUMMYFUNCTION("""COMPUTED_VALUE"""),1055.0)</f>
        <v>1055</v>
      </c>
    </row>
    <row r="1727">
      <c r="A1727" s="4">
        <f>IFERROR(__xludf.DUMMYFUNCTION("""COMPUTED_VALUE"""),44095.0)</f>
        <v>44095</v>
      </c>
      <c r="B1727" s="5">
        <f>IFERROR(__xludf.DUMMYFUNCTION("""COMPUTED_VALUE"""),1625.0)</f>
        <v>1625</v>
      </c>
      <c r="C1727" s="6">
        <f>IFERROR(__xludf.DUMMYFUNCTION("""COMPUTED_VALUE"""),0.4551)</f>
        <v>0.4551</v>
      </c>
      <c r="D1727" s="2">
        <f>IFERROR(__xludf.DUMMYFUNCTION("""COMPUTED_VALUE"""),0.0015509259259259259)</f>
        <v>0.001550925926</v>
      </c>
      <c r="E1727" s="1">
        <f>IFERROR(__xludf.DUMMYFUNCTION("""COMPUTED_VALUE"""),1.15)</f>
        <v>1.15</v>
      </c>
      <c r="F1727" s="1">
        <f>IFERROR(__xludf.DUMMYFUNCTION("""COMPUTED_VALUE"""),4.5)</f>
        <v>4.5</v>
      </c>
      <c r="G1727" s="5">
        <f>IFERROR(__xludf.DUMMYFUNCTION("""COMPUTED_VALUE"""),8373.0)</f>
        <v>8373</v>
      </c>
      <c r="H1727" s="5">
        <f>IFERROR(__xludf.DUMMYFUNCTION("""COMPUTED_VALUE"""),1861.0)</f>
        <v>1861</v>
      </c>
    </row>
    <row r="1728">
      <c r="A1728" s="4">
        <f>IFERROR(__xludf.DUMMYFUNCTION("""COMPUTED_VALUE"""),44096.0)</f>
        <v>44096</v>
      </c>
      <c r="B1728" s="5">
        <f>IFERROR(__xludf.DUMMYFUNCTION("""COMPUTED_VALUE"""),1666.0)</f>
        <v>1666</v>
      </c>
      <c r="C1728" s="6">
        <f>IFERROR(__xludf.DUMMYFUNCTION("""COMPUTED_VALUE"""),0.431)</f>
        <v>0.431</v>
      </c>
      <c r="D1728" s="2">
        <f>IFERROR(__xludf.DUMMYFUNCTION("""COMPUTED_VALUE"""),0.0017939814814814815)</f>
        <v>0.001793981481</v>
      </c>
      <c r="E1728" s="1">
        <f>IFERROR(__xludf.DUMMYFUNCTION("""COMPUTED_VALUE"""),1.08)</f>
        <v>1.08</v>
      </c>
      <c r="F1728" s="1">
        <f>IFERROR(__xludf.DUMMYFUNCTION("""COMPUTED_VALUE"""),8.07)</f>
        <v>8.07</v>
      </c>
      <c r="G1728" s="5">
        <f>IFERROR(__xludf.DUMMYFUNCTION("""COMPUTED_VALUE"""),14566.0)</f>
        <v>14566</v>
      </c>
      <c r="H1728" s="5">
        <f>IFERROR(__xludf.DUMMYFUNCTION("""COMPUTED_VALUE"""),1805.0)</f>
        <v>1805</v>
      </c>
    </row>
    <row r="1729">
      <c r="A1729" s="4">
        <f>IFERROR(__xludf.DUMMYFUNCTION("""COMPUTED_VALUE"""),44097.0)</f>
        <v>44097</v>
      </c>
      <c r="B1729" s="5">
        <f>IFERROR(__xludf.DUMMYFUNCTION("""COMPUTED_VALUE"""),1527.0)</f>
        <v>1527</v>
      </c>
      <c r="C1729" s="6">
        <f>IFERROR(__xludf.DUMMYFUNCTION("""COMPUTED_VALUE"""),0.3984)</f>
        <v>0.3984</v>
      </c>
      <c r="D1729" s="2">
        <f>IFERROR(__xludf.DUMMYFUNCTION("""COMPUTED_VALUE"""),0.0024305555555555556)</f>
        <v>0.002430555556</v>
      </c>
      <c r="E1729" s="1">
        <f>IFERROR(__xludf.DUMMYFUNCTION("""COMPUTED_VALUE"""),1.16)</f>
        <v>1.16</v>
      </c>
      <c r="F1729" s="1">
        <f>IFERROR(__xludf.DUMMYFUNCTION("""COMPUTED_VALUE"""),4.92)</f>
        <v>4.92</v>
      </c>
      <c r="G1729" s="5">
        <f>IFERROR(__xludf.DUMMYFUNCTION("""COMPUTED_VALUE"""),8748.0)</f>
        <v>8748</v>
      </c>
      <c r="H1729" s="5">
        <f>IFERROR(__xludf.DUMMYFUNCTION("""COMPUTED_VALUE"""),1777.0)</f>
        <v>1777</v>
      </c>
    </row>
    <row r="1730">
      <c r="A1730" s="4">
        <f>IFERROR(__xludf.DUMMYFUNCTION("""COMPUTED_VALUE"""),44098.0)</f>
        <v>44098</v>
      </c>
      <c r="B1730" s="5">
        <f>IFERROR(__xludf.DUMMYFUNCTION("""COMPUTED_VALUE"""),1486.0)</f>
        <v>1486</v>
      </c>
      <c r="C1730" s="6">
        <f>IFERROR(__xludf.DUMMYFUNCTION("""COMPUTED_VALUE"""),0.4179)</f>
        <v>0.4179</v>
      </c>
      <c r="D1730" s="2">
        <f>IFERROR(__xludf.DUMMYFUNCTION("""COMPUTED_VALUE"""),0.0026041666666666665)</f>
        <v>0.002604166667</v>
      </c>
      <c r="E1730" s="1">
        <f>IFERROR(__xludf.DUMMYFUNCTION("""COMPUTED_VALUE"""),1.14)</f>
        <v>1.14</v>
      </c>
      <c r="F1730" s="1">
        <f>IFERROR(__xludf.DUMMYFUNCTION("""COMPUTED_VALUE"""),4.18)</f>
        <v>4.18</v>
      </c>
      <c r="G1730" s="5">
        <f>IFERROR(__xludf.DUMMYFUNCTION("""COMPUTED_VALUE"""),7082.0)</f>
        <v>7082</v>
      </c>
      <c r="H1730" s="5">
        <f>IFERROR(__xludf.DUMMYFUNCTION("""COMPUTED_VALUE"""),1694.0)</f>
        <v>1694</v>
      </c>
    </row>
    <row r="1731">
      <c r="A1731" s="4">
        <f>IFERROR(__xludf.DUMMYFUNCTION("""COMPUTED_VALUE"""),44099.0)</f>
        <v>44099</v>
      </c>
      <c r="B1731" s="5">
        <f>IFERROR(__xludf.DUMMYFUNCTION("""COMPUTED_VALUE"""),1597.0)</f>
        <v>1597</v>
      </c>
      <c r="C1731" s="6">
        <f>IFERROR(__xludf.DUMMYFUNCTION("""COMPUTED_VALUE"""),0.3868)</f>
        <v>0.3868</v>
      </c>
      <c r="D1731" s="2">
        <f>IFERROR(__xludf.DUMMYFUNCTION("""COMPUTED_VALUE"""),0.0024074074074074076)</f>
        <v>0.002407407407</v>
      </c>
      <c r="E1731" s="1">
        <f>IFERROR(__xludf.DUMMYFUNCTION("""COMPUTED_VALUE"""),1.08)</f>
        <v>1.08</v>
      </c>
      <c r="F1731" s="1">
        <f>IFERROR(__xludf.DUMMYFUNCTION("""COMPUTED_VALUE"""),4.96)</f>
        <v>4.96</v>
      </c>
      <c r="G1731" s="5">
        <f>IFERROR(__xludf.DUMMYFUNCTION("""COMPUTED_VALUE"""),8540.0)</f>
        <v>8540</v>
      </c>
      <c r="H1731" s="5">
        <f>IFERROR(__xludf.DUMMYFUNCTION("""COMPUTED_VALUE"""),1722.0)</f>
        <v>1722</v>
      </c>
    </row>
    <row r="1732">
      <c r="A1732" s="4">
        <f>IFERROR(__xludf.DUMMYFUNCTION("""COMPUTED_VALUE"""),44100.0)</f>
        <v>44100</v>
      </c>
      <c r="B1732" s="5">
        <f>IFERROR(__xludf.DUMMYFUNCTION("""COMPUTED_VALUE"""),1000.0)</f>
        <v>1000</v>
      </c>
      <c r="C1732" s="6">
        <f>IFERROR(__xludf.DUMMYFUNCTION("""COMPUTED_VALUE"""),0.439)</f>
        <v>0.439</v>
      </c>
      <c r="D1732" s="2">
        <f>IFERROR(__xludf.DUMMYFUNCTION("""COMPUTED_VALUE"""),0.0021412037037037038)</f>
        <v>0.002141203704</v>
      </c>
      <c r="E1732" s="1">
        <f>IFERROR(__xludf.DUMMYFUNCTION("""COMPUTED_VALUE"""),1.14)</f>
        <v>1.14</v>
      </c>
      <c r="F1732" s="1">
        <f>IFERROR(__xludf.DUMMYFUNCTION("""COMPUTED_VALUE"""),6.72)</f>
        <v>6.72</v>
      </c>
      <c r="G1732" s="5">
        <f>IFERROR(__xludf.DUMMYFUNCTION("""COMPUTED_VALUE"""),7651.0)</f>
        <v>7651</v>
      </c>
      <c r="H1732" s="5">
        <f>IFERROR(__xludf.DUMMYFUNCTION("""COMPUTED_VALUE"""),1139.0)</f>
        <v>1139</v>
      </c>
    </row>
    <row r="1733">
      <c r="A1733" s="4">
        <f>IFERROR(__xludf.DUMMYFUNCTION("""COMPUTED_VALUE"""),44101.0)</f>
        <v>44101</v>
      </c>
      <c r="B1733" s="5">
        <f>IFERROR(__xludf.DUMMYFUNCTION("""COMPUTED_VALUE"""),1055.0)</f>
        <v>1055</v>
      </c>
      <c r="C1733" s="6">
        <f>IFERROR(__xludf.DUMMYFUNCTION("""COMPUTED_VALUE"""),0.3297)</f>
        <v>0.3297</v>
      </c>
      <c r="D1733" s="2">
        <f>IFERROR(__xludf.DUMMYFUNCTION("""COMPUTED_VALUE"""),0.0032060185185185186)</f>
        <v>0.003206018519</v>
      </c>
      <c r="E1733" s="1">
        <f>IFERROR(__xludf.DUMMYFUNCTION("""COMPUTED_VALUE"""),1.12)</f>
        <v>1.12</v>
      </c>
      <c r="F1733" s="1">
        <f>IFERROR(__xludf.DUMMYFUNCTION("""COMPUTED_VALUE"""),8.68)</f>
        <v>8.68</v>
      </c>
      <c r="G1733" s="5">
        <f>IFERROR(__xludf.DUMMYFUNCTION("""COMPUTED_VALUE"""),10247.0)</f>
        <v>10247</v>
      </c>
      <c r="H1733" s="5">
        <f>IFERROR(__xludf.DUMMYFUNCTION("""COMPUTED_VALUE"""),1180.0)</f>
        <v>1180</v>
      </c>
    </row>
    <row r="1734">
      <c r="A1734" s="4">
        <f>IFERROR(__xludf.DUMMYFUNCTION("""COMPUTED_VALUE"""),44102.0)</f>
        <v>44102</v>
      </c>
      <c r="B1734" s="5">
        <f>IFERROR(__xludf.DUMMYFUNCTION("""COMPUTED_VALUE"""),1569.0)</f>
        <v>1569</v>
      </c>
      <c r="C1734" s="6">
        <f>IFERROR(__xludf.DUMMYFUNCTION("""COMPUTED_VALUE"""),0.3757)</f>
        <v>0.3757</v>
      </c>
      <c r="D1734" s="2">
        <f>IFERROR(__xludf.DUMMYFUNCTION("""COMPUTED_VALUE"""),0.0026157407407407405)</f>
        <v>0.002615740741</v>
      </c>
      <c r="E1734" s="1">
        <f>IFERROR(__xludf.DUMMYFUNCTION("""COMPUTED_VALUE"""),1.18)</f>
        <v>1.18</v>
      </c>
      <c r="F1734" s="1">
        <f>IFERROR(__xludf.DUMMYFUNCTION("""COMPUTED_VALUE"""),5.35)</f>
        <v>5.35</v>
      </c>
      <c r="G1734" s="5">
        <f>IFERROR(__xludf.DUMMYFUNCTION("""COMPUTED_VALUE"""),9886.0)</f>
        <v>9886</v>
      </c>
      <c r="H1734" s="5">
        <f>IFERROR(__xludf.DUMMYFUNCTION("""COMPUTED_VALUE"""),1847.0)</f>
        <v>1847</v>
      </c>
    </row>
    <row r="1735">
      <c r="A1735" s="4">
        <f>IFERROR(__xludf.DUMMYFUNCTION("""COMPUTED_VALUE"""),44103.0)</f>
        <v>44103</v>
      </c>
      <c r="B1735" s="5">
        <f>IFERROR(__xludf.DUMMYFUNCTION("""COMPUTED_VALUE"""),1930.0)</f>
        <v>1930</v>
      </c>
      <c r="C1735" s="6">
        <f>IFERROR(__xludf.DUMMYFUNCTION("""COMPUTED_VALUE"""),0.3582)</f>
        <v>0.3582</v>
      </c>
      <c r="D1735" s="2">
        <f>IFERROR(__xludf.DUMMYFUNCTION("""COMPUTED_VALUE"""),0.002534722222222222)</f>
        <v>0.002534722222</v>
      </c>
      <c r="E1735" s="1">
        <f>IFERROR(__xludf.DUMMYFUNCTION("""COMPUTED_VALUE"""),1.14)</f>
        <v>1.14</v>
      </c>
      <c r="F1735" s="1">
        <f>IFERROR(__xludf.DUMMYFUNCTION("""COMPUTED_VALUE"""),6.63)</f>
        <v>6.63</v>
      </c>
      <c r="G1735" s="5">
        <f>IFERROR(__xludf.DUMMYFUNCTION("""COMPUTED_VALUE"""),14649.0)</f>
        <v>14649</v>
      </c>
      <c r="H1735" s="5">
        <f>IFERROR(__xludf.DUMMYFUNCTION("""COMPUTED_VALUE"""),2208.0)</f>
        <v>2208</v>
      </c>
    </row>
    <row r="1736">
      <c r="A1736" s="4">
        <f>IFERROR(__xludf.DUMMYFUNCTION("""COMPUTED_VALUE"""),44104.0)</f>
        <v>44104</v>
      </c>
      <c r="B1736" s="5">
        <f>IFERROR(__xludf.DUMMYFUNCTION("""COMPUTED_VALUE"""),2194.0)</f>
        <v>2194</v>
      </c>
      <c r="C1736" s="6">
        <f>IFERROR(__xludf.DUMMYFUNCTION("""COMPUTED_VALUE"""),0.4358)</f>
        <v>0.4358</v>
      </c>
      <c r="D1736" s="2">
        <f>IFERROR(__xludf.DUMMYFUNCTION("""COMPUTED_VALUE"""),0.0018402777777777777)</f>
        <v>0.001840277778</v>
      </c>
      <c r="E1736" s="1">
        <f>IFERROR(__xludf.DUMMYFUNCTION("""COMPUTED_VALUE"""),1.13)</f>
        <v>1.13</v>
      </c>
      <c r="F1736" s="1">
        <f>IFERROR(__xludf.DUMMYFUNCTION("""COMPUTED_VALUE"""),4.12)</f>
        <v>4.12</v>
      </c>
      <c r="G1736" s="5">
        <f>IFERROR(__xludf.DUMMYFUNCTION("""COMPUTED_VALUE"""),10234.0)</f>
        <v>10234</v>
      </c>
      <c r="H1736" s="5">
        <f>IFERROR(__xludf.DUMMYFUNCTION("""COMPUTED_VALUE"""),2485.0)</f>
        <v>2485</v>
      </c>
    </row>
    <row r="1737">
      <c r="A1737" s="4">
        <f>IFERROR(__xludf.DUMMYFUNCTION("""COMPUTED_VALUE"""),44105.0)</f>
        <v>44105</v>
      </c>
      <c r="B1737" s="5">
        <f>IFERROR(__xludf.DUMMYFUNCTION("""COMPUTED_VALUE"""),2027.0)</f>
        <v>2027</v>
      </c>
      <c r="C1737" s="6">
        <f>IFERROR(__xludf.DUMMYFUNCTION("""COMPUTED_VALUE"""),0.3974)</f>
        <v>0.3974</v>
      </c>
      <c r="D1737" s="2">
        <f>IFERROR(__xludf.DUMMYFUNCTION("""COMPUTED_VALUE"""),0.0018402777777777777)</f>
        <v>0.001840277778</v>
      </c>
      <c r="E1737" s="1">
        <f>IFERROR(__xludf.DUMMYFUNCTION("""COMPUTED_VALUE"""),1.14)</f>
        <v>1.14</v>
      </c>
      <c r="F1737" s="1">
        <f>IFERROR(__xludf.DUMMYFUNCTION("""COMPUTED_VALUE"""),4.88)</f>
        <v>4.88</v>
      </c>
      <c r="G1737" s="5">
        <f>IFERROR(__xludf.DUMMYFUNCTION("""COMPUTED_VALUE"""),11247.0)</f>
        <v>11247</v>
      </c>
      <c r="H1737" s="5">
        <f>IFERROR(__xludf.DUMMYFUNCTION("""COMPUTED_VALUE"""),2305.0)</f>
        <v>2305</v>
      </c>
    </row>
    <row r="1738">
      <c r="A1738" s="4">
        <f>IFERROR(__xludf.DUMMYFUNCTION("""COMPUTED_VALUE"""),44106.0)</f>
        <v>44106</v>
      </c>
      <c r="B1738" s="5">
        <f>IFERROR(__xludf.DUMMYFUNCTION("""COMPUTED_VALUE"""),1652.0)</f>
        <v>1652</v>
      </c>
      <c r="C1738" s="6">
        <f>IFERROR(__xludf.DUMMYFUNCTION("""COMPUTED_VALUE"""),0.3412)</f>
        <v>0.3412</v>
      </c>
      <c r="D1738" s="2">
        <f>IFERROR(__xludf.DUMMYFUNCTION("""COMPUTED_VALUE"""),0.0020486111111111113)</f>
        <v>0.002048611111</v>
      </c>
      <c r="E1738" s="1">
        <f>IFERROR(__xludf.DUMMYFUNCTION("""COMPUTED_VALUE"""),1.08)</f>
        <v>1.08</v>
      </c>
      <c r="F1738" s="1">
        <f>IFERROR(__xludf.DUMMYFUNCTION("""COMPUTED_VALUE"""),6.15)</f>
        <v>6.15</v>
      </c>
      <c r="G1738" s="5">
        <f>IFERROR(__xludf.DUMMYFUNCTION("""COMPUTED_VALUE"""),11011.0)</f>
        <v>11011</v>
      </c>
      <c r="H1738" s="5">
        <f>IFERROR(__xludf.DUMMYFUNCTION("""COMPUTED_VALUE"""),1791.0)</f>
        <v>1791</v>
      </c>
    </row>
    <row r="1739">
      <c r="A1739" s="4">
        <f>IFERROR(__xludf.DUMMYFUNCTION("""COMPUTED_VALUE"""),44107.0)</f>
        <v>44107</v>
      </c>
      <c r="B1739" s="1">
        <f>IFERROR(__xludf.DUMMYFUNCTION("""COMPUTED_VALUE"""),847.0)</f>
        <v>847</v>
      </c>
      <c r="C1739" s="6">
        <f>IFERROR(__xludf.DUMMYFUNCTION("""COMPUTED_VALUE"""),0.5)</f>
        <v>0.5</v>
      </c>
      <c r="D1739" s="2">
        <f>IFERROR(__xludf.DUMMYFUNCTION("""COMPUTED_VALUE"""),0.0010763888888888889)</f>
        <v>0.001076388889</v>
      </c>
      <c r="E1739" s="1">
        <f>IFERROR(__xludf.DUMMYFUNCTION("""COMPUTED_VALUE"""),1.18)</f>
        <v>1.18</v>
      </c>
      <c r="F1739" s="1">
        <f>IFERROR(__xludf.DUMMYFUNCTION("""COMPUTED_VALUE"""),3.47)</f>
        <v>3.47</v>
      </c>
      <c r="G1739" s="5">
        <f>IFERROR(__xludf.DUMMYFUNCTION("""COMPUTED_VALUE"""),3471.0)</f>
        <v>3471</v>
      </c>
      <c r="H1739" s="5">
        <f>IFERROR(__xludf.DUMMYFUNCTION("""COMPUTED_VALUE"""),1000.0)</f>
        <v>1000</v>
      </c>
    </row>
    <row r="1740">
      <c r="A1740" s="4">
        <f>IFERROR(__xludf.DUMMYFUNCTION("""COMPUTED_VALUE"""),44108.0)</f>
        <v>44108</v>
      </c>
      <c r="B1740" s="5">
        <f>IFERROR(__xludf.DUMMYFUNCTION("""COMPUTED_VALUE"""),1069.0)</f>
        <v>1069</v>
      </c>
      <c r="C1740" s="6">
        <f>IFERROR(__xludf.DUMMYFUNCTION("""COMPUTED_VALUE"""),0.4462)</f>
        <v>0.4462</v>
      </c>
      <c r="D1740" s="2">
        <f>IFERROR(__xludf.DUMMYFUNCTION("""COMPUTED_VALUE"""),0.0014583333333333334)</f>
        <v>0.001458333333</v>
      </c>
      <c r="E1740" s="1">
        <f>IFERROR(__xludf.DUMMYFUNCTION("""COMPUTED_VALUE"""),1.08)</f>
        <v>1.08</v>
      </c>
      <c r="F1740" s="1">
        <f>IFERROR(__xludf.DUMMYFUNCTION("""COMPUTED_VALUE"""),3.98)</f>
        <v>3.98</v>
      </c>
      <c r="G1740" s="5">
        <f>IFERROR(__xludf.DUMMYFUNCTION("""COMPUTED_VALUE"""),4582.0)</f>
        <v>4582</v>
      </c>
      <c r="H1740" s="5">
        <f>IFERROR(__xludf.DUMMYFUNCTION("""COMPUTED_VALUE"""),1152.0)</f>
        <v>1152</v>
      </c>
    </row>
    <row r="1741">
      <c r="A1741" s="4">
        <f>IFERROR(__xludf.DUMMYFUNCTION("""COMPUTED_VALUE"""),44109.0)</f>
        <v>44109</v>
      </c>
      <c r="B1741" s="5">
        <f>IFERROR(__xludf.DUMMYFUNCTION("""COMPUTED_VALUE"""),1902.0)</f>
        <v>1902</v>
      </c>
      <c r="C1741" s="6">
        <f>IFERROR(__xludf.DUMMYFUNCTION("""COMPUTED_VALUE"""),0.4313)</f>
        <v>0.4313</v>
      </c>
      <c r="D1741" s="2">
        <f>IFERROR(__xludf.DUMMYFUNCTION("""COMPUTED_VALUE"""),0.002199074074074074)</f>
        <v>0.002199074074</v>
      </c>
      <c r="E1741" s="1">
        <f>IFERROR(__xludf.DUMMYFUNCTION("""COMPUTED_VALUE"""),1.12)</f>
        <v>1.12</v>
      </c>
      <c r="F1741" s="1">
        <f>IFERROR(__xludf.DUMMYFUNCTION("""COMPUTED_VALUE"""),6.07)</f>
        <v>6.07</v>
      </c>
      <c r="G1741" s="5">
        <f>IFERROR(__xludf.DUMMYFUNCTION("""COMPUTED_VALUE"""),12900.0)</f>
        <v>12900</v>
      </c>
      <c r="H1741" s="5">
        <f>IFERROR(__xludf.DUMMYFUNCTION("""COMPUTED_VALUE"""),2124.0)</f>
        <v>2124</v>
      </c>
    </row>
    <row r="1742">
      <c r="A1742" s="4">
        <f>IFERROR(__xludf.DUMMYFUNCTION("""COMPUTED_VALUE"""),44110.0)</f>
        <v>44110</v>
      </c>
      <c r="B1742" s="5">
        <f>IFERROR(__xludf.DUMMYFUNCTION("""COMPUTED_VALUE"""),2097.0)</f>
        <v>2097</v>
      </c>
      <c r="C1742" s="6">
        <f>IFERROR(__xludf.DUMMYFUNCTION("""COMPUTED_VALUE"""),0.4385)</f>
        <v>0.4385</v>
      </c>
      <c r="D1742" s="2">
        <f>IFERROR(__xludf.DUMMYFUNCTION("""COMPUTED_VALUE"""),0.001851851851851852)</f>
        <v>0.001851851852</v>
      </c>
      <c r="E1742" s="1">
        <f>IFERROR(__xludf.DUMMYFUNCTION("""COMPUTED_VALUE"""),1.13)</f>
        <v>1.13</v>
      </c>
      <c r="F1742" s="1">
        <f>IFERROR(__xludf.DUMMYFUNCTION("""COMPUTED_VALUE"""),5.39)</f>
        <v>5.39</v>
      </c>
      <c r="G1742" s="5">
        <f>IFERROR(__xludf.DUMMYFUNCTION("""COMPUTED_VALUE"""),12802.0)</f>
        <v>12802</v>
      </c>
      <c r="H1742" s="5">
        <f>IFERROR(__xludf.DUMMYFUNCTION("""COMPUTED_VALUE"""),2374.0)</f>
        <v>2374</v>
      </c>
    </row>
    <row r="1743">
      <c r="A1743" s="4">
        <f>IFERROR(__xludf.DUMMYFUNCTION("""COMPUTED_VALUE"""),44111.0)</f>
        <v>44111</v>
      </c>
      <c r="B1743" s="5">
        <f>IFERROR(__xludf.DUMMYFUNCTION("""COMPUTED_VALUE"""),1888.0)</f>
        <v>1888</v>
      </c>
      <c r="C1743" s="6">
        <f>IFERROR(__xludf.DUMMYFUNCTION("""COMPUTED_VALUE"""),0.3975)</f>
        <v>0.3975</v>
      </c>
      <c r="D1743" s="2">
        <f>IFERROR(__xludf.DUMMYFUNCTION("""COMPUTED_VALUE"""),0.0021412037037037038)</f>
        <v>0.002141203704</v>
      </c>
      <c r="E1743" s="1">
        <f>IFERROR(__xludf.DUMMYFUNCTION("""COMPUTED_VALUE"""),1.15)</f>
        <v>1.15</v>
      </c>
      <c r="F1743" s="1">
        <f>IFERROR(__xludf.DUMMYFUNCTION("""COMPUTED_VALUE"""),6.12)</f>
        <v>6.12</v>
      </c>
      <c r="G1743" s="5">
        <f>IFERROR(__xludf.DUMMYFUNCTION("""COMPUTED_VALUE"""),13247.0)</f>
        <v>13247</v>
      </c>
      <c r="H1743" s="5">
        <f>IFERROR(__xludf.DUMMYFUNCTION("""COMPUTED_VALUE"""),2166.0)</f>
        <v>2166</v>
      </c>
    </row>
    <row r="1744">
      <c r="A1744" s="4">
        <f>IFERROR(__xludf.DUMMYFUNCTION("""COMPUTED_VALUE"""),44112.0)</f>
        <v>44112</v>
      </c>
      <c r="B1744" s="5">
        <f>IFERROR(__xludf.DUMMYFUNCTION("""COMPUTED_VALUE"""),1722.0)</f>
        <v>1722</v>
      </c>
      <c r="C1744" s="6">
        <f>IFERROR(__xludf.DUMMYFUNCTION("""COMPUTED_VALUE"""),0.4283)</f>
        <v>0.4283</v>
      </c>
      <c r="D1744" s="2">
        <f>IFERROR(__xludf.DUMMYFUNCTION("""COMPUTED_VALUE"""),0.001875)</f>
        <v>0.001875</v>
      </c>
      <c r="E1744" s="1">
        <f>IFERROR(__xludf.DUMMYFUNCTION("""COMPUTED_VALUE"""),1.07)</f>
        <v>1.07</v>
      </c>
      <c r="F1744" s="1">
        <f>IFERROR(__xludf.DUMMYFUNCTION("""COMPUTED_VALUE"""),3.96)</f>
        <v>3.96</v>
      </c>
      <c r="G1744" s="5">
        <f>IFERROR(__xludf.DUMMYFUNCTION("""COMPUTED_VALUE"""),7318.0)</f>
        <v>7318</v>
      </c>
      <c r="H1744" s="5">
        <f>IFERROR(__xludf.DUMMYFUNCTION("""COMPUTED_VALUE"""),1847.0)</f>
        <v>1847</v>
      </c>
    </row>
    <row r="1745">
      <c r="A1745" s="4">
        <f>IFERROR(__xludf.DUMMYFUNCTION("""COMPUTED_VALUE"""),44113.0)</f>
        <v>44113</v>
      </c>
      <c r="B1745" s="5">
        <f>IFERROR(__xludf.DUMMYFUNCTION("""COMPUTED_VALUE"""),1972.0)</f>
        <v>1972</v>
      </c>
      <c r="C1745" s="6">
        <f>IFERROR(__xludf.DUMMYFUNCTION("""COMPUTED_VALUE"""),0.3999)</f>
        <v>0.3999</v>
      </c>
      <c r="D1745" s="2">
        <f>IFERROR(__xludf.DUMMYFUNCTION("""COMPUTED_VALUE"""),0.0020486111111111113)</f>
        <v>0.002048611111</v>
      </c>
      <c r="E1745" s="1">
        <f>IFERROR(__xludf.DUMMYFUNCTION("""COMPUTED_VALUE"""),1.06)</f>
        <v>1.06</v>
      </c>
      <c r="F1745" s="1">
        <f>IFERROR(__xludf.DUMMYFUNCTION("""COMPUTED_VALUE"""),4.69)</f>
        <v>4.69</v>
      </c>
      <c r="G1745" s="5">
        <f>IFERROR(__xludf.DUMMYFUNCTION("""COMPUTED_VALUE"""),9761.0)</f>
        <v>9761</v>
      </c>
      <c r="H1745" s="5">
        <f>IFERROR(__xludf.DUMMYFUNCTION("""COMPUTED_VALUE"""),2083.0)</f>
        <v>2083</v>
      </c>
    </row>
    <row r="1746">
      <c r="A1746" s="4">
        <f>IFERROR(__xludf.DUMMYFUNCTION("""COMPUTED_VALUE"""),44114.0)</f>
        <v>44114</v>
      </c>
      <c r="B1746" s="5">
        <f>IFERROR(__xludf.DUMMYFUNCTION("""COMPUTED_VALUE"""),1125.0)</f>
        <v>1125</v>
      </c>
      <c r="C1746" s="6">
        <f>IFERROR(__xludf.DUMMYFUNCTION("""COMPUTED_VALUE"""),0.4371)</f>
        <v>0.4371</v>
      </c>
      <c r="D1746" s="2">
        <f>IFERROR(__xludf.DUMMYFUNCTION("""COMPUTED_VALUE"""),0.0014583333333333334)</f>
        <v>0.001458333333</v>
      </c>
      <c r="E1746" s="1">
        <f>IFERROR(__xludf.DUMMYFUNCTION("""COMPUTED_VALUE"""),1.07)</f>
        <v>1.07</v>
      </c>
      <c r="F1746" s="1">
        <f>IFERROR(__xludf.DUMMYFUNCTION("""COMPUTED_VALUE"""),3.46)</f>
        <v>3.46</v>
      </c>
      <c r="G1746" s="5">
        <f>IFERROR(__xludf.DUMMYFUNCTION("""COMPUTED_VALUE"""),4179.0)</f>
        <v>4179</v>
      </c>
      <c r="H1746" s="5">
        <f>IFERROR(__xludf.DUMMYFUNCTION("""COMPUTED_VALUE"""),1208.0)</f>
        <v>1208</v>
      </c>
    </row>
    <row r="1747">
      <c r="A1747" s="4">
        <f>IFERROR(__xludf.DUMMYFUNCTION("""COMPUTED_VALUE"""),44115.0)</f>
        <v>44115</v>
      </c>
      <c r="B1747" s="5">
        <f>IFERROR(__xludf.DUMMYFUNCTION("""COMPUTED_VALUE"""),1194.0)</f>
        <v>1194</v>
      </c>
      <c r="C1747" s="6">
        <f>IFERROR(__xludf.DUMMYFUNCTION("""COMPUTED_VALUE"""),0.3608)</f>
        <v>0.3608</v>
      </c>
      <c r="D1747" s="2">
        <f>IFERROR(__xludf.DUMMYFUNCTION("""COMPUTED_VALUE"""),0.002395833333333333)</f>
        <v>0.002395833333</v>
      </c>
      <c r="E1747" s="1">
        <f>IFERROR(__xludf.DUMMYFUNCTION("""COMPUTED_VALUE"""),1.13)</f>
        <v>1.13</v>
      </c>
      <c r="F1747" s="1">
        <f>IFERROR(__xludf.DUMMYFUNCTION("""COMPUTED_VALUE"""),5.64)</f>
        <v>5.64</v>
      </c>
      <c r="G1747" s="5">
        <f>IFERROR(__xludf.DUMMYFUNCTION("""COMPUTED_VALUE"""),7595.0)</f>
        <v>7595</v>
      </c>
      <c r="H1747" s="5">
        <f>IFERROR(__xludf.DUMMYFUNCTION("""COMPUTED_VALUE"""),1347.0)</f>
        <v>1347</v>
      </c>
    </row>
    <row r="1748">
      <c r="A1748" s="4">
        <f>IFERROR(__xludf.DUMMYFUNCTION("""COMPUTED_VALUE"""),44116.0)</f>
        <v>44116</v>
      </c>
      <c r="B1748" s="5">
        <f>IFERROR(__xludf.DUMMYFUNCTION("""COMPUTED_VALUE"""),1777.0)</f>
        <v>1777</v>
      </c>
      <c r="C1748" s="6">
        <f>IFERROR(__xludf.DUMMYFUNCTION("""COMPUTED_VALUE"""),0.3874)</f>
        <v>0.3874</v>
      </c>
      <c r="D1748" s="2">
        <f>IFERROR(__xludf.DUMMYFUNCTION("""COMPUTED_VALUE"""),0.0030439814814814813)</f>
        <v>0.003043981481</v>
      </c>
      <c r="E1748" s="1">
        <f>IFERROR(__xludf.DUMMYFUNCTION("""COMPUTED_VALUE"""),1.11)</f>
        <v>1.11</v>
      </c>
      <c r="F1748" s="1">
        <f>IFERROR(__xludf.DUMMYFUNCTION("""COMPUTED_VALUE"""),5.57)</f>
        <v>5.57</v>
      </c>
      <c r="G1748" s="5">
        <f>IFERROR(__xludf.DUMMYFUNCTION("""COMPUTED_VALUE"""),10983.0)</f>
        <v>10983</v>
      </c>
      <c r="H1748" s="5">
        <f>IFERROR(__xludf.DUMMYFUNCTION("""COMPUTED_VALUE"""),1972.0)</f>
        <v>1972</v>
      </c>
    </row>
    <row r="1749">
      <c r="A1749" s="4">
        <f>IFERROR(__xludf.DUMMYFUNCTION("""COMPUTED_VALUE"""),44117.0)</f>
        <v>44117</v>
      </c>
      <c r="B1749" s="5">
        <f>IFERROR(__xludf.DUMMYFUNCTION("""COMPUTED_VALUE"""),1666.0)</f>
        <v>1666</v>
      </c>
      <c r="C1749" s="6">
        <f>IFERROR(__xludf.DUMMYFUNCTION("""COMPUTED_VALUE"""),0.3914)</f>
        <v>0.3914</v>
      </c>
      <c r="D1749" s="2">
        <f>IFERROR(__xludf.DUMMYFUNCTION("""COMPUTED_VALUE"""),0.0025694444444444445)</f>
        <v>0.002569444444</v>
      </c>
      <c r="E1749" s="1">
        <f>IFERROR(__xludf.DUMMYFUNCTION("""COMPUTED_VALUE"""),1.15)</f>
        <v>1.15</v>
      </c>
      <c r="F1749" s="1">
        <f>IFERROR(__xludf.DUMMYFUNCTION("""COMPUTED_VALUE"""),5.95)</f>
        <v>5.95</v>
      </c>
      <c r="G1749" s="5">
        <f>IFERROR(__xludf.DUMMYFUNCTION("""COMPUTED_VALUE"""),11400.0)</f>
        <v>11400</v>
      </c>
      <c r="H1749" s="5">
        <f>IFERROR(__xludf.DUMMYFUNCTION("""COMPUTED_VALUE"""),1916.0)</f>
        <v>1916</v>
      </c>
    </row>
    <row r="1750">
      <c r="A1750" s="4">
        <f>IFERROR(__xludf.DUMMYFUNCTION("""COMPUTED_VALUE"""),44118.0)</f>
        <v>44118</v>
      </c>
      <c r="B1750" s="5">
        <f>IFERROR(__xludf.DUMMYFUNCTION("""COMPUTED_VALUE"""),1847.0)</f>
        <v>1847</v>
      </c>
      <c r="C1750" s="6">
        <f>IFERROR(__xludf.DUMMYFUNCTION("""COMPUTED_VALUE"""),0.3668)</f>
        <v>0.3668</v>
      </c>
      <c r="D1750" s="2">
        <f>IFERROR(__xludf.DUMMYFUNCTION("""COMPUTED_VALUE"""),0.0024074074074074076)</f>
        <v>0.002407407407</v>
      </c>
      <c r="E1750" s="1">
        <f>IFERROR(__xludf.DUMMYFUNCTION("""COMPUTED_VALUE"""),1.13)</f>
        <v>1.13</v>
      </c>
      <c r="F1750" s="1">
        <f>IFERROR(__xludf.DUMMYFUNCTION("""COMPUTED_VALUE"""),4.65)</f>
        <v>4.65</v>
      </c>
      <c r="G1750" s="5">
        <f>IFERROR(__xludf.DUMMYFUNCTION("""COMPUTED_VALUE"""),9692.0)</f>
        <v>9692</v>
      </c>
      <c r="H1750" s="5">
        <f>IFERROR(__xludf.DUMMYFUNCTION("""COMPUTED_VALUE"""),2083.0)</f>
        <v>2083</v>
      </c>
    </row>
    <row r="1751">
      <c r="A1751" s="4">
        <f>IFERROR(__xludf.DUMMYFUNCTION("""COMPUTED_VALUE"""),44119.0)</f>
        <v>44119</v>
      </c>
      <c r="B1751" s="5">
        <f>IFERROR(__xludf.DUMMYFUNCTION("""COMPUTED_VALUE"""),1666.0)</f>
        <v>1666</v>
      </c>
      <c r="C1751" s="6">
        <f>IFERROR(__xludf.DUMMYFUNCTION("""COMPUTED_VALUE"""),0.4566)</f>
        <v>0.4566</v>
      </c>
      <c r="D1751" s="2">
        <f>IFERROR(__xludf.DUMMYFUNCTION("""COMPUTED_VALUE"""),0.0020833333333333333)</f>
        <v>0.002083333333</v>
      </c>
      <c r="E1751" s="1">
        <f>IFERROR(__xludf.DUMMYFUNCTION("""COMPUTED_VALUE"""),1.06)</f>
        <v>1.06</v>
      </c>
      <c r="F1751" s="1">
        <f>IFERROR(__xludf.DUMMYFUNCTION("""COMPUTED_VALUE"""),4.77)</f>
        <v>4.77</v>
      </c>
      <c r="G1751" s="5">
        <f>IFERROR(__xludf.DUMMYFUNCTION("""COMPUTED_VALUE"""),8415.0)</f>
        <v>8415</v>
      </c>
      <c r="H1751" s="5">
        <f>IFERROR(__xludf.DUMMYFUNCTION("""COMPUTED_VALUE"""),1763.0)</f>
        <v>1763</v>
      </c>
    </row>
    <row r="1752">
      <c r="A1752" s="4">
        <f>IFERROR(__xludf.DUMMYFUNCTION("""COMPUTED_VALUE"""),44120.0)</f>
        <v>44120</v>
      </c>
      <c r="B1752" s="5">
        <f>IFERROR(__xludf.DUMMYFUNCTION("""COMPUTED_VALUE"""),1597.0)</f>
        <v>1597</v>
      </c>
      <c r="C1752" s="6">
        <f>IFERROR(__xludf.DUMMYFUNCTION("""COMPUTED_VALUE"""),0.3845)</f>
        <v>0.3845</v>
      </c>
      <c r="D1752" s="2">
        <f>IFERROR(__xludf.DUMMYFUNCTION("""COMPUTED_VALUE"""),0.003738425925925926)</f>
        <v>0.003738425926</v>
      </c>
      <c r="E1752" s="1">
        <f>IFERROR(__xludf.DUMMYFUNCTION("""COMPUTED_VALUE"""),1.13)</f>
        <v>1.13</v>
      </c>
      <c r="F1752" s="1">
        <f>IFERROR(__xludf.DUMMYFUNCTION("""COMPUTED_VALUE"""),6.88)</f>
        <v>6.88</v>
      </c>
      <c r="G1752" s="5">
        <f>IFERROR(__xludf.DUMMYFUNCTION("""COMPUTED_VALUE"""),12414.0)</f>
        <v>12414</v>
      </c>
      <c r="H1752" s="5">
        <f>IFERROR(__xludf.DUMMYFUNCTION("""COMPUTED_VALUE"""),1805.0)</f>
        <v>1805</v>
      </c>
    </row>
    <row r="1753">
      <c r="A1753" s="4">
        <f>IFERROR(__xludf.DUMMYFUNCTION("""COMPUTED_VALUE"""),44121.0)</f>
        <v>44121</v>
      </c>
      <c r="B1753" s="5">
        <f>IFERROR(__xludf.DUMMYFUNCTION("""COMPUTED_VALUE"""),1097.0)</f>
        <v>1097</v>
      </c>
      <c r="C1753" s="6">
        <f>IFERROR(__xludf.DUMMYFUNCTION("""COMPUTED_VALUE"""),0.4776)</f>
        <v>0.4776</v>
      </c>
      <c r="D1753" s="2">
        <f>IFERROR(__xludf.DUMMYFUNCTION("""COMPUTED_VALUE"""),0.001863425925925926)</f>
        <v>0.001863425926</v>
      </c>
      <c r="E1753" s="1">
        <f>IFERROR(__xludf.DUMMYFUNCTION("""COMPUTED_VALUE"""),1.14)</f>
        <v>1.14</v>
      </c>
      <c r="F1753" s="1">
        <f>IFERROR(__xludf.DUMMYFUNCTION("""COMPUTED_VALUE"""),4.75)</f>
        <v>4.75</v>
      </c>
      <c r="G1753" s="5">
        <f>IFERROR(__xludf.DUMMYFUNCTION("""COMPUTED_VALUE"""),5943.0)</f>
        <v>5943</v>
      </c>
      <c r="H1753" s="5">
        <f>IFERROR(__xludf.DUMMYFUNCTION("""COMPUTED_VALUE"""),1250.0)</f>
        <v>1250</v>
      </c>
    </row>
    <row r="1754">
      <c r="A1754" s="4">
        <f>IFERROR(__xludf.DUMMYFUNCTION("""COMPUTED_VALUE"""),44122.0)</f>
        <v>44122</v>
      </c>
      <c r="B1754" s="5">
        <f>IFERROR(__xludf.DUMMYFUNCTION("""COMPUTED_VALUE"""),1250.0)</f>
        <v>1250</v>
      </c>
      <c r="C1754" s="6">
        <f>IFERROR(__xludf.DUMMYFUNCTION("""COMPUTED_VALUE"""),0.4458)</f>
        <v>0.4458</v>
      </c>
      <c r="D1754" s="2">
        <f>IFERROR(__xludf.DUMMYFUNCTION("""COMPUTED_VALUE"""),0.0031018518518518517)</f>
        <v>0.003101851852</v>
      </c>
      <c r="E1754" s="1">
        <f>IFERROR(__xludf.DUMMYFUNCTION("""COMPUTED_VALUE"""),1.12)</f>
        <v>1.12</v>
      </c>
      <c r="F1754" s="1">
        <f>IFERROR(__xludf.DUMMYFUNCTION("""COMPUTED_VALUE"""),6.77)</f>
        <v>6.77</v>
      </c>
      <c r="G1754" s="5">
        <f>IFERROR(__xludf.DUMMYFUNCTION("""COMPUTED_VALUE"""),9498.0)</f>
        <v>9498</v>
      </c>
      <c r="H1754" s="5">
        <f>IFERROR(__xludf.DUMMYFUNCTION("""COMPUTED_VALUE"""),1402.0)</f>
        <v>1402</v>
      </c>
    </row>
    <row r="1755">
      <c r="A1755" s="4">
        <f>IFERROR(__xludf.DUMMYFUNCTION("""COMPUTED_VALUE"""),44123.0)</f>
        <v>44123</v>
      </c>
      <c r="B1755" s="5">
        <f>IFERROR(__xludf.DUMMYFUNCTION("""COMPUTED_VALUE"""),2361.0)</f>
        <v>2361</v>
      </c>
      <c r="C1755" s="6">
        <f>IFERROR(__xludf.DUMMYFUNCTION("""COMPUTED_VALUE"""),0.4677)</f>
        <v>0.4677</v>
      </c>
      <c r="D1755" s="2">
        <f>IFERROR(__xludf.DUMMYFUNCTION("""COMPUTED_VALUE"""),0.0023032407407407407)</f>
        <v>0.002303240741</v>
      </c>
      <c r="E1755" s="1">
        <f>IFERROR(__xludf.DUMMYFUNCTION("""COMPUTED_VALUE"""),1.09)</f>
        <v>1.09</v>
      </c>
      <c r="F1755" s="1">
        <f>IFERROR(__xludf.DUMMYFUNCTION("""COMPUTED_VALUE"""),5.42)</f>
        <v>5.42</v>
      </c>
      <c r="G1755" s="5">
        <f>IFERROR(__xludf.DUMMYFUNCTION("""COMPUTED_VALUE"""),14010.0)</f>
        <v>14010</v>
      </c>
      <c r="H1755" s="5">
        <f>IFERROR(__xludf.DUMMYFUNCTION("""COMPUTED_VALUE"""),2583.0)</f>
        <v>2583</v>
      </c>
    </row>
    <row r="1756">
      <c r="A1756" s="4">
        <f>IFERROR(__xludf.DUMMYFUNCTION("""COMPUTED_VALUE"""),44124.0)</f>
        <v>44124</v>
      </c>
      <c r="B1756" s="5">
        <f>IFERROR(__xludf.DUMMYFUNCTION("""COMPUTED_VALUE"""),2416.0)</f>
        <v>2416</v>
      </c>
      <c r="C1756" s="6">
        <f>IFERROR(__xludf.DUMMYFUNCTION("""COMPUTED_VALUE"""),0.4689)</f>
        <v>0.4689</v>
      </c>
      <c r="D1756" s="2">
        <f>IFERROR(__xludf.DUMMYFUNCTION("""COMPUTED_VALUE"""),0.0017476851851851852)</f>
        <v>0.001747685185</v>
      </c>
      <c r="E1756" s="1">
        <f>IFERROR(__xludf.DUMMYFUNCTION("""COMPUTED_VALUE"""),1.1)</f>
        <v>1.1</v>
      </c>
      <c r="F1756" s="1">
        <f>IFERROR(__xludf.DUMMYFUNCTION("""COMPUTED_VALUE"""),4.51)</f>
        <v>4.51</v>
      </c>
      <c r="G1756" s="5">
        <f>IFERROR(__xludf.DUMMYFUNCTION("""COMPUTED_VALUE"""),12011.0)</f>
        <v>12011</v>
      </c>
      <c r="H1756" s="5">
        <f>IFERROR(__xludf.DUMMYFUNCTION("""COMPUTED_VALUE"""),2666.0)</f>
        <v>2666</v>
      </c>
    </row>
    <row r="1757">
      <c r="A1757" s="4">
        <f>IFERROR(__xludf.DUMMYFUNCTION("""COMPUTED_VALUE"""),44125.0)</f>
        <v>44125</v>
      </c>
      <c r="B1757" s="5">
        <f>IFERROR(__xludf.DUMMYFUNCTION("""COMPUTED_VALUE"""),2583.0)</f>
        <v>2583</v>
      </c>
      <c r="C1757" s="6">
        <f>IFERROR(__xludf.DUMMYFUNCTION("""COMPUTED_VALUE"""),0.4676)</f>
        <v>0.4676</v>
      </c>
      <c r="D1757" s="2">
        <f>IFERROR(__xludf.DUMMYFUNCTION("""COMPUTED_VALUE"""),0.002210648148148148)</f>
        <v>0.002210648148</v>
      </c>
      <c r="E1757" s="1">
        <f>IFERROR(__xludf.DUMMYFUNCTION("""COMPUTED_VALUE"""),1.08)</f>
        <v>1.08</v>
      </c>
      <c r="F1757" s="1">
        <f>IFERROR(__xludf.DUMMYFUNCTION("""COMPUTED_VALUE"""),5.0)</f>
        <v>5</v>
      </c>
      <c r="G1757" s="5">
        <f>IFERROR(__xludf.DUMMYFUNCTION("""COMPUTED_VALUE"""),13955.0)</f>
        <v>13955</v>
      </c>
      <c r="H1757" s="5">
        <f>IFERROR(__xludf.DUMMYFUNCTION("""COMPUTED_VALUE"""),2791.0)</f>
        <v>2791</v>
      </c>
    </row>
    <row r="1758">
      <c r="A1758" s="4">
        <f>IFERROR(__xludf.DUMMYFUNCTION("""COMPUTED_VALUE"""),44126.0)</f>
        <v>44126</v>
      </c>
      <c r="B1758" s="5">
        <f>IFERROR(__xludf.DUMMYFUNCTION("""COMPUTED_VALUE"""),2430.0)</f>
        <v>2430</v>
      </c>
      <c r="C1758" s="6">
        <f>IFERROR(__xludf.DUMMYFUNCTION("""COMPUTED_VALUE"""),0.4589)</f>
        <v>0.4589</v>
      </c>
      <c r="D1758" s="2">
        <f>IFERROR(__xludf.DUMMYFUNCTION("""COMPUTED_VALUE"""),0.0019560185185185184)</f>
        <v>0.001956018519</v>
      </c>
      <c r="E1758" s="1">
        <f>IFERROR(__xludf.DUMMYFUNCTION("""COMPUTED_VALUE"""),1.05)</f>
        <v>1.05</v>
      </c>
      <c r="F1758" s="1">
        <f>IFERROR(__xludf.DUMMYFUNCTION("""COMPUTED_VALUE"""),5.16)</f>
        <v>5.16</v>
      </c>
      <c r="G1758" s="5">
        <f>IFERROR(__xludf.DUMMYFUNCTION("""COMPUTED_VALUE"""),13122.0)</f>
        <v>13122</v>
      </c>
      <c r="H1758" s="5">
        <f>IFERROR(__xludf.DUMMYFUNCTION("""COMPUTED_VALUE"""),2541.0)</f>
        <v>2541</v>
      </c>
    </row>
    <row r="1759">
      <c r="A1759" s="4">
        <f>IFERROR(__xludf.DUMMYFUNCTION("""COMPUTED_VALUE"""),44127.0)</f>
        <v>44127</v>
      </c>
      <c r="B1759" s="5">
        <f>IFERROR(__xludf.DUMMYFUNCTION("""COMPUTED_VALUE"""),2180.0)</f>
        <v>2180</v>
      </c>
      <c r="C1759" s="6">
        <f>IFERROR(__xludf.DUMMYFUNCTION("""COMPUTED_VALUE"""),0.4166)</f>
        <v>0.4166</v>
      </c>
      <c r="D1759" s="2">
        <f>IFERROR(__xludf.DUMMYFUNCTION("""COMPUTED_VALUE"""),0.002002314814814815)</f>
        <v>0.002002314815</v>
      </c>
      <c r="E1759" s="1">
        <f>IFERROR(__xludf.DUMMYFUNCTION("""COMPUTED_VALUE"""),1.15)</f>
        <v>1.15</v>
      </c>
      <c r="F1759" s="1">
        <f>IFERROR(__xludf.DUMMYFUNCTION("""COMPUTED_VALUE"""),4.38)</f>
        <v>4.38</v>
      </c>
      <c r="G1759" s="5">
        <f>IFERROR(__xludf.DUMMYFUNCTION("""COMPUTED_VALUE"""),10956.0)</f>
        <v>10956</v>
      </c>
      <c r="H1759" s="5">
        <f>IFERROR(__xludf.DUMMYFUNCTION("""COMPUTED_VALUE"""),2499.0)</f>
        <v>2499</v>
      </c>
    </row>
    <row r="1760">
      <c r="A1760" s="4">
        <f>IFERROR(__xludf.DUMMYFUNCTION("""COMPUTED_VALUE"""),44128.0)</f>
        <v>44128</v>
      </c>
      <c r="B1760" s="5">
        <f>IFERROR(__xludf.DUMMYFUNCTION("""COMPUTED_VALUE"""),1569.0)</f>
        <v>1569</v>
      </c>
      <c r="C1760" s="6">
        <f>IFERROR(__xludf.DUMMYFUNCTION("""COMPUTED_VALUE"""),0.508)</f>
        <v>0.508</v>
      </c>
      <c r="D1760" s="2">
        <f>IFERROR(__xludf.DUMMYFUNCTION("""COMPUTED_VALUE"""),0.0020717592592592593)</f>
        <v>0.002071759259</v>
      </c>
      <c r="E1760" s="1">
        <f>IFERROR(__xludf.DUMMYFUNCTION("""COMPUTED_VALUE"""),1.12)</f>
        <v>1.12</v>
      </c>
      <c r="F1760" s="1">
        <f>IFERROR(__xludf.DUMMYFUNCTION("""COMPUTED_VALUE"""),4.87)</f>
        <v>4.87</v>
      </c>
      <c r="G1760" s="5">
        <f>IFERROR(__xludf.DUMMYFUNCTION("""COMPUTED_VALUE"""),8526.0)</f>
        <v>8526</v>
      </c>
      <c r="H1760" s="5">
        <f>IFERROR(__xludf.DUMMYFUNCTION("""COMPUTED_VALUE"""),1750.0)</f>
        <v>1750</v>
      </c>
    </row>
    <row r="1761">
      <c r="A1761" s="4">
        <f>IFERROR(__xludf.DUMMYFUNCTION("""COMPUTED_VALUE"""),44129.0)</f>
        <v>44129</v>
      </c>
      <c r="B1761" s="5">
        <f>IFERROR(__xludf.DUMMYFUNCTION("""COMPUTED_VALUE"""),1736.0)</f>
        <v>1736</v>
      </c>
      <c r="C1761" s="6">
        <f>IFERROR(__xludf.DUMMYFUNCTION("""COMPUTED_VALUE"""),0.4551)</f>
        <v>0.4551</v>
      </c>
      <c r="D1761" s="2">
        <f>IFERROR(__xludf.DUMMYFUNCTION("""COMPUTED_VALUE"""),0.002337962962962963)</f>
        <v>0.002337962963</v>
      </c>
      <c r="E1761" s="1">
        <f>IFERROR(__xludf.DUMMYFUNCTION("""COMPUTED_VALUE"""),1.07)</f>
        <v>1.07</v>
      </c>
      <c r="F1761" s="1">
        <f>IFERROR(__xludf.DUMMYFUNCTION("""COMPUTED_VALUE"""),6.51)</f>
        <v>6.51</v>
      </c>
      <c r="G1761" s="5">
        <f>IFERROR(__xludf.DUMMYFUNCTION("""COMPUTED_VALUE"""),12108.0)</f>
        <v>12108</v>
      </c>
      <c r="H1761" s="5">
        <f>IFERROR(__xludf.DUMMYFUNCTION("""COMPUTED_VALUE"""),1861.0)</f>
        <v>1861</v>
      </c>
    </row>
    <row r="1762">
      <c r="A1762" s="4">
        <f>IFERROR(__xludf.DUMMYFUNCTION("""COMPUTED_VALUE"""),44130.0)</f>
        <v>44130</v>
      </c>
      <c r="B1762" s="5">
        <f>IFERROR(__xludf.DUMMYFUNCTION("""COMPUTED_VALUE"""),2819.0)</f>
        <v>2819</v>
      </c>
      <c r="C1762" s="6">
        <f>IFERROR(__xludf.DUMMYFUNCTION("""COMPUTED_VALUE"""),0.4526)</f>
        <v>0.4526</v>
      </c>
      <c r="D1762" s="2">
        <f>IFERROR(__xludf.DUMMYFUNCTION("""COMPUTED_VALUE"""),0.0020601851851851853)</f>
        <v>0.002060185185</v>
      </c>
      <c r="E1762" s="1">
        <f>IFERROR(__xludf.DUMMYFUNCTION("""COMPUTED_VALUE"""),1.09)</f>
        <v>1.09</v>
      </c>
      <c r="F1762" s="1">
        <f>IFERROR(__xludf.DUMMYFUNCTION("""COMPUTED_VALUE"""),5.53)</f>
        <v>5.53</v>
      </c>
      <c r="G1762" s="5">
        <f>IFERROR(__xludf.DUMMYFUNCTION("""COMPUTED_VALUE"""),16968.0)</f>
        <v>16968</v>
      </c>
      <c r="H1762" s="5">
        <f>IFERROR(__xludf.DUMMYFUNCTION("""COMPUTED_VALUE"""),3069.0)</f>
        <v>3069</v>
      </c>
    </row>
    <row r="1763">
      <c r="A1763" s="4">
        <f>IFERROR(__xludf.DUMMYFUNCTION("""COMPUTED_VALUE"""),44131.0)</f>
        <v>44131</v>
      </c>
      <c r="B1763" s="5">
        <f>IFERROR(__xludf.DUMMYFUNCTION("""COMPUTED_VALUE"""),2874.0)</f>
        <v>2874</v>
      </c>
      <c r="C1763" s="6">
        <f>IFERROR(__xludf.DUMMYFUNCTION("""COMPUTED_VALUE"""),0.5112)</f>
        <v>0.5112</v>
      </c>
      <c r="D1763" s="2">
        <f>IFERROR(__xludf.DUMMYFUNCTION("""COMPUTED_VALUE"""),0.0016898148148148148)</f>
        <v>0.001689814815</v>
      </c>
      <c r="E1763" s="1">
        <f>IFERROR(__xludf.DUMMYFUNCTION("""COMPUTED_VALUE"""),1.09)</f>
        <v>1.09</v>
      </c>
      <c r="F1763" s="1">
        <f>IFERROR(__xludf.DUMMYFUNCTION("""COMPUTED_VALUE"""),3.99)</f>
        <v>3.99</v>
      </c>
      <c r="G1763" s="5">
        <f>IFERROR(__xludf.DUMMYFUNCTION("""COMPUTED_VALUE"""),12469.0)</f>
        <v>12469</v>
      </c>
      <c r="H1763" s="5">
        <f>IFERROR(__xludf.DUMMYFUNCTION("""COMPUTED_VALUE"""),3124.0)</f>
        <v>3124</v>
      </c>
    </row>
    <row r="1764">
      <c r="A1764" s="4">
        <f>IFERROR(__xludf.DUMMYFUNCTION("""COMPUTED_VALUE"""),44132.0)</f>
        <v>44132</v>
      </c>
      <c r="B1764" s="5">
        <f>IFERROR(__xludf.DUMMYFUNCTION("""COMPUTED_VALUE"""),2708.0)</f>
        <v>2708</v>
      </c>
      <c r="C1764" s="6">
        <f>IFERROR(__xludf.DUMMYFUNCTION("""COMPUTED_VALUE"""),0.4222)</f>
        <v>0.4222</v>
      </c>
      <c r="D1764" s="2">
        <f>IFERROR(__xludf.DUMMYFUNCTION("""COMPUTED_VALUE"""),0.0026157407407407405)</f>
        <v>0.002615740741</v>
      </c>
      <c r="E1764" s="1">
        <f>IFERROR(__xludf.DUMMYFUNCTION("""COMPUTED_VALUE"""),1.15)</f>
        <v>1.15</v>
      </c>
      <c r="F1764" s="1">
        <f>IFERROR(__xludf.DUMMYFUNCTION("""COMPUTED_VALUE"""),5.1)</f>
        <v>5.1</v>
      </c>
      <c r="G1764" s="5">
        <f>IFERROR(__xludf.DUMMYFUNCTION("""COMPUTED_VALUE"""),15940.0)</f>
        <v>15940</v>
      </c>
      <c r="H1764" s="5">
        <f>IFERROR(__xludf.DUMMYFUNCTION("""COMPUTED_VALUE"""),3124.0)</f>
        <v>3124</v>
      </c>
    </row>
    <row r="1765">
      <c r="A1765" s="4">
        <f>IFERROR(__xludf.DUMMYFUNCTION("""COMPUTED_VALUE"""),44133.0)</f>
        <v>44133</v>
      </c>
      <c r="B1765" s="5">
        <f>IFERROR(__xludf.DUMMYFUNCTION("""COMPUTED_VALUE"""),2722.0)</f>
        <v>2722</v>
      </c>
      <c r="C1765" s="6">
        <f>IFERROR(__xludf.DUMMYFUNCTION("""COMPUTED_VALUE"""),0.5137)</f>
        <v>0.5137</v>
      </c>
      <c r="D1765" s="2">
        <f>IFERROR(__xludf.DUMMYFUNCTION("""COMPUTED_VALUE"""),0.0015625)</f>
        <v>0.0015625</v>
      </c>
      <c r="E1765" s="1">
        <f>IFERROR(__xludf.DUMMYFUNCTION("""COMPUTED_VALUE"""),1.11)</f>
        <v>1.11</v>
      </c>
      <c r="F1765" s="1">
        <f>IFERROR(__xludf.DUMMYFUNCTION("""COMPUTED_VALUE"""),3.89)</f>
        <v>3.89</v>
      </c>
      <c r="G1765" s="5">
        <f>IFERROR(__xludf.DUMMYFUNCTION("""COMPUTED_VALUE"""),11775.0)</f>
        <v>11775</v>
      </c>
      <c r="H1765" s="5">
        <f>IFERROR(__xludf.DUMMYFUNCTION("""COMPUTED_VALUE"""),3027.0)</f>
        <v>3027</v>
      </c>
    </row>
    <row r="1766">
      <c r="A1766" s="4">
        <f>IFERROR(__xludf.DUMMYFUNCTION("""COMPUTED_VALUE"""),44134.0)</f>
        <v>44134</v>
      </c>
      <c r="B1766" s="5">
        <f>IFERROR(__xludf.DUMMYFUNCTION("""COMPUTED_VALUE"""),2374.0)</f>
        <v>2374</v>
      </c>
      <c r="C1766" s="6">
        <f>IFERROR(__xludf.DUMMYFUNCTION("""COMPUTED_VALUE"""),0.4092)</f>
        <v>0.4092</v>
      </c>
      <c r="D1766" s="2">
        <f>IFERROR(__xludf.DUMMYFUNCTION("""COMPUTED_VALUE"""),0.002395833333333333)</f>
        <v>0.002395833333</v>
      </c>
      <c r="E1766" s="1">
        <f>IFERROR(__xludf.DUMMYFUNCTION("""COMPUTED_VALUE"""),1.16)</f>
        <v>1.16</v>
      </c>
      <c r="F1766" s="1">
        <f>IFERROR(__xludf.DUMMYFUNCTION("""COMPUTED_VALUE"""),5.11)</f>
        <v>5.11</v>
      </c>
      <c r="G1766" s="5">
        <f>IFERROR(__xludf.DUMMYFUNCTION("""COMPUTED_VALUE"""),14038.0)</f>
        <v>14038</v>
      </c>
      <c r="H1766" s="5">
        <f>IFERROR(__xludf.DUMMYFUNCTION("""COMPUTED_VALUE"""),2749.0)</f>
        <v>2749</v>
      </c>
    </row>
    <row r="1767">
      <c r="A1767" s="4">
        <f>IFERROR(__xludf.DUMMYFUNCTION("""COMPUTED_VALUE"""),44135.0)</f>
        <v>44135</v>
      </c>
      <c r="B1767" s="5">
        <f>IFERROR(__xludf.DUMMYFUNCTION("""COMPUTED_VALUE"""),1569.0)</f>
        <v>1569</v>
      </c>
      <c r="C1767" s="6">
        <f>IFERROR(__xludf.DUMMYFUNCTION("""COMPUTED_VALUE"""),0.4954)</f>
        <v>0.4954</v>
      </c>
      <c r="D1767" s="2">
        <f>IFERROR(__xludf.DUMMYFUNCTION("""COMPUTED_VALUE"""),0.0013310185185185185)</f>
        <v>0.001331018519</v>
      </c>
      <c r="E1767" s="1">
        <f>IFERROR(__xludf.DUMMYFUNCTION("""COMPUTED_VALUE"""),1.04)</f>
        <v>1.04</v>
      </c>
      <c r="F1767" s="1">
        <f>IFERROR(__xludf.DUMMYFUNCTION("""COMPUTED_VALUE"""),3.85)</f>
        <v>3.85</v>
      </c>
      <c r="G1767" s="5">
        <f>IFERROR(__xludf.DUMMYFUNCTION("""COMPUTED_VALUE"""),6262.0)</f>
        <v>6262</v>
      </c>
      <c r="H1767" s="5">
        <f>IFERROR(__xludf.DUMMYFUNCTION("""COMPUTED_VALUE"""),1625.0)</f>
        <v>1625</v>
      </c>
    </row>
    <row r="1768">
      <c r="A1768" s="4">
        <f>IFERROR(__xludf.DUMMYFUNCTION("""COMPUTED_VALUE"""),44136.0)</f>
        <v>44136</v>
      </c>
      <c r="B1768" s="5">
        <f>IFERROR(__xludf.DUMMYFUNCTION("""COMPUTED_VALUE"""),1569.0)</f>
        <v>1569</v>
      </c>
      <c r="C1768" s="6">
        <f>IFERROR(__xludf.DUMMYFUNCTION("""COMPUTED_VALUE"""),0.4675)</f>
        <v>0.4675</v>
      </c>
      <c r="D1768" s="2">
        <f>IFERROR(__xludf.DUMMYFUNCTION("""COMPUTED_VALUE"""),0.0017824074074074075)</f>
        <v>0.001782407407</v>
      </c>
      <c r="E1768" s="1">
        <f>IFERROR(__xludf.DUMMYFUNCTION("""COMPUTED_VALUE"""),1.1)</f>
        <v>1.1</v>
      </c>
      <c r="F1768" s="1">
        <f>IFERROR(__xludf.DUMMYFUNCTION("""COMPUTED_VALUE"""),3.93)</f>
        <v>3.93</v>
      </c>
      <c r="G1768" s="5">
        <f>IFERROR(__xludf.DUMMYFUNCTION("""COMPUTED_VALUE"""),6762.0)</f>
        <v>6762</v>
      </c>
      <c r="H1768" s="5">
        <f>IFERROR(__xludf.DUMMYFUNCTION("""COMPUTED_VALUE"""),1722.0)</f>
        <v>1722</v>
      </c>
    </row>
    <row r="1769">
      <c r="A1769" s="4">
        <f>IFERROR(__xludf.DUMMYFUNCTION("""COMPUTED_VALUE"""),44137.0)</f>
        <v>44137</v>
      </c>
      <c r="B1769" s="5">
        <f>IFERROR(__xludf.DUMMYFUNCTION("""COMPUTED_VALUE"""),2666.0)</f>
        <v>2666</v>
      </c>
      <c r="C1769" s="6">
        <f>IFERROR(__xludf.DUMMYFUNCTION("""COMPUTED_VALUE"""),0.3885)</f>
        <v>0.3885</v>
      </c>
      <c r="D1769" s="2">
        <f>IFERROR(__xludf.DUMMYFUNCTION("""COMPUTED_VALUE"""),0.0022685185185185187)</f>
        <v>0.002268518519</v>
      </c>
      <c r="E1769" s="1">
        <f>IFERROR(__xludf.DUMMYFUNCTION("""COMPUTED_VALUE"""),1.07)</f>
        <v>1.07</v>
      </c>
      <c r="F1769" s="1">
        <f>IFERROR(__xludf.DUMMYFUNCTION("""COMPUTED_VALUE"""),4.87)</f>
        <v>4.87</v>
      </c>
      <c r="G1769" s="5">
        <f>IFERROR(__xludf.DUMMYFUNCTION("""COMPUTED_VALUE"""),13927.0)</f>
        <v>13927</v>
      </c>
      <c r="H1769" s="5">
        <f>IFERROR(__xludf.DUMMYFUNCTION("""COMPUTED_VALUE"""),2860.0)</f>
        <v>2860</v>
      </c>
    </row>
    <row r="1770">
      <c r="A1770" s="4">
        <f>IFERROR(__xludf.DUMMYFUNCTION("""COMPUTED_VALUE"""),44138.0)</f>
        <v>44138</v>
      </c>
      <c r="B1770" s="5">
        <f>IFERROR(__xludf.DUMMYFUNCTION("""COMPUTED_VALUE"""),2624.0)</f>
        <v>2624</v>
      </c>
      <c r="C1770" s="6">
        <f>IFERROR(__xludf.DUMMYFUNCTION("""COMPUTED_VALUE"""),0.4037)</f>
        <v>0.4037</v>
      </c>
      <c r="D1770" s="2">
        <f>IFERROR(__xludf.DUMMYFUNCTION("""COMPUTED_VALUE"""),0.0021643518518518518)</f>
        <v>0.002164351852</v>
      </c>
      <c r="E1770" s="1">
        <f>IFERROR(__xludf.DUMMYFUNCTION("""COMPUTED_VALUE"""),1.13)</f>
        <v>1.13</v>
      </c>
      <c r="F1770" s="1">
        <f>IFERROR(__xludf.DUMMYFUNCTION("""COMPUTED_VALUE"""),5.08)</f>
        <v>5.08</v>
      </c>
      <c r="G1770" s="5">
        <f>IFERROR(__xludf.DUMMYFUNCTION("""COMPUTED_VALUE"""),15038.0)</f>
        <v>15038</v>
      </c>
      <c r="H1770" s="5">
        <f>IFERROR(__xludf.DUMMYFUNCTION("""COMPUTED_VALUE"""),2958.0)</f>
        <v>2958</v>
      </c>
    </row>
    <row r="1771">
      <c r="A1771" s="4">
        <f>IFERROR(__xludf.DUMMYFUNCTION("""COMPUTED_VALUE"""),44139.0)</f>
        <v>44139</v>
      </c>
      <c r="B1771" s="5">
        <f>IFERROR(__xludf.DUMMYFUNCTION("""COMPUTED_VALUE"""),2583.0)</f>
        <v>2583</v>
      </c>
      <c r="C1771" s="6">
        <f>IFERROR(__xludf.DUMMYFUNCTION("""COMPUTED_VALUE"""),0.442)</f>
        <v>0.442</v>
      </c>
      <c r="D1771" s="2">
        <f>IFERROR(__xludf.DUMMYFUNCTION("""COMPUTED_VALUE"""),0.001875)</f>
        <v>0.001875</v>
      </c>
      <c r="E1771" s="1">
        <f>IFERROR(__xludf.DUMMYFUNCTION("""COMPUTED_VALUE"""),1.11)</f>
        <v>1.11</v>
      </c>
      <c r="F1771" s="1">
        <f>IFERROR(__xludf.DUMMYFUNCTION("""COMPUTED_VALUE"""),4.04)</f>
        <v>4.04</v>
      </c>
      <c r="G1771" s="5">
        <f>IFERROR(__xludf.DUMMYFUNCTION("""COMPUTED_VALUE"""),11567.0)</f>
        <v>11567</v>
      </c>
      <c r="H1771" s="5">
        <f>IFERROR(__xludf.DUMMYFUNCTION("""COMPUTED_VALUE"""),2860.0)</f>
        <v>2860</v>
      </c>
    </row>
    <row r="1772">
      <c r="A1772" s="4">
        <f>IFERROR(__xludf.DUMMYFUNCTION("""COMPUTED_VALUE"""),44140.0)</f>
        <v>44140</v>
      </c>
      <c r="B1772" s="5">
        <f>IFERROR(__xludf.DUMMYFUNCTION("""COMPUTED_VALUE"""),2513.0)</f>
        <v>2513</v>
      </c>
      <c r="C1772" s="6">
        <f>IFERROR(__xludf.DUMMYFUNCTION("""COMPUTED_VALUE"""),0.4165)</f>
        <v>0.4165</v>
      </c>
      <c r="D1772" s="2">
        <f>IFERROR(__xludf.DUMMYFUNCTION("""COMPUTED_VALUE"""),0.0025810185185185185)</f>
        <v>0.002581018519</v>
      </c>
      <c r="E1772" s="1">
        <f>IFERROR(__xludf.DUMMYFUNCTION("""COMPUTED_VALUE"""),1.09)</f>
        <v>1.09</v>
      </c>
      <c r="F1772" s="1">
        <f>IFERROR(__xludf.DUMMYFUNCTION("""COMPUTED_VALUE"""),3.71)</f>
        <v>3.71</v>
      </c>
      <c r="G1772" s="5">
        <f>IFERROR(__xludf.DUMMYFUNCTION("""COMPUTED_VALUE"""),10136.0)</f>
        <v>10136</v>
      </c>
      <c r="H1772" s="5">
        <f>IFERROR(__xludf.DUMMYFUNCTION("""COMPUTED_VALUE"""),2735.0)</f>
        <v>2735</v>
      </c>
    </row>
    <row r="1773">
      <c r="A1773" s="4">
        <f>IFERROR(__xludf.DUMMYFUNCTION("""COMPUTED_VALUE"""),44141.0)</f>
        <v>44141</v>
      </c>
      <c r="B1773" s="5">
        <f>IFERROR(__xludf.DUMMYFUNCTION("""COMPUTED_VALUE"""),2194.0)</f>
        <v>2194</v>
      </c>
      <c r="C1773" s="6">
        <f>IFERROR(__xludf.DUMMYFUNCTION("""COMPUTED_VALUE"""),0.5029)</f>
        <v>0.5029</v>
      </c>
      <c r="D1773" s="2">
        <f>IFERROR(__xludf.DUMMYFUNCTION("""COMPUTED_VALUE"""),0.0027546296296296294)</f>
        <v>0.00275462963</v>
      </c>
      <c r="E1773" s="1">
        <f>IFERROR(__xludf.DUMMYFUNCTION("""COMPUTED_VALUE"""),1.08)</f>
        <v>1.08</v>
      </c>
      <c r="F1773" s="1">
        <f>IFERROR(__xludf.DUMMYFUNCTION("""COMPUTED_VALUE"""),4.72)</f>
        <v>4.72</v>
      </c>
      <c r="G1773" s="5">
        <f>IFERROR(__xludf.DUMMYFUNCTION("""COMPUTED_VALUE"""),11206.0)</f>
        <v>11206</v>
      </c>
      <c r="H1773" s="5">
        <f>IFERROR(__xludf.DUMMYFUNCTION("""COMPUTED_VALUE"""),2374.0)</f>
        <v>2374</v>
      </c>
    </row>
    <row r="1774">
      <c r="A1774" s="4">
        <f>IFERROR(__xludf.DUMMYFUNCTION("""COMPUTED_VALUE"""),44142.0)</f>
        <v>44142</v>
      </c>
      <c r="B1774" s="5">
        <f>IFERROR(__xludf.DUMMYFUNCTION("""COMPUTED_VALUE"""),1389.0)</f>
        <v>1389</v>
      </c>
      <c r="C1774" s="6">
        <f>IFERROR(__xludf.DUMMYFUNCTION("""COMPUTED_VALUE"""),0.5095)</f>
        <v>0.5095</v>
      </c>
      <c r="D1774" s="2">
        <f>IFERROR(__xludf.DUMMYFUNCTION("""COMPUTED_VALUE"""),0.0024305555555555556)</f>
        <v>0.002430555556</v>
      </c>
      <c r="E1774" s="1">
        <f>IFERROR(__xludf.DUMMYFUNCTION("""COMPUTED_VALUE"""),1.06)</f>
        <v>1.06</v>
      </c>
      <c r="F1774" s="1">
        <f>IFERROR(__xludf.DUMMYFUNCTION("""COMPUTED_VALUE"""),5.16)</f>
        <v>5.16</v>
      </c>
      <c r="G1774" s="5">
        <f>IFERROR(__xludf.DUMMYFUNCTION("""COMPUTED_VALUE"""),7595.0)</f>
        <v>7595</v>
      </c>
      <c r="H1774" s="5">
        <f>IFERROR(__xludf.DUMMYFUNCTION("""COMPUTED_VALUE"""),1472.0)</f>
        <v>1472</v>
      </c>
    </row>
    <row r="1775">
      <c r="A1775" s="4">
        <f>IFERROR(__xludf.DUMMYFUNCTION("""COMPUTED_VALUE"""),44143.0)</f>
        <v>44143</v>
      </c>
      <c r="B1775" s="5">
        <f>IFERROR(__xludf.DUMMYFUNCTION("""COMPUTED_VALUE"""),1277.0)</f>
        <v>1277</v>
      </c>
      <c r="C1775" s="6">
        <f>IFERROR(__xludf.DUMMYFUNCTION("""COMPUTED_VALUE"""),0.4432)</f>
        <v>0.4432</v>
      </c>
      <c r="D1775" s="2">
        <f>IFERROR(__xludf.DUMMYFUNCTION("""COMPUTED_VALUE"""),0.001863425925925926)</f>
        <v>0.001863425926</v>
      </c>
      <c r="E1775" s="1">
        <f>IFERROR(__xludf.DUMMYFUNCTION("""COMPUTED_VALUE"""),1.05)</f>
        <v>1.05</v>
      </c>
      <c r="F1775" s="1">
        <f>IFERROR(__xludf.DUMMYFUNCTION("""COMPUTED_VALUE"""),5.72)</f>
        <v>5.72</v>
      </c>
      <c r="G1775" s="5">
        <f>IFERROR(__xludf.DUMMYFUNCTION("""COMPUTED_VALUE"""),7706.0)</f>
        <v>7706</v>
      </c>
      <c r="H1775" s="5">
        <f>IFERROR(__xludf.DUMMYFUNCTION("""COMPUTED_VALUE"""),1347.0)</f>
        <v>1347</v>
      </c>
    </row>
    <row r="1776">
      <c r="A1776" s="4">
        <f>IFERROR(__xludf.DUMMYFUNCTION("""COMPUTED_VALUE"""),44144.0)</f>
        <v>44144</v>
      </c>
      <c r="B1776" s="5">
        <f>IFERROR(__xludf.DUMMYFUNCTION("""COMPUTED_VALUE"""),2055.0)</f>
        <v>2055</v>
      </c>
      <c r="C1776" s="6">
        <f>IFERROR(__xludf.DUMMYFUNCTION("""COMPUTED_VALUE"""),0.4384)</f>
        <v>0.4384</v>
      </c>
      <c r="D1776" s="2">
        <f>IFERROR(__xludf.DUMMYFUNCTION("""COMPUTED_VALUE"""),0.002488425925925926)</f>
        <v>0.002488425926</v>
      </c>
      <c r="E1776" s="1">
        <f>IFERROR(__xludf.DUMMYFUNCTION("""COMPUTED_VALUE"""),1.09)</f>
        <v>1.09</v>
      </c>
      <c r="F1776" s="1">
        <f>IFERROR(__xludf.DUMMYFUNCTION("""COMPUTED_VALUE"""),5.41)</f>
        <v>5.41</v>
      </c>
      <c r="G1776" s="5">
        <f>IFERROR(__xludf.DUMMYFUNCTION("""COMPUTED_VALUE"""),12177.0)</f>
        <v>12177</v>
      </c>
      <c r="H1776" s="5">
        <f>IFERROR(__xludf.DUMMYFUNCTION("""COMPUTED_VALUE"""),2249.0)</f>
        <v>2249</v>
      </c>
    </row>
    <row r="1777">
      <c r="A1777" s="4">
        <f>IFERROR(__xludf.DUMMYFUNCTION("""COMPUTED_VALUE"""),44145.0)</f>
        <v>44145</v>
      </c>
      <c r="B1777" s="5">
        <f>IFERROR(__xludf.DUMMYFUNCTION("""COMPUTED_VALUE"""),2347.0)</f>
        <v>2347</v>
      </c>
      <c r="C1777" s="6">
        <f>IFERROR(__xludf.DUMMYFUNCTION("""COMPUTED_VALUE"""),0.4427)</f>
        <v>0.4427</v>
      </c>
      <c r="D1777" s="2">
        <f>IFERROR(__xludf.DUMMYFUNCTION("""COMPUTED_VALUE"""),0.0018981481481481482)</f>
        <v>0.001898148148</v>
      </c>
      <c r="E1777" s="1">
        <f>IFERROR(__xludf.DUMMYFUNCTION("""COMPUTED_VALUE"""),1.08)</f>
        <v>1.08</v>
      </c>
      <c r="F1777" s="1">
        <f>IFERROR(__xludf.DUMMYFUNCTION("""COMPUTED_VALUE"""),3.97)</f>
        <v>3.97</v>
      </c>
      <c r="G1777" s="5">
        <f>IFERROR(__xludf.DUMMYFUNCTION("""COMPUTED_VALUE"""),10095.0)</f>
        <v>10095</v>
      </c>
      <c r="H1777" s="5">
        <f>IFERROR(__xludf.DUMMYFUNCTION("""COMPUTED_VALUE"""),2541.0)</f>
        <v>2541</v>
      </c>
    </row>
    <row r="1778">
      <c r="A1778" s="4">
        <f>IFERROR(__xludf.DUMMYFUNCTION("""COMPUTED_VALUE"""),44146.0)</f>
        <v>44146</v>
      </c>
      <c r="B1778" s="5">
        <f>IFERROR(__xludf.DUMMYFUNCTION("""COMPUTED_VALUE"""),1875.0)</f>
        <v>1875</v>
      </c>
      <c r="C1778" s="6">
        <f>IFERROR(__xludf.DUMMYFUNCTION("""COMPUTED_VALUE"""),0.4138)</f>
        <v>0.4138</v>
      </c>
      <c r="D1778" s="2">
        <f>IFERROR(__xludf.DUMMYFUNCTION("""COMPUTED_VALUE"""),0.002210648148148148)</f>
        <v>0.002210648148</v>
      </c>
      <c r="E1778" s="1">
        <f>IFERROR(__xludf.DUMMYFUNCTION("""COMPUTED_VALUE"""),1.07)</f>
        <v>1.07</v>
      </c>
      <c r="F1778" s="1">
        <f>IFERROR(__xludf.DUMMYFUNCTION("""COMPUTED_VALUE"""),4.76)</f>
        <v>4.76</v>
      </c>
      <c r="G1778" s="5">
        <f>IFERROR(__xludf.DUMMYFUNCTION("""COMPUTED_VALUE"""),9581.0)</f>
        <v>9581</v>
      </c>
      <c r="H1778" s="5">
        <f>IFERROR(__xludf.DUMMYFUNCTION("""COMPUTED_VALUE"""),2013.0)</f>
        <v>2013</v>
      </c>
    </row>
    <row r="1779">
      <c r="A1779" s="4">
        <f>IFERROR(__xludf.DUMMYFUNCTION("""COMPUTED_VALUE"""),44147.0)</f>
        <v>44147</v>
      </c>
      <c r="B1779" s="5">
        <f>IFERROR(__xludf.DUMMYFUNCTION("""COMPUTED_VALUE"""),1833.0)</f>
        <v>1833</v>
      </c>
      <c r="C1779" s="6">
        <f>IFERROR(__xludf.DUMMYFUNCTION("""COMPUTED_VALUE"""),0.415)</f>
        <v>0.415</v>
      </c>
      <c r="D1779" s="2">
        <f>IFERROR(__xludf.DUMMYFUNCTION("""COMPUTED_VALUE"""),0.0022337962962962962)</f>
        <v>0.002233796296</v>
      </c>
      <c r="E1779" s="1">
        <f>IFERROR(__xludf.DUMMYFUNCTION("""COMPUTED_VALUE"""),1.11)</f>
        <v>1.11</v>
      </c>
      <c r="F1779" s="1">
        <f>IFERROR(__xludf.DUMMYFUNCTION("""COMPUTED_VALUE"""),5.63)</f>
        <v>5.63</v>
      </c>
      <c r="G1779" s="5">
        <f>IFERROR(__xludf.DUMMYFUNCTION("""COMPUTED_VALUE"""),11483.0)</f>
        <v>11483</v>
      </c>
      <c r="H1779" s="5">
        <f>IFERROR(__xludf.DUMMYFUNCTION("""COMPUTED_VALUE"""),2041.0)</f>
        <v>2041</v>
      </c>
    </row>
    <row r="1780">
      <c r="A1780" s="4">
        <f>IFERROR(__xludf.DUMMYFUNCTION("""COMPUTED_VALUE"""),44148.0)</f>
        <v>44148</v>
      </c>
      <c r="B1780" s="5">
        <f>IFERROR(__xludf.DUMMYFUNCTION("""COMPUTED_VALUE"""),1777.0)</f>
        <v>1777</v>
      </c>
      <c r="C1780" s="6">
        <f>IFERROR(__xludf.DUMMYFUNCTION("""COMPUTED_VALUE"""),0.4002)</f>
        <v>0.4002</v>
      </c>
      <c r="D1780" s="2">
        <f>IFERROR(__xludf.DUMMYFUNCTION("""COMPUTED_VALUE"""),0.0017939814814814815)</f>
        <v>0.001793981481</v>
      </c>
      <c r="E1780" s="1">
        <f>IFERROR(__xludf.DUMMYFUNCTION("""COMPUTED_VALUE"""),1.09)</f>
        <v>1.09</v>
      </c>
      <c r="F1780" s="1">
        <f>IFERROR(__xludf.DUMMYFUNCTION("""COMPUTED_VALUE"""),5.06)</f>
        <v>5.06</v>
      </c>
      <c r="G1780" s="5">
        <f>IFERROR(__xludf.DUMMYFUNCTION("""COMPUTED_VALUE"""),9831.0)</f>
        <v>9831</v>
      </c>
      <c r="H1780" s="5">
        <f>IFERROR(__xludf.DUMMYFUNCTION("""COMPUTED_VALUE"""),1944.0)</f>
        <v>1944</v>
      </c>
    </row>
    <row r="1781">
      <c r="A1781" s="4">
        <f>IFERROR(__xludf.DUMMYFUNCTION("""COMPUTED_VALUE"""),44149.0)</f>
        <v>44149</v>
      </c>
      <c r="B1781" s="5">
        <f>IFERROR(__xludf.DUMMYFUNCTION("""COMPUTED_VALUE"""),1166.0)</f>
        <v>1166</v>
      </c>
      <c r="C1781" s="6">
        <f>IFERROR(__xludf.DUMMYFUNCTION("""COMPUTED_VALUE"""),0.5235)</f>
        <v>0.5235</v>
      </c>
      <c r="D1781" s="2">
        <f>IFERROR(__xludf.DUMMYFUNCTION("""COMPUTED_VALUE"""),0.0019675925925925924)</f>
        <v>0.001967592593</v>
      </c>
      <c r="E1781" s="1">
        <f>IFERROR(__xludf.DUMMYFUNCTION("""COMPUTED_VALUE"""),1.02)</f>
        <v>1.02</v>
      </c>
      <c r="F1781" s="1">
        <f>IFERROR(__xludf.DUMMYFUNCTION("""COMPUTED_VALUE"""),3.98)</f>
        <v>3.98</v>
      </c>
      <c r="G1781" s="5">
        <f>IFERROR(__xludf.DUMMYFUNCTION("""COMPUTED_VALUE"""),4749.0)</f>
        <v>4749</v>
      </c>
      <c r="H1781" s="5">
        <f>IFERROR(__xludf.DUMMYFUNCTION("""COMPUTED_VALUE"""),1194.0)</f>
        <v>1194</v>
      </c>
    </row>
    <row r="1782">
      <c r="A1782" s="4">
        <f>IFERROR(__xludf.DUMMYFUNCTION("""COMPUTED_VALUE"""),44150.0)</f>
        <v>44150</v>
      </c>
      <c r="B1782" s="5">
        <f>IFERROR(__xludf.DUMMYFUNCTION("""COMPUTED_VALUE"""),1139.0)</f>
        <v>1139</v>
      </c>
      <c r="C1782" s="6">
        <f>IFERROR(__xludf.DUMMYFUNCTION("""COMPUTED_VALUE"""),0.5283)</f>
        <v>0.5283</v>
      </c>
      <c r="D1782" s="2">
        <f>IFERROR(__xludf.DUMMYFUNCTION("""COMPUTED_VALUE"""),0.0021643518518518518)</f>
        <v>0.002164351852</v>
      </c>
      <c r="E1782" s="1">
        <f>IFERROR(__xludf.DUMMYFUNCTION("""COMPUTED_VALUE"""),1.09)</f>
        <v>1.09</v>
      </c>
      <c r="F1782" s="1">
        <f>IFERROR(__xludf.DUMMYFUNCTION("""COMPUTED_VALUE"""),5.02)</f>
        <v>5.02</v>
      </c>
      <c r="G1782" s="5">
        <f>IFERROR(__xludf.DUMMYFUNCTION("""COMPUTED_VALUE"""),6207.0)</f>
        <v>6207</v>
      </c>
      <c r="H1782" s="5">
        <f>IFERROR(__xludf.DUMMYFUNCTION("""COMPUTED_VALUE"""),1236.0)</f>
        <v>1236</v>
      </c>
    </row>
    <row r="1783">
      <c r="A1783" s="4">
        <f>IFERROR(__xludf.DUMMYFUNCTION("""COMPUTED_VALUE"""),44151.0)</f>
        <v>44151</v>
      </c>
      <c r="B1783" s="5">
        <f>IFERROR(__xludf.DUMMYFUNCTION("""COMPUTED_VALUE"""),2236.0)</f>
        <v>2236</v>
      </c>
      <c r="C1783" s="6">
        <f>IFERROR(__xludf.DUMMYFUNCTION("""COMPUTED_VALUE"""),0.4246)</f>
        <v>0.4246</v>
      </c>
      <c r="D1783" s="2">
        <f>IFERROR(__xludf.DUMMYFUNCTION("""COMPUTED_VALUE"""),0.0021064814814814813)</f>
        <v>0.002106481481</v>
      </c>
      <c r="E1783" s="1">
        <f>IFERROR(__xludf.DUMMYFUNCTION("""COMPUTED_VALUE"""),1.07)</f>
        <v>1.07</v>
      </c>
      <c r="F1783" s="1">
        <f>IFERROR(__xludf.DUMMYFUNCTION("""COMPUTED_VALUE"""),4.47)</f>
        <v>4.47</v>
      </c>
      <c r="G1783" s="5">
        <f>IFERROR(__xludf.DUMMYFUNCTION("""COMPUTED_VALUE"""),10678.0)</f>
        <v>10678</v>
      </c>
      <c r="H1783" s="5">
        <f>IFERROR(__xludf.DUMMYFUNCTION("""COMPUTED_VALUE"""),2388.0)</f>
        <v>2388</v>
      </c>
    </row>
    <row r="1784">
      <c r="A1784" s="4">
        <f>IFERROR(__xludf.DUMMYFUNCTION("""COMPUTED_VALUE"""),44152.0)</f>
        <v>44152</v>
      </c>
      <c r="B1784" s="5">
        <f>IFERROR(__xludf.DUMMYFUNCTION("""COMPUTED_VALUE"""),1986.0)</f>
        <v>1986</v>
      </c>
      <c r="C1784" s="6">
        <f>IFERROR(__xludf.DUMMYFUNCTION("""COMPUTED_VALUE"""),0.45)</f>
        <v>0.45</v>
      </c>
      <c r="D1784" s="2">
        <f>IFERROR(__xludf.DUMMYFUNCTION("""COMPUTED_VALUE"""),0.0016898148148148148)</f>
        <v>0.001689814815</v>
      </c>
      <c r="E1784" s="1">
        <f>IFERROR(__xludf.DUMMYFUNCTION("""COMPUTED_VALUE"""),1.12)</f>
        <v>1.12</v>
      </c>
      <c r="F1784" s="1">
        <f>IFERROR(__xludf.DUMMYFUNCTION("""COMPUTED_VALUE"""),4.72)</f>
        <v>4.72</v>
      </c>
      <c r="G1784" s="5">
        <f>IFERROR(__xludf.DUMMYFUNCTION("""COMPUTED_VALUE"""),10483.0)</f>
        <v>10483</v>
      </c>
      <c r="H1784" s="5">
        <f>IFERROR(__xludf.DUMMYFUNCTION("""COMPUTED_VALUE"""),2222.0)</f>
        <v>2222</v>
      </c>
    </row>
    <row r="1785">
      <c r="A1785" s="4">
        <f>IFERROR(__xludf.DUMMYFUNCTION("""COMPUTED_VALUE"""),44153.0)</f>
        <v>44153</v>
      </c>
      <c r="B1785" s="5">
        <f>IFERROR(__xludf.DUMMYFUNCTION("""COMPUTED_VALUE"""),2124.0)</f>
        <v>2124</v>
      </c>
      <c r="C1785" s="6">
        <f>IFERROR(__xludf.DUMMYFUNCTION("""COMPUTED_VALUE"""),0.4646)</f>
        <v>0.4646</v>
      </c>
      <c r="D1785" s="2">
        <f>IFERROR(__xludf.DUMMYFUNCTION("""COMPUTED_VALUE"""),0.0021412037037037038)</f>
        <v>0.002141203704</v>
      </c>
      <c r="E1785" s="1">
        <f>IFERROR(__xludf.DUMMYFUNCTION("""COMPUTED_VALUE"""),1.11)</f>
        <v>1.11</v>
      </c>
      <c r="F1785" s="1">
        <f>IFERROR(__xludf.DUMMYFUNCTION("""COMPUTED_VALUE"""),4.22)</f>
        <v>4.22</v>
      </c>
      <c r="G1785" s="5">
        <f>IFERROR(__xludf.DUMMYFUNCTION("""COMPUTED_VALUE"""),9956.0)</f>
        <v>9956</v>
      </c>
      <c r="H1785" s="5">
        <f>IFERROR(__xludf.DUMMYFUNCTION("""COMPUTED_VALUE"""),2361.0)</f>
        <v>2361</v>
      </c>
    </row>
    <row r="1786">
      <c r="A1786" s="4">
        <f>IFERROR(__xludf.DUMMYFUNCTION("""COMPUTED_VALUE"""),44154.0)</f>
        <v>44154</v>
      </c>
      <c r="B1786" s="5">
        <f>IFERROR(__xludf.DUMMYFUNCTION("""COMPUTED_VALUE"""),1888.0)</f>
        <v>1888</v>
      </c>
      <c r="C1786" s="6">
        <f>IFERROR(__xludf.DUMMYFUNCTION("""COMPUTED_VALUE"""),0.388)</f>
        <v>0.388</v>
      </c>
      <c r="D1786" s="2">
        <f>IFERROR(__xludf.DUMMYFUNCTION("""COMPUTED_VALUE"""),0.003263888888888889)</f>
        <v>0.003263888889</v>
      </c>
      <c r="E1786" s="1">
        <f>IFERROR(__xludf.DUMMYFUNCTION("""COMPUTED_VALUE"""),1.25)</f>
        <v>1.25</v>
      </c>
      <c r="F1786" s="1">
        <f>IFERROR(__xludf.DUMMYFUNCTION("""COMPUTED_VALUE"""),5.47)</f>
        <v>5.47</v>
      </c>
      <c r="G1786" s="5">
        <f>IFERROR(__xludf.DUMMYFUNCTION("""COMPUTED_VALUE"""),12913.0)</f>
        <v>12913</v>
      </c>
      <c r="H1786" s="5">
        <f>IFERROR(__xludf.DUMMYFUNCTION("""COMPUTED_VALUE"""),2361.0)</f>
        <v>2361</v>
      </c>
    </row>
    <row r="1787">
      <c r="A1787" s="4">
        <f>IFERROR(__xludf.DUMMYFUNCTION("""COMPUTED_VALUE"""),44155.0)</f>
        <v>44155</v>
      </c>
      <c r="B1787" s="5">
        <f>IFERROR(__xludf.DUMMYFUNCTION("""COMPUTED_VALUE"""),2111.0)</f>
        <v>2111</v>
      </c>
      <c r="C1787" s="6">
        <f>IFERROR(__xludf.DUMMYFUNCTION("""COMPUTED_VALUE"""),0.438)</f>
        <v>0.438</v>
      </c>
      <c r="D1787" s="2">
        <f>IFERROR(__xludf.DUMMYFUNCTION("""COMPUTED_VALUE"""),0.002210648148148148)</f>
        <v>0.002210648148</v>
      </c>
      <c r="E1787" s="1">
        <f>IFERROR(__xludf.DUMMYFUNCTION("""COMPUTED_VALUE"""),1.11)</f>
        <v>1.11</v>
      </c>
      <c r="F1787" s="1">
        <f>IFERROR(__xludf.DUMMYFUNCTION("""COMPUTED_VALUE"""),3.93)</f>
        <v>3.93</v>
      </c>
      <c r="G1787" s="5">
        <f>IFERROR(__xludf.DUMMYFUNCTION("""COMPUTED_VALUE"""),9220.0)</f>
        <v>9220</v>
      </c>
      <c r="H1787" s="5">
        <f>IFERROR(__xludf.DUMMYFUNCTION("""COMPUTED_VALUE"""),2347.0)</f>
        <v>2347</v>
      </c>
    </row>
    <row r="1788">
      <c r="A1788" s="4">
        <f>IFERROR(__xludf.DUMMYFUNCTION("""COMPUTED_VALUE"""),44156.0)</f>
        <v>44156</v>
      </c>
      <c r="B1788" s="5">
        <f>IFERROR(__xludf.DUMMYFUNCTION("""COMPUTED_VALUE"""),1222.0)</f>
        <v>1222</v>
      </c>
      <c r="C1788" s="6">
        <f>IFERROR(__xludf.DUMMYFUNCTION("""COMPUTED_VALUE"""),0.3701)</f>
        <v>0.3701</v>
      </c>
      <c r="D1788" s="2">
        <f>IFERROR(__xludf.DUMMYFUNCTION("""COMPUTED_VALUE"""),0.002349537037037037)</f>
        <v>0.002349537037</v>
      </c>
      <c r="E1788" s="1">
        <f>IFERROR(__xludf.DUMMYFUNCTION("""COMPUTED_VALUE"""),1.14)</f>
        <v>1.14</v>
      </c>
      <c r="F1788" s="1">
        <f>IFERROR(__xludf.DUMMYFUNCTION("""COMPUTED_VALUE"""),5.21)</f>
        <v>5.21</v>
      </c>
      <c r="G1788" s="5">
        <f>IFERROR(__xludf.DUMMYFUNCTION("""COMPUTED_VALUE"""),7234.0)</f>
        <v>7234</v>
      </c>
      <c r="H1788" s="5">
        <f>IFERROR(__xludf.DUMMYFUNCTION("""COMPUTED_VALUE"""),1389.0)</f>
        <v>1389</v>
      </c>
    </row>
    <row r="1789">
      <c r="A1789" s="4">
        <f>IFERROR(__xludf.DUMMYFUNCTION("""COMPUTED_VALUE"""),44157.0)</f>
        <v>44157</v>
      </c>
      <c r="B1789" s="5">
        <f>IFERROR(__xludf.DUMMYFUNCTION("""COMPUTED_VALUE"""),1500.0)</f>
        <v>1500</v>
      </c>
      <c r="C1789" s="6">
        <f>IFERROR(__xludf.DUMMYFUNCTION("""COMPUTED_VALUE"""),0.4207)</f>
        <v>0.4207</v>
      </c>
      <c r="D1789" s="2">
        <f>IFERROR(__xludf.DUMMYFUNCTION("""COMPUTED_VALUE"""),0.0024074074074074076)</f>
        <v>0.002407407407</v>
      </c>
      <c r="E1789" s="1">
        <f>IFERROR(__xludf.DUMMYFUNCTION("""COMPUTED_VALUE"""),1.06)</f>
        <v>1.06</v>
      </c>
      <c r="F1789" s="1">
        <f>IFERROR(__xludf.DUMMYFUNCTION("""COMPUTED_VALUE"""),5.44)</f>
        <v>5.44</v>
      </c>
      <c r="G1789" s="5">
        <f>IFERROR(__xludf.DUMMYFUNCTION("""COMPUTED_VALUE"""),8609.0)</f>
        <v>8609</v>
      </c>
      <c r="H1789" s="5">
        <f>IFERROR(__xludf.DUMMYFUNCTION("""COMPUTED_VALUE"""),1583.0)</f>
        <v>1583</v>
      </c>
    </row>
    <row r="1790">
      <c r="A1790" s="4">
        <f>IFERROR(__xludf.DUMMYFUNCTION("""COMPUTED_VALUE"""),44158.0)</f>
        <v>44158</v>
      </c>
      <c r="B1790" s="5">
        <f>IFERROR(__xludf.DUMMYFUNCTION("""COMPUTED_VALUE"""),2194.0)</f>
        <v>2194</v>
      </c>
      <c r="C1790" s="6">
        <f>IFERROR(__xludf.DUMMYFUNCTION("""COMPUTED_VALUE"""),0.4284)</f>
        <v>0.4284</v>
      </c>
      <c r="D1790" s="2">
        <f>IFERROR(__xludf.DUMMYFUNCTION("""COMPUTED_VALUE"""),0.002951388888888889)</f>
        <v>0.002951388889</v>
      </c>
      <c r="E1790" s="1">
        <f>IFERROR(__xludf.DUMMYFUNCTION("""COMPUTED_VALUE"""),1.11)</f>
        <v>1.11</v>
      </c>
      <c r="F1790" s="1">
        <f>IFERROR(__xludf.DUMMYFUNCTION("""COMPUTED_VALUE"""),6.36)</f>
        <v>6.36</v>
      </c>
      <c r="G1790" s="5">
        <f>IFERROR(__xludf.DUMMYFUNCTION("""COMPUTED_VALUE"""),15454.0)</f>
        <v>15454</v>
      </c>
      <c r="H1790" s="5">
        <f>IFERROR(__xludf.DUMMYFUNCTION("""COMPUTED_VALUE"""),2430.0)</f>
        <v>2430</v>
      </c>
    </row>
    <row r="1791">
      <c r="A1791" s="4">
        <f>IFERROR(__xludf.DUMMYFUNCTION("""COMPUTED_VALUE"""),44159.0)</f>
        <v>44159</v>
      </c>
      <c r="B1791" s="5">
        <f>IFERROR(__xludf.DUMMYFUNCTION("""COMPUTED_VALUE"""),2444.0)</f>
        <v>2444</v>
      </c>
      <c r="C1791" s="6">
        <f>IFERROR(__xludf.DUMMYFUNCTION("""COMPUTED_VALUE"""),0.402)</f>
        <v>0.402</v>
      </c>
      <c r="D1791" s="2">
        <f>IFERROR(__xludf.DUMMYFUNCTION("""COMPUTED_VALUE"""),0.00369212962962963)</f>
        <v>0.00369212963</v>
      </c>
      <c r="E1791" s="1">
        <f>IFERROR(__xludf.DUMMYFUNCTION("""COMPUTED_VALUE"""),1.1)</f>
        <v>1.1</v>
      </c>
      <c r="F1791" s="1">
        <f>IFERROR(__xludf.DUMMYFUNCTION("""COMPUTED_VALUE"""),8.16)</f>
        <v>8.16</v>
      </c>
      <c r="G1791" s="5">
        <f>IFERROR(__xludf.DUMMYFUNCTION("""COMPUTED_VALUE"""),21994.0)</f>
        <v>21994</v>
      </c>
      <c r="H1791" s="5">
        <f>IFERROR(__xludf.DUMMYFUNCTION("""COMPUTED_VALUE"""),2694.0)</f>
        <v>2694</v>
      </c>
    </row>
    <row r="1792">
      <c r="A1792" s="4">
        <f>IFERROR(__xludf.DUMMYFUNCTION("""COMPUTED_VALUE"""),44160.0)</f>
        <v>44160</v>
      </c>
      <c r="B1792" s="5">
        <f>IFERROR(__xludf.DUMMYFUNCTION("""COMPUTED_VALUE"""),2152.0)</f>
        <v>2152</v>
      </c>
      <c r="C1792" s="6">
        <f>IFERROR(__xludf.DUMMYFUNCTION("""COMPUTED_VALUE"""),0.4495)</f>
        <v>0.4495</v>
      </c>
      <c r="D1792" s="2">
        <f>IFERROR(__xludf.DUMMYFUNCTION("""COMPUTED_VALUE"""),0.0027546296296296294)</f>
        <v>0.00275462963</v>
      </c>
      <c r="E1792" s="1">
        <f>IFERROR(__xludf.DUMMYFUNCTION("""COMPUTED_VALUE"""),1.09)</f>
        <v>1.09</v>
      </c>
      <c r="F1792" s="1">
        <f>IFERROR(__xludf.DUMMYFUNCTION("""COMPUTED_VALUE"""),5.25)</f>
        <v>5.25</v>
      </c>
      <c r="G1792" s="5">
        <f>IFERROR(__xludf.DUMMYFUNCTION("""COMPUTED_VALUE"""),12316.0)</f>
        <v>12316</v>
      </c>
      <c r="H1792" s="5">
        <f>IFERROR(__xludf.DUMMYFUNCTION("""COMPUTED_VALUE"""),2347.0)</f>
        <v>2347</v>
      </c>
    </row>
    <row r="1793">
      <c r="A1793" s="4">
        <f>IFERROR(__xludf.DUMMYFUNCTION("""COMPUTED_VALUE"""),44161.0)</f>
        <v>44161</v>
      </c>
      <c r="B1793" s="5">
        <f>IFERROR(__xludf.DUMMYFUNCTION("""COMPUTED_VALUE"""),1847.0)</f>
        <v>1847</v>
      </c>
      <c r="C1793" s="6">
        <f>IFERROR(__xludf.DUMMYFUNCTION("""COMPUTED_VALUE"""),0.5035)</f>
        <v>0.5035</v>
      </c>
      <c r="D1793" s="2">
        <f>IFERROR(__xludf.DUMMYFUNCTION("""COMPUTED_VALUE"""),0.0021759259259259258)</f>
        <v>0.002175925926</v>
      </c>
      <c r="E1793" s="1">
        <f>IFERROR(__xludf.DUMMYFUNCTION("""COMPUTED_VALUE"""),1.08)</f>
        <v>1.08</v>
      </c>
      <c r="F1793" s="1">
        <f>IFERROR(__xludf.DUMMYFUNCTION("""COMPUTED_VALUE"""),4.56)</f>
        <v>4.56</v>
      </c>
      <c r="G1793" s="5">
        <f>IFERROR(__xludf.DUMMYFUNCTION("""COMPUTED_VALUE"""),9053.0)</f>
        <v>9053</v>
      </c>
      <c r="H1793" s="5">
        <f>IFERROR(__xludf.DUMMYFUNCTION("""COMPUTED_VALUE"""),1986.0)</f>
        <v>1986</v>
      </c>
    </row>
    <row r="1794">
      <c r="A1794" s="4">
        <f>IFERROR(__xludf.DUMMYFUNCTION("""COMPUTED_VALUE"""),44162.0)</f>
        <v>44162</v>
      </c>
      <c r="B1794" s="5">
        <f>IFERROR(__xludf.DUMMYFUNCTION("""COMPUTED_VALUE"""),1999.0)</f>
        <v>1999</v>
      </c>
      <c r="C1794" s="6">
        <f>IFERROR(__xludf.DUMMYFUNCTION("""COMPUTED_VALUE"""),0.4373)</f>
        <v>0.4373</v>
      </c>
      <c r="D1794" s="2">
        <f>IFERROR(__xludf.DUMMYFUNCTION("""COMPUTED_VALUE"""),0.0031134259259259257)</f>
        <v>0.003113425926</v>
      </c>
      <c r="E1794" s="1">
        <f>IFERROR(__xludf.DUMMYFUNCTION("""COMPUTED_VALUE"""),1.16)</f>
        <v>1.16</v>
      </c>
      <c r="F1794" s="1">
        <f>IFERROR(__xludf.DUMMYFUNCTION("""COMPUTED_VALUE"""),5.42)</f>
        <v>5.42</v>
      </c>
      <c r="G1794" s="5">
        <f>IFERROR(__xludf.DUMMYFUNCTION("""COMPUTED_VALUE"""),12580.0)</f>
        <v>12580</v>
      </c>
      <c r="H1794" s="5">
        <f>IFERROR(__xludf.DUMMYFUNCTION("""COMPUTED_VALUE"""),2319.0)</f>
        <v>2319</v>
      </c>
    </row>
    <row r="1795">
      <c r="A1795" s="4">
        <f>IFERROR(__xludf.DUMMYFUNCTION("""COMPUTED_VALUE"""),44163.0)</f>
        <v>44163</v>
      </c>
      <c r="B1795" s="5">
        <f>IFERROR(__xludf.DUMMYFUNCTION("""COMPUTED_VALUE"""),1555.0)</f>
        <v>1555</v>
      </c>
      <c r="C1795" s="6">
        <f>IFERROR(__xludf.DUMMYFUNCTION("""COMPUTED_VALUE"""),0.4201)</f>
        <v>0.4201</v>
      </c>
      <c r="D1795" s="2">
        <f>IFERROR(__xludf.DUMMYFUNCTION("""COMPUTED_VALUE"""),0.002210648148148148)</f>
        <v>0.002210648148</v>
      </c>
      <c r="E1795" s="1">
        <f>IFERROR(__xludf.DUMMYFUNCTION("""COMPUTED_VALUE"""),1.06)</f>
        <v>1.06</v>
      </c>
      <c r="F1795" s="1">
        <f>IFERROR(__xludf.DUMMYFUNCTION("""COMPUTED_VALUE"""),5.29)</f>
        <v>5.29</v>
      </c>
      <c r="G1795" s="5">
        <f>IFERROR(__xludf.DUMMYFUNCTION("""COMPUTED_VALUE"""),8734.0)</f>
        <v>8734</v>
      </c>
      <c r="H1795" s="5">
        <f>IFERROR(__xludf.DUMMYFUNCTION("""COMPUTED_VALUE"""),1652.0)</f>
        <v>1652</v>
      </c>
    </row>
    <row r="1796">
      <c r="A1796" s="4">
        <f>IFERROR(__xludf.DUMMYFUNCTION("""COMPUTED_VALUE"""),44164.0)</f>
        <v>44164</v>
      </c>
      <c r="B1796" s="5">
        <f>IFERROR(__xludf.DUMMYFUNCTION("""COMPUTED_VALUE"""),1750.0)</f>
        <v>1750</v>
      </c>
      <c r="C1796" s="6">
        <f>IFERROR(__xludf.DUMMYFUNCTION("""COMPUTED_VALUE"""),0.4567)</f>
        <v>0.4567</v>
      </c>
      <c r="D1796" s="2">
        <f>IFERROR(__xludf.DUMMYFUNCTION("""COMPUTED_VALUE"""),0.0019675925925925924)</f>
        <v>0.001967592593</v>
      </c>
      <c r="E1796" s="1">
        <f>IFERROR(__xludf.DUMMYFUNCTION("""COMPUTED_VALUE"""),1.09)</f>
        <v>1.09</v>
      </c>
      <c r="F1796" s="1">
        <f>IFERROR(__xludf.DUMMYFUNCTION("""COMPUTED_VALUE"""),6.06)</f>
        <v>6.06</v>
      </c>
      <c r="G1796" s="5">
        <f>IFERROR(__xludf.DUMMYFUNCTION("""COMPUTED_VALUE"""),11608.0)</f>
        <v>11608</v>
      </c>
      <c r="H1796" s="5">
        <f>IFERROR(__xludf.DUMMYFUNCTION("""COMPUTED_VALUE"""),1916.0)</f>
        <v>1916</v>
      </c>
    </row>
    <row r="1797">
      <c r="A1797" s="4">
        <f>IFERROR(__xludf.DUMMYFUNCTION("""COMPUTED_VALUE"""),44165.0)</f>
        <v>44165</v>
      </c>
      <c r="B1797" s="5">
        <f>IFERROR(__xludf.DUMMYFUNCTION("""COMPUTED_VALUE"""),2860.0)</f>
        <v>2860</v>
      </c>
      <c r="C1797" s="6">
        <f>IFERROR(__xludf.DUMMYFUNCTION("""COMPUTED_VALUE"""),0.394)</f>
        <v>0.394</v>
      </c>
      <c r="D1797" s="2">
        <f>IFERROR(__xludf.DUMMYFUNCTION("""COMPUTED_VALUE"""),0.0028819444444444444)</f>
        <v>0.002881944444</v>
      </c>
      <c r="E1797" s="1">
        <f>IFERROR(__xludf.DUMMYFUNCTION("""COMPUTED_VALUE"""),1.12)</f>
        <v>1.12</v>
      </c>
      <c r="F1797" s="1">
        <f>IFERROR(__xludf.DUMMYFUNCTION("""COMPUTED_VALUE"""),6.87)</f>
        <v>6.87</v>
      </c>
      <c r="G1797" s="5">
        <f>IFERROR(__xludf.DUMMYFUNCTION("""COMPUTED_VALUE"""),22036.0)</f>
        <v>22036</v>
      </c>
      <c r="H1797" s="5">
        <f>IFERROR(__xludf.DUMMYFUNCTION("""COMPUTED_VALUE"""),3208.0)</f>
        <v>3208</v>
      </c>
    </row>
    <row r="1798">
      <c r="A1798" s="4">
        <f>IFERROR(__xludf.DUMMYFUNCTION("""COMPUTED_VALUE"""),44166.0)</f>
        <v>44166</v>
      </c>
      <c r="B1798" s="5">
        <f>IFERROR(__xludf.DUMMYFUNCTION("""COMPUTED_VALUE"""),2597.0)</f>
        <v>2597</v>
      </c>
      <c r="C1798" s="6">
        <f>IFERROR(__xludf.DUMMYFUNCTION("""COMPUTED_VALUE"""),0.4378)</f>
        <v>0.4378</v>
      </c>
      <c r="D1798" s="2">
        <f>IFERROR(__xludf.DUMMYFUNCTION("""COMPUTED_VALUE"""),0.0033680555555555556)</f>
        <v>0.003368055556</v>
      </c>
      <c r="E1798" s="1">
        <f>IFERROR(__xludf.DUMMYFUNCTION("""COMPUTED_VALUE"""),1.16)</f>
        <v>1.16</v>
      </c>
      <c r="F1798" s="1">
        <f>IFERROR(__xludf.DUMMYFUNCTION("""COMPUTED_VALUE"""),6.47)</f>
        <v>6.47</v>
      </c>
      <c r="G1798" s="5">
        <f>IFERROR(__xludf.DUMMYFUNCTION("""COMPUTED_VALUE"""),19509.0)</f>
        <v>19509</v>
      </c>
      <c r="H1798" s="5">
        <f>IFERROR(__xludf.DUMMYFUNCTION("""COMPUTED_VALUE"""),3013.0)</f>
        <v>3013</v>
      </c>
    </row>
    <row r="1799">
      <c r="A1799" s="4">
        <f>IFERROR(__xludf.DUMMYFUNCTION("""COMPUTED_VALUE"""),44167.0)</f>
        <v>44167</v>
      </c>
      <c r="B1799" s="5">
        <f>IFERROR(__xludf.DUMMYFUNCTION("""COMPUTED_VALUE"""),2874.0)</f>
        <v>2874</v>
      </c>
      <c r="C1799" s="6">
        <f>IFERROR(__xludf.DUMMYFUNCTION("""COMPUTED_VALUE"""),0.4127)</f>
        <v>0.4127</v>
      </c>
      <c r="D1799" s="2">
        <f>IFERROR(__xludf.DUMMYFUNCTION("""COMPUTED_VALUE"""),0.0024189814814814816)</f>
        <v>0.002418981481</v>
      </c>
      <c r="E1799" s="1">
        <f>IFERROR(__xludf.DUMMYFUNCTION("""COMPUTED_VALUE"""),1.16)</f>
        <v>1.16</v>
      </c>
      <c r="F1799" s="1">
        <f>IFERROR(__xludf.DUMMYFUNCTION("""COMPUTED_VALUE"""),5.44)</f>
        <v>5.44</v>
      </c>
      <c r="G1799" s="5">
        <f>IFERROR(__xludf.DUMMYFUNCTION("""COMPUTED_VALUE"""),18120.0)</f>
        <v>18120</v>
      </c>
      <c r="H1799" s="5">
        <f>IFERROR(__xludf.DUMMYFUNCTION("""COMPUTED_VALUE"""),3332.0)</f>
        <v>3332</v>
      </c>
    </row>
    <row r="1800">
      <c r="A1800" s="4">
        <f>IFERROR(__xludf.DUMMYFUNCTION("""COMPUTED_VALUE"""),44168.0)</f>
        <v>44168</v>
      </c>
      <c r="B1800" s="5">
        <f>IFERROR(__xludf.DUMMYFUNCTION("""COMPUTED_VALUE"""),2735.0)</f>
        <v>2735</v>
      </c>
      <c r="C1800" s="6">
        <f>IFERROR(__xludf.DUMMYFUNCTION("""COMPUTED_VALUE"""),0.4083)</f>
        <v>0.4083</v>
      </c>
      <c r="D1800" s="2">
        <f>IFERROR(__xludf.DUMMYFUNCTION("""COMPUTED_VALUE"""),0.0022685185185185187)</f>
        <v>0.002268518519</v>
      </c>
      <c r="E1800" s="1">
        <f>IFERROR(__xludf.DUMMYFUNCTION("""COMPUTED_VALUE"""),1.13)</f>
        <v>1.13</v>
      </c>
      <c r="F1800" s="1">
        <f>IFERROR(__xludf.DUMMYFUNCTION("""COMPUTED_VALUE"""),5.51)</f>
        <v>5.51</v>
      </c>
      <c r="G1800" s="5">
        <f>IFERROR(__xludf.DUMMYFUNCTION("""COMPUTED_VALUE"""),17065.0)</f>
        <v>17065</v>
      </c>
      <c r="H1800" s="5">
        <f>IFERROR(__xludf.DUMMYFUNCTION("""COMPUTED_VALUE"""),3096.0)</f>
        <v>3096</v>
      </c>
    </row>
    <row r="1801">
      <c r="A1801" s="4">
        <f>IFERROR(__xludf.DUMMYFUNCTION("""COMPUTED_VALUE"""),44169.0)</f>
        <v>44169</v>
      </c>
      <c r="B1801" s="5">
        <f>IFERROR(__xludf.DUMMYFUNCTION("""COMPUTED_VALUE"""),2749.0)</f>
        <v>2749</v>
      </c>
      <c r="C1801" s="6">
        <f>IFERROR(__xludf.DUMMYFUNCTION("""COMPUTED_VALUE"""),0.4884)</f>
        <v>0.4884</v>
      </c>
      <c r="D1801" s="2">
        <f>IFERROR(__xludf.DUMMYFUNCTION("""COMPUTED_VALUE"""),0.002002314814814815)</f>
        <v>0.002002314815</v>
      </c>
      <c r="E1801" s="1">
        <f>IFERROR(__xludf.DUMMYFUNCTION("""COMPUTED_VALUE"""),1.09)</f>
        <v>1.09</v>
      </c>
      <c r="F1801" s="1">
        <f>IFERROR(__xludf.DUMMYFUNCTION("""COMPUTED_VALUE"""),4.44)</f>
        <v>4.44</v>
      </c>
      <c r="G1801" s="5">
        <f>IFERROR(__xludf.DUMMYFUNCTION("""COMPUTED_VALUE"""),13261.0)</f>
        <v>13261</v>
      </c>
      <c r="H1801" s="5">
        <f>IFERROR(__xludf.DUMMYFUNCTION("""COMPUTED_VALUE"""),2985.0)</f>
        <v>2985</v>
      </c>
    </row>
    <row r="1802">
      <c r="A1802" s="4">
        <f>IFERROR(__xludf.DUMMYFUNCTION("""COMPUTED_VALUE"""),44170.0)</f>
        <v>44170</v>
      </c>
      <c r="B1802" s="5">
        <f>IFERROR(__xludf.DUMMYFUNCTION("""COMPUTED_VALUE"""),1847.0)</f>
        <v>1847</v>
      </c>
      <c r="C1802" s="6">
        <f>IFERROR(__xludf.DUMMYFUNCTION("""COMPUTED_VALUE"""),0.5453)</f>
        <v>0.5453</v>
      </c>
      <c r="D1802" s="2">
        <f>IFERROR(__xludf.DUMMYFUNCTION("""COMPUTED_VALUE"""),0.0021875)</f>
        <v>0.0021875</v>
      </c>
      <c r="E1802" s="1">
        <f>IFERROR(__xludf.DUMMYFUNCTION("""COMPUTED_VALUE"""),1.08)</f>
        <v>1.08</v>
      </c>
      <c r="F1802" s="1">
        <f>IFERROR(__xludf.DUMMYFUNCTION("""COMPUTED_VALUE"""),4.43)</f>
        <v>4.43</v>
      </c>
      <c r="G1802" s="5">
        <f>IFERROR(__xludf.DUMMYFUNCTION("""COMPUTED_VALUE"""),8789.0)</f>
        <v>8789</v>
      </c>
      <c r="H1802" s="5">
        <f>IFERROR(__xludf.DUMMYFUNCTION("""COMPUTED_VALUE"""),1986.0)</f>
        <v>1986</v>
      </c>
    </row>
    <row r="1803">
      <c r="A1803" s="4">
        <f>IFERROR(__xludf.DUMMYFUNCTION("""COMPUTED_VALUE"""),44171.0)</f>
        <v>44171</v>
      </c>
      <c r="B1803" s="5">
        <f>IFERROR(__xludf.DUMMYFUNCTION("""COMPUTED_VALUE"""),2083.0)</f>
        <v>2083</v>
      </c>
      <c r="C1803" s="6">
        <f>IFERROR(__xludf.DUMMYFUNCTION("""COMPUTED_VALUE"""),0.4756)</f>
        <v>0.4756</v>
      </c>
      <c r="D1803" s="2">
        <f>IFERROR(__xludf.DUMMYFUNCTION("""COMPUTED_VALUE"""),0.0017592592592592592)</f>
        <v>0.001759259259</v>
      </c>
      <c r="E1803" s="1">
        <f>IFERROR(__xludf.DUMMYFUNCTION("""COMPUTED_VALUE"""),1.09)</f>
        <v>1.09</v>
      </c>
      <c r="F1803" s="1">
        <f>IFERROR(__xludf.DUMMYFUNCTION("""COMPUTED_VALUE"""),4.2)</f>
        <v>4.2</v>
      </c>
      <c r="G1803" s="5">
        <f>IFERROR(__xludf.DUMMYFUNCTION("""COMPUTED_VALUE"""),9553.0)</f>
        <v>9553</v>
      </c>
      <c r="H1803" s="5">
        <f>IFERROR(__xludf.DUMMYFUNCTION("""COMPUTED_VALUE"""),2277.0)</f>
        <v>2277</v>
      </c>
    </row>
    <row r="1804">
      <c r="A1804" s="4">
        <f>IFERROR(__xludf.DUMMYFUNCTION("""COMPUTED_VALUE"""),44172.0)</f>
        <v>44172</v>
      </c>
      <c r="B1804" s="5">
        <f>IFERROR(__xludf.DUMMYFUNCTION("""COMPUTED_VALUE"""),3332.0)</f>
        <v>3332</v>
      </c>
      <c r="C1804" s="6">
        <f>IFERROR(__xludf.DUMMYFUNCTION("""COMPUTED_VALUE"""),0.444)</f>
        <v>0.444</v>
      </c>
      <c r="D1804" s="2">
        <f>IFERROR(__xludf.DUMMYFUNCTION("""COMPUTED_VALUE"""),0.003449074074074074)</f>
        <v>0.003449074074</v>
      </c>
      <c r="E1804" s="1">
        <f>IFERROR(__xludf.DUMMYFUNCTION("""COMPUTED_VALUE"""),1.12)</f>
        <v>1.12</v>
      </c>
      <c r="F1804" s="1">
        <f>IFERROR(__xludf.DUMMYFUNCTION("""COMPUTED_VALUE"""),6.33)</f>
        <v>6.33</v>
      </c>
      <c r="G1804" s="5">
        <f>IFERROR(__xludf.DUMMYFUNCTION("""COMPUTED_VALUE"""),23536.0)</f>
        <v>23536</v>
      </c>
      <c r="H1804" s="5">
        <f>IFERROR(__xludf.DUMMYFUNCTION("""COMPUTED_VALUE"""),3721.0)</f>
        <v>3721</v>
      </c>
    </row>
    <row r="1805">
      <c r="A1805" s="4">
        <f>IFERROR(__xludf.DUMMYFUNCTION("""COMPUTED_VALUE"""),44173.0)</f>
        <v>44173</v>
      </c>
      <c r="B1805" s="5">
        <f>IFERROR(__xludf.DUMMYFUNCTION("""COMPUTED_VALUE"""),3471.0)</f>
        <v>3471</v>
      </c>
      <c r="C1805" s="6">
        <f>IFERROR(__xludf.DUMMYFUNCTION("""COMPUTED_VALUE"""),0.4984)</f>
        <v>0.4984</v>
      </c>
      <c r="D1805" s="2">
        <f>IFERROR(__xludf.DUMMYFUNCTION("""COMPUTED_VALUE"""),0.0027546296296296294)</f>
        <v>0.00275462963</v>
      </c>
      <c r="E1805" s="1">
        <f>IFERROR(__xludf.DUMMYFUNCTION("""COMPUTED_VALUE"""),1.14)</f>
        <v>1.14</v>
      </c>
      <c r="F1805" s="1">
        <f>IFERROR(__xludf.DUMMYFUNCTION("""COMPUTED_VALUE"""),5.64)</f>
        <v>5.64</v>
      </c>
      <c r="G1805" s="5">
        <f>IFERROR(__xludf.DUMMYFUNCTION("""COMPUTED_VALUE"""),22300.0)</f>
        <v>22300</v>
      </c>
      <c r="H1805" s="5">
        <f>IFERROR(__xludf.DUMMYFUNCTION("""COMPUTED_VALUE"""),3957.0)</f>
        <v>3957</v>
      </c>
    </row>
    <row r="1806">
      <c r="A1806" s="4">
        <f>IFERROR(__xludf.DUMMYFUNCTION("""COMPUTED_VALUE"""),44174.0)</f>
        <v>44174</v>
      </c>
      <c r="B1806" s="5">
        <f>IFERROR(__xludf.DUMMYFUNCTION("""COMPUTED_VALUE"""),2999.0)</f>
        <v>2999</v>
      </c>
      <c r="C1806" s="6">
        <f>IFERROR(__xludf.DUMMYFUNCTION("""COMPUTED_VALUE"""),0.4497)</f>
        <v>0.4497</v>
      </c>
      <c r="D1806" s="2">
        <f>IFERROR(__xludf.DUMMYFUNCTION("""COMPUTED_VALUE"""),0.0030208333333333333)</f>
        <v>0.003020833333</v>
      </c>
      <c r="E1806" s="1">
        <f>IFERROR(__xludf.DUMMYFUNCTION("""COMPUTED_VALUE"""),1.19)</f>
        <v>1.19</v>
      </c>
      <c r="F1806" s="1">
        <f>IFERROR(__xludf.DUMMYFUNCTION("""COMPUTED_VALUE"""),5.21)</f>
        <v>5.21</v>
      </c>
      <c r="G1806" s="5">
        <f>IFERROR(__xludf.DUMMYFUNCTION("""COMPUTED_VALUE"""),18676.0)</f>
        <v>18676</v>
      </c>
      <c r="H1806" s="5">
        <f>IFERROR(__xludf.DUMMYFUNCTION("""COMPUTED_VALUE"""),3582.0)</f>
        <v>3582</v>
      </c>
    </row>
    <row r="1807">
      <c r="A1807" s="4">
        <f>IFERROR(__xludf.DUMMYFUNCTION("""COMPUTED_VALUE"""),44175.0)</f>
        <v>44175</v>
      </c>
      <c r="B1807" s="5">
        <f>IFERROR(__xludf.DUMMYFUNCTION("""COMPUTED_VALUE"""),3208.0)</f>
        <v>3208</v>
      </c>
      <c r="C1807" s="6">
        <f>IFERROR(__xludf.DUMMYFUNCTION("""COMPUTED_VALUE"""),0.4178)</f>
        <v>0.4178</v>
      </c>
      <c r="D1807" s="2">
        <f>IFERROR(__xludf.DUMMYFUNCTION("""COMPUTED_VALUE"""),0.0027314814814814814)</f>
        <v>0.002731481481</v>
      </c>
      <c r="E1807" s="1">
        <f>IFERROR(__xludf.DUMMYFUNCTION("""COMPUTED_VALUE"""),1.13)</f>
        <v>1.13</v>
      </c>
      <c r="F1807" s="1">
        <f>IFERROR(__xludf.DUMMYFUNCTION("""COMPUTED_VALUE"""),5.4)</f>
        <v>5.4</v>
      </c>
      <c r="G1807" s="5">
        <f>IFERROR(__xludf.DUMMYFUNCTION("""COMPUTED_VALUE"""),19565.0)</f>
        <v>19565</v>
      </c>
      <c r="H1807" s="5">
        <f>IFERROR(__xludf.DUMMYFUNCTION("""COMPUTED_VALUE"""),3624.0)</f>
        <v>3624</v>
      </c>
    </row>
    <row r="1808">
      <c r="A1808" s="4">
        <f>IFERROR(__xludf.DUMMYFUNCTION("""COMPUTED_VALUE"""),44176.0)</f>
        <v>44176</v>
      </c>
      <c r="B1808" s="5">
        <f>IFERROR(__xludf.DUMMYFUNCTION("""COMPUTED_VALUE"""),2860.0)</f>
        <v>2860</v>
      </c>
      <c r="C1808" s="6">
        <f>IFERROR(__xludf.DUMMYFUNCTION("""COMPUTED_VALUE"""),0.4709)</f>
        <v>0.4709</v>
      </c>
      <c r="D1808" s="2">
        <f>IFERROR(__xludf.DUMMYFUNCTION("""COMPUTED_VALUE"""),0.0030902777777777777)</f>
        <v>0.003090277778</v>
      </c>
      <c r="E1808" s="1">
        <f>IFERROR(__xludf.DUMMYFUNCTION("""COMPUTED_VALUE"""),1.08)</f>
        <v>1.08</v>
      </c>
      <c r="F1808" s="1">
        <f>IFERROR(__xludf.DUMMYFUNCTION("""COMPUTED_VALUE"""),7.59)</f>
        <v>7.59</v>
      </c>
      <c r="G1808" s="5">
        <f>IFERROR(__xludf.DUMMYFUNCTION("""COMPUTED_VALUE"""),23508.0)</f>
        <v>23508</v>
      </c>
      <c r="H1808" s="5">
        <f>IFERROR(__xludf.DUMMYFUNCTION("""COMPUTED_VALUE"""),3096.0)</f>
        <v>3096</v>
      </c>
    </row>
    <row r="1809">
      <c r="A1809" s="4">
        <f>IFERROR(__xludf.DUMMYFUNCTION("""COMPUTED_VALUE"""),44177.0)</f>
        <v>44177</v>
      </c>
      <c r="B1809" s="5">
        <f>IFERROR(__xludf.DUMMYFUNCTION("""COMPUTED_VALUE"""),1708.0)</f>
        <v>1708</v>
      </c>
      <c r="C1809" s="6">
        <f>IFERROR(__xludf.DUMMYFUNCTION("""COMPUTED_VALUE"""),0.549)</f>
        <v>0.549</v>
      </c>
      <c r="D1809" s="2">
        <f>IFERROR(__xludf.DUMMYFUNCTION("""COMPUTED_VALUE"""),0.0013657407407407407)</f>
        <v>0.001365740741</v>
      </c>
      <c r="E1809" s="1">
        <f>IFERROR(__xludf.DUMMYFUNCTION("""COMPUTED_VALUE"""),1.08)</f>
        <v>1.08</v>
      </c>
      <c r="F1809" s="1">
        <f>IFERROR(__xludf.DUMMYFUNCTION("""COMPUTED_VALUE"""),4.09)</f>
        <v>4.09</v>
      </c>
      <c r="G1809" s="5">
        <f>IFERROR(__xludf.DUMMYFUNCTION("""COMPUTED_VALUE"""),7554.0)</f>
        <v>7554</v>
      </c>
      <c r="H1809" s="5">
        <f>IFERROR(__xludf.DUMMYFUNCTION("""COMPUTED_VALUE"""),1847.0)</f>
        <v>1847</v>
      </c>
    </row>
    <row r="1810">
      <c r="A1810" s="4">
        <f>IFERROR(__xludf.DUMMYFUNCTION("""COMPUTED_VALUE"""),44178.0)</f>
        <v>44178</v>
      </c>
      <c r="B1810" s="5">
        <f>IFERROR(__xludf.DUMMYFUNCTION("""COMPUTED_VALUE"""),1944.0)</f>
        <v>1944</v>
      </c>
      <c r="C1810" s="6">
        <f>IFERROR(__xludf.DUMMYFUNCTION("""COMPUTED_VALUE"""),0.5606)</f>
        <v>0.5606</v>
      </c>
      <c r="D1810" s="2">
        <f>IFERROR(__xludf.DUMMYFUNCTION("""COMPUTED_VALUE"""),0.002766203703703704)</f>
        <v>0.002766203704</v>
      </c>
      <c r="E1810" s="1">
        <f>IFERROR(__xludf.DUMMYFUNCTION("""COMPUTED_VALUE"""),1.06)</f>
        <v>1.06</v>
      </c>
      <c r="F1810" s="1">
        <f>IFERROR(__xludf.DUMMYFUNCTION("""COMPUTED_VALUE"""),5.99)</f>
        <v>5.99</v>
      </c>
      <c r="G1810" s="5">
        <f>IFERROR(__xludf.DUMMYFUNCTION("""COMPUTED_VALUE"""),12302.0)</f>
        <v>12302</v>
      </c>
      <c r="H1810" s="5">
        <f>IFERROR(__xludf.DUMMYFUNCTION("""COMPUTED_VALUE"""),2055.0)</f>
        <v>2055</v>
      </c>
    </row>
    <row r="1811">
      <c r="A1811" s="4">
        <f>IFERROR(__xludf.DUMMYFUNCTION("""COMPUTED_VALUE"""),44179.0)</f>
        <v>44179</v>
      </c>
      <c r="B1811" s="5">
        <f>IFERROR(__xludf.DUMMYFUNCTION("""COMPUTED_VALUE"""),3055.0)</f>
        <v>3055</v>
      </c>
      <c r="C1811" s="6">
        <f>IFERROR(__xludf.DUMMYFUNCTION("""COMPUTED_VALUE"""),0.5)</f>
        <v>0.5</v>
      </c>
      <c r="D1811" s="2">
        <f>IFERROR(__xludf.DUMMYFUNCTION("""COMPUTED_VALUE"""),0.002627314814814815)</f>
        <v>0.002627314815</v>
      </c>
      <c r="E1811" s="1">
        <f>IFERROR(__xludf.DUMMYFUNCTION("""COMPUTED_VALUE"""),1.1)</f>
        <v>1.1</v>
      </c>
      <c r="F1811" s="1">
        <f>IFERROR(__xludf.DUMMYFUNCTION("""COMPUTED_VALUE"""),5.73)</f>
        <v>5.73</v>
      </c>
      <c r="G1811" s="5">
        <f>IFERROR(__xludf.DUMMYFUNCTION("""COMPUTED_VALUE"""),19245.0)</f>
        <v>19245</v>
      </c>
      <c r="H1811" s="5">
        <f>IFERROR(__xludf.DUMMYFUNCTION("""COMPUTED_VALUE"""),3360.0)</f>
        <v>3360</v>
      </c>
    </row>
    <row r="1812">
      <c r="A1812" s="4">
        <f>IFERROR(__xludf.DUMMYFUNCTION("""COMPUTED_VALUE"""),44180.0)</f>
        <v>44180</v>
      </c>
      <c r="B1812" s="5">
        <f>IFERROR(__xludf.DUMMYFUNCTION("""COMPUTED_VALUE"""),2944.0)</f>
        <v>2944</v>
      </c>
      <c r="C1812" s="6">
        <f>IFERROR(__xludf.DUMMYFUNCTION("""COMPUTED_VALUE"""),0.4444)</f>
        <v>0.4444</v>
      </c>
      <c r="D1812" s="2">
        <f>IFERROR(__xludf.DUMMYFUNCTION("""COMPUTED_VALUE"""),0.002488425925925926)</f>
        <v>0.002488425926</v>
      </c>
      <c r="E1812" s="1">
        <f>IFERROR(__xludf.DUMMYFUNCTION("""COMPUTED_VALUE"""),1.1)</f>
        <v>1.1</v>
      </c>
      <c r="F1812" s="1">
        <f>IFERROR(__xludf.DUMMYFUNCTION("""COMPUTED_VALUE"""),6.92)</f>
        <v>6.92</v>
      </c>
      <c r="G1812" s="5">
        <f>IFERROR(__xludf.DUMMYFUNCTION("""COMPUTED_VALUE"""),22467.0)</f>
        <v>22467</v>
      </c>
      <c r="H1812" s="5">
        <f>IFERROR(__xludf.DUMMYFUNCTION("""COMPUTED_VALUE"""),3249.0)</f>
        <v>3249</v>
      </c>
    </row>
    <row r="1813">
      <c r="A1813" s="4">
        <f>IFERROR(__xludf.DUMMYFUNCTION("""COMPUTED_VALUE"""),44181.0)</f>
        <v>44181</v>
      </c>
      <c r="B1813" s="5">
        <f>IFERROR(__xludf.DUMMYFUNCTION("""COMPUTED_VALUE"""),2763.0)</f>
        <v>2763</v>
      </c>
      <c r="C1813" s="6">
        <f>IFERROR(__xludf.DUMMYFUNCTION("""COMPUTED_VALUE"""),0.445)</f>
        <v>0.445</v>
      </c>
      <c r="D1813" s="2">
        <f>IFERROR(__xludf.DUMMYFUNCTION("""COMPUTED_VALUE"""),0.0021527777777777778)</f>
        <v>0.002152777778</v>
      </c>
      <c r="E1813" s="1">
        <f>IFERROR(__xludf.DUMMYFUNCTION("""COMPUTED_VALUE"""),1.1)</f>
        <v>1.1</v>
      </c>
      <c r="F1813" s="1">
        <f>IFERROR(__xludf.DUMMYFUNCTION("""COMPUTED_VALUE"""),5.58)</f>
        <v>5.58</v>
      </c>
      <c r="G1813" s="5">
        <f>IFERROR(__xludf.DUMMYFUNCTION("""COMPUTED_VALUE"""),16885.0)</f>
        <v>16885</v>
      </c>
      <c r="H1813" s="5">
        <f>IFERROR(__xludf.DUMMYFUNCTION("""COMPUTED_VALUE"""),3027.0)</f>
        <v>3027</v>
      </c>
    </row>
    <row r="1814">
      <c r="A1814" s="4">
        <f>IFERROR(__xludf.DUMMYFUNCTION("""COMPUTED_VALUE"""),44182.0)</f>
        <v>44182</v>
      </c>
      <c r="B1814" s="5">
        <f>IFERROR(__xludf.DUMMYFUNCTION("""COMPUTED_VALUE"""),2708.0)</f>
        <v>2708</v>
      </c>
      <c r="C1814" s="6">
        <f>IFERROR(__xludf.DUMMYFUNCTION("""COMPUTED_VALUE"""),0.4522)</f>
        <v>0.4522</v>
      </c>
      <c r="D1814" s="2">
        <f>IFERROR(__xludf.DUMMYFUNCTION("""COMPUTED_VALUE"""),0.0028472222222222223)</f>
        <v>0.002847222222</v>
      </c>
      <c r="E1814" s="1">
        <f>IFERROR(__xludf.DUMMYFUNCTION("""COMPUTED_VALUE"""),1.12)</f>
        <v>1.12</v>
      </c>
      <c r="F1814" s="1">
        <f>IFERROR(__xludf.DUMMYFUNCTION("""COMPUTED_VALUE"""),7.01)</f>
        <v>7.01</v>
      </c>
      <c r="G1814" s="5">
        <f>IFERROR(__xludf.DUMMYFUNCTION("""COMPUTED_VALUE"""),21328.0)</f>
        <v>21328</v>
      </c>
      <c r="H1814" s="5">
        <f>IFERROR(__xludf.DUMMYFUNCTION("""COMPUTED_VALUE"""),3041.0)</f>
        <v>3041</v>
      </c>
    </row>
    <row r="1815">
      <c r="A1815" s="4">
        <f>IFERROR(__xludf.DUMMYFUNCTION("""COMPUTED_VALUE"""),44183.0)</f>
        <v>44183</v>
      </c>
      <c r="B1815" s="5">
        <f>IFERROR(__xludf.DUMMYFUNCTION("""COMPUTED_VALUE"""),2111.0)</f>
        <v>2111</v>
      </c>
      <c r="C1815" s="6">
        <f>IFERROR(__xludf.DUMMYFUNCTION("""COMPUTED_VALUE"""),0.4938)</f>
        <v>0.4938</v>
      </c>
      <c r="D1815" s="2">
        <f>IFERROR(__xludf.DUMMYFUNCTION("""COMPUTED_VALUE"""),0.0027430555555555554)</f>
        <v>0.002743055556</v>
      </c>
      <c r="E1815" s="1">
        <f>IFERROR(__xludf.DUMMYFUNCTION("""COMPUTED_VALUE"""),1.11)</f>
        <v>1.11</v>
      </c>
      <c r="F1815" s="1">
        <f>IFERROR(__xludf.DUMMYFUNCTION("""COMPUTED_VALUE"""),5.14)</f>
        <v>5.14</v>
      </c>
      <c r="G1815" s="5">
        <f>IFERROR(__xludf.DUMMYFUNCTION("""COMPUTED_VALUE"""),11983.0)</f>
        <v>11983</v>
      </c>
      <c r="H1815" s="5">
        <f>IFERROR(__xludf.DUMMYFUNCTION("""COMPUTED_VALUE"""),2333.0)</f>
        <v>2333</v>
      </c>
    </row>
    <row r="1816">
      <c r="A1816" s="4">
        <f>IFERROR(__xludf.DUMMYFUNCTION("""COMPUTED_VALUE"""),44184.0)</f>
        <v>44184</v>
      </c>
      <c r="B1816" s="5">
        <f>IFERROR(__xludf.DUMMYFUNCTION("""COMPUTED_VALUE"""),1569.0)</f>
        <v>1569</v>
      </c>
      <c r="C1816" s="6">
        <f>IFERROR(__xludf.DUMMYFUNCTION("""COMPUTED_VALUE"""),0.4482)</f>
        <v>0.4482</v>
      </c>
      <c r="D1816" s="2">
        <f>IFERROR(__xludf.DUMMYFUNCTION("""COMPUTED_VALUE"""),0.003553240740740741)</f>
        <v>0.003553240741</v>
      </c>
      <c r="E1816" s="1">
        <f>IFERROR(__xludf.DUMMYFUNCTION("""COMPUTED_VALUE"""),1.11)</f>
        <v>1.11</v>
      </c>
      <c r="F1816" s="1">
        <f>IFERROR(__xludf.DUMMYFUNCTION("""COMPUTED_VALUE"""),9.26)</f>
        <v>9.26</v>
      </c>
      <c r="G1816" s="5">
        <f>IFERROR(__xludf.DUMMYFUNCTION("""COMPUTED_VALUE"""),16079.0)</f>
        <v>16079</v>
      </c>
      <c r="H1816" s="5">
        <f>IFERROR(__xludf.DUMMYFUNCTION("""COMPUTED_VALUE"""),1736.0)</f>
        <v>1736</v>
      </c>
    </row>
    <row r="1817">
      <c r="A1817" s="4">
        <f>IFERROR(__xludf.DUMMYFUNCTION("""COMPUTED_VALUE"""),44185.0)</f>
        <v>44185</v>
      </c>
      <c r="B1817" s="5">
        <f>IFERROR(__xludf.DUMMYFUNCTION("""COMPUTED_VALUE"""),1638.0)</f>
        <v>1638</v>
      </c>
      <c r="C1817" s="6">
        <f>IFERROR(__xludf.DUMMYFUNCTION("""COMPUTED_VALUE"""),0.5679)</f>
        <v>0.5679</v>
      </c>
      <c r="D1817" s="2">
        <f>IFERROR(__xludf.DUMMYFUNCTION("""COMPUTED_VALUE"""),0.0021759259259259258)</f>
        <v>0.002175925926</v>
      </c>
      <c r="E1817" s="1">
        <f>IFERROR(__xludf.DUMMYFUNCTION("""COMPUTED_VALUE"""),1.12)</f>
        <v>1.12</v>
      </c>
      <c r="F1817" s="1">
        <f>IFERROR(__xludf.DUMMYFUNCTION("""COMPUTED_VALUE"""),4.32)</f>
        <v>4.32</v>
      </c>
      <c r="G1817" s="5">
        <f>IFERROR(__xludf.DUMMYFUNCTION("""COMPUTED_VALUE"""),7915.0)</f>
        <v>7915</v>
      </c>
      <c r="H1817" s="5">
        <f>IFERROR(__xludf.DUMMYFUNCTION("""COMPUTED_VALUE"""),1833.0)</f>
        <v>1833</v>
      </c>
    </row>
    <row r="1818">
      <c r="A1818" s="4">
        <f>IFERROR(__xludf.DUMMYFUNCTION("""COMPUTED_VALUE"""),44186.0)</f>
        <v>44186</v>
      </c>
      <c r="B1818" s="5">
        <f>IFERROR(__xludf.DUMMYFUNCTION("""COMPUTED_VALUE"""),2180.0)</f>
        <v>2180</v>
      </c>
      <c r="C1818" s="6">
        <f>IFERROR(__xludf.DUMMYFUNCTION("""COMPUTED_VALUE"""),0.4856)</f>
        <v>0.4856</v>
      </c>
      <c r="D1818" s="2">
        <f>IFERROR(__xludf.DUMMYFUNCTION("""COMPUTED_VALUE"""),0.0019560185185185184)</f>
        <v>0.001956018519</v>
      </c>
      <c r="E1818" s="1">
        <f>IFERROR(__xludf.DUMMYFUNCTION("""COMPUTED_VALUE"""),1.11)</f>
        <v>1.11</v>
      </c>
      <c r="F1818" s="1">
        <f>IFERROR(__xludf.DUMMYFUNCTION("""COMPUTED_VALUE"""),4.89)</f>
        <v>4.89</v>
      </c>
      <c r="G1818" s="5">
        <f>IFERROR(__xludf.DUMMYFUNCTION("""COMPUTED_VALUE"""),11886.0)</f>
        <v>11886</v>
      </c>
      <c r="H1818" s="5">
        <f>IFERROR(__xludf.DUMMYFUNCTION("""COMPUTED_VALUE"""),2430.0)</f>
        <v>2430</v>
      </c>
    </row>
    <row r="1819">
      <c r="A1819" s="4">
        <f>IFERROR(__xludf.DUMMYFUNCTION("""COMPUTED_VALUE"""),44187.0)</f>
        <v>44187</v>
      </c>
      <c r="B1819" s="5">
        <f>IFERROR(__xludf.DUMMYFUNCTION("""COMPUTED_VALUE"""),2027.0)</f>
        <v>2027</v>
      </c>
      <c r="C1819" s="6">
        <f>IFERROR(__xludf.DUMMYFUNCTION("""COMPUTED_VALUE"""),0.4612)</f>
        <v>0.4612</v>
      </c>
      <c r="D1819" s="2">
        <f>IFERROR(__xludf.DUMMYFUNCTION("""COMPUTED_VALUE"""),0.0024305555555555556)</f>
        <v>0.002430555556</v>
      </c>
      <c r="E1819" s="1">
        <f>IFERROR(__xludf.DUMMYFUNCTION("""COMPUTED_VALUE"""),1.05)</f>
        <v>1.05</v>
      </c>
      <c r="F1819" s="1">
        <f>IFERROR(__xludf.DUMMYFUNCTION("""COMPUTED_VALUE"""),4.97)</f>
        <v>4.97</v>
      </c>
      <c r="G1819" s="5">
        <f>IFERROR(__xludf.DUMMYFUNCTION("""COMPUTED_VALUE"""),10636.0)</f>
        <v>10636</v>
      </c>
      <c r="H1819" s="5">
        <f>IFERROR(__xludf.DUMMYFUNCTION("""COMPUTED_VALUE"""),2138.0)</f>
        <v>2138</v>
      </c>
    </row>
    <row r="1820">
      <c r="A1820" s="4">
        <f>IFERROR(__xludf.DUMMYFUNCTION("""COMPUTED_VALUE"""),44188.0)</f>
        <v>44188</v>
      </c>
      <c r="B1820" s="5">
        <f>IFERROR(__xludf.DUMMYFUNCTION("""COMPUTED_VALUE"""),1652.0)</f>
        <v>1652</v>
      </c>
      <c r="C1820" s="6">
        <f>IFERROR(__xludf.DUMMYFUNCTION("""COMPUTED_VALUE"""),0.4729)</f>
        <v>0.4729</v>
      </c>
      <c r="D1820" s="2">
        <f>IFERROR(__xludf.DUMMYFUNCTION("""COMPUTED_VALUE"""),0.002939814814814815)</f>
        <v>0.002939814815</v>
      </c>
      <c r="E1820" s="1">
        <f>IFERROR(__xludf.DUMMYFUNCTION("""COMPUTED_VALUE"""),1.08)</f>
        <v>1.08</v>
      </c>
      <c r="F1820" s="1">
        <f>IFERROR(__xludf.DUMMYFUNCTION("""COMPUTED_VALUE"""),5.48)</f>
        <v>5.48</v>
      </c>
      <c r="G1820" s="5">
        <f>IFERROR(__xludf.DUMMYFUNCTION("""COMPUTED_VALUE"""),9817.0)</f>
        <v>9817</v>
      </c>
      <c r="H1820" s="5">
        <f>IFERROR(__xludf.DUMMYFUNCTION("""COMPUTED_VALUE"""),1791.0)</f>
        <v>1791</v>
      </c>
    </row>
    <row r="1821">
      <c r="A1821" s="4">
        <f>IFERROR(__xludf.DUMMYFUNCTION("""COMPUTED_VALUE"""),44189.0)</f>
        <v>44189</v>
      </c>
      <c r="B1821" s="5">
        <f>IFERROR(__xludf.DUMMYFUNCTION("""COMPUTED_VALUE"""),1125.0)</f>
        <v>1125</v>
      </c>
      <c r="C1821" s="6">
        <f>IFERROR(__xludf.DUMMYFUNCTION("""COMPUTED_VALUE"""),0.6237)</f>
        <v>0.6237</v>
      </c>
      <c r="D1821" s="2">
        <f>IFERROR(__xludf.DUMMYFUNCTION("""COMPUTED_VALUE"""),0.0013541666666666667)</f>
        <v>0.001354166667</v>
      </c>
      <c r="E1821" s="1">
        <f>IFERROR(__xludf.DUMMYFUNCTION("""COMPUTED_VALUE"""),1.05)</f>
        <v>1.05</v>
      </c>
      <c r="F1821" s="1">
        <f>IFERROR(__xludf.DUMMYFUNCTION("""COMPUTED_VALUE"""),3.62)</f>
        <v>3.62</v>
      </c>
      <c r="G1821" s="5">
        <f>IFERROR(__xludf.DUMMYFUNCTION("""COMPUTED_VALUE"""),4277.0)</f>
        <v>4277</v>
      </c>
      <c r="H1821" s="5">
        <f>IFERROR(__xludf.DUMMYFUNCTION("""COMPUTED_VALUE"""),1180.0)</f>
        <v>1180</v>
      </c>
    </row>
    <row r="1822">
      <c r="A1822" s="4">
        <f>IFERROR(__xludf.DUMMYFUNCTION("""COMPUTED_VALUE"""),44190.0)</f>
        <v>44190</v>
      </c>
      <c r="B1822" s="5">
        <f>IFERROR(__xludf.DUMMYFUNCTION("""COMPUTED_VALUE"""),1111.0)</f>
        <v>1111</v>
      </c>
      <c r="C1822" s="6">
        <f>IFERROR(__xludf.DUMMYFUNCTION("""COMPUTED_VALUE"""),0.6)</f>
        <v>0.6</v>
      </c>
      <c r="D1822" s="2">
        <f>IFERROR(__xludf.DUMMYFUNCTION("""COMPUTED_VALUE"""),8.217592592592593E-4)</f>
        <v>0.0008217592593</v>
      </c>
      <c r="E1822" s="1">
        <f>IFERROR(__xludf.DUMMYFUNCTION("""COMPUTED_VALUE"""),1.06)</f>
        <v>1.06</v>
      </c>
      <c r="F1822" s="1">
        <f>IFERROR(__xludf.DUMMYFUNCTION("""COMPUTED_VALUE"""),3.52)</f>
        <v>3.52</v>
      </c>
      <c r="G1822" s="5">
        <f>IFERROR(__xludf.DUMMYFUNCTION("""COMPUTED_VALUE"""),4152.0)</f>
        <v>4152</v>
      </c>
      <c r="H1822" s="5">
        <f>IFERROR(__xludf.DUMMYFUNCTION("""COMPUTED_VALUE"""),1180.0)</f>
        <v>1180</v>
      </c>
    </row>
    <row r="1823">
      <c r="A1823" s="4">
        <f>IFERROR(__xludf.DUMMYFUNCTION("""COMPUTED_VALUE"""),44191.0)</f>
        <v>44191</v>
      </c>
      <c r="B1823" s="5">
        <f>IFERROR(__xludf.DUMMYFUNCTION("""COMPUTED_VALUE"""),1166.0)</f>
        <v>1166</v>
      </c>
      <c r="C1823" s="6">
        <f>IFERROR(__xludf.DUMMYFUNCTION("""COMPUTED_VALUE"""),0.5352)</f>
        <v>0.5352</v>
      </c>
      <c r="D1823" s="2">
        <f>IFERROR(__xludf.DUMMYFUNCTION("""COMPUTED_VALUE"""),8.449074074074074E-4)</f>
        <v>0.0008449074074</v>
      </c>
      <c r="E1823" s="1">
        <f>IFERROR(__xludf.DUMMYFUNCTION("""COMPUTED_VALUE"""),1.02)</f>
        <v>1.02</v>
      </c>
      <c r="F1823" s="1">
        <f>IFERROR(__xludf.DUMMYFUNCTION("""COMPUTED_VALUE"""),4.44)</f>
        <v>4.44</v>
      </c>
      <c r="G1823" s="5">
        <f>IFERROR(__xludf.DUMMYFUNCTION("""COMPUTED_VALUE"""),5304.0)</f>
        <v>5304</v>
      </c>
      <c r="H1823" s="5">
        <f>IFERROR(__xludf.DUMMYFUNCTION("""COMPUTED_VALUE"""),1194.0)</f>
        <v>1194</v>
      </c>
    </row>
    <row r="1824">
      <c r="A1824" s="4">
        <f>IFERROR(__xludf.DUMMYFUNCTION("""COMPUTED_VALUE"""),44192.0)</f>
        <v>44192</v>
      </c>
      <c r="B1824" s="5">
        <f>IFERROR(__xludf.DUMMYFUNCTION("""COMPUTED_VALUE"""),1291.0)</f>
        <v>1291</v>
      </c>
      <c r="C1824" s="6">
        <f>IFERROR(__xludf.DUMMYFUNCTION("""COMPUTED_VALUE"""),0.5695)</f>
        <v>0.5695</v>
      </c>
      <c r="D1824" s="2">
        <f>IFERROR(__xludf.DUMMYFUNCTION("""COMPUTED_VALUE"""),0.0015393518518518519)</f>
        <v>0.001539351852</v>
      </c>
      <c r="E1824" s="1">
        <f>IFERROR(__xludf.DUMMYFUNCTION("""COMPUTED_VALUE"""),1.08)</f>
        <v>1.08</v>
      </c>
      <c r="F1824" s="1">
        <f>IFERROR(__xludf.DUMMYFUNCTION("""COMPUTED_VALUE"""),3.59)</f>
        <v>3.59</v>
      </c>
      <c r="G1824" s="5">
        <f>IFERROR(__xludf.DUMMYFUNCTION("""COMPUTED_VALUE"""),4985.0)</f>
        <v>4985</v>
      </c>
      <c r="H1824" s="5">
        <f>IFERROR(__xludf.DUMMYFUNCTION("""COMPUTED_VALUE"""),1389.0)</f>
        <v>1389</v>
      </c>
    </row>
    <row r="1825">
      <c r="A1825" s="4">
        <f>IFERROR(__xludf.DUMMYFUNCTION("""COMPUTED_VALUE"""),44193.0)</f>
        <v>44193</v>
      </c>
      <c r="B1825" s="5">
        <f>IFERROR(__xludf.DUMMYFUNCTION("""COMPUTED_VALUE"""),1527.0)</f>
        <v>1527</v>
      </c>
      <c r="C1825" s="6">
        <f>IFERROR(__xludf.DUMMYFUNCTION("""COMPUTED_VALUE"""),0.4958)</f>
        <v>0.4958</v>
      </c>
      <c r="D1825" s="2">
        <f>IFERROR(__xludf.DUMMYFUNCTION("""COMPUTED_VALUE"""),0.0021527777777777778)</f>
        <v>0.002152777778</v>
      </c>
      <c r="E1825" s="1">
        <f>IFERROR(__xludf.DUMMYFUNCTION("""COMPUTED_VALUE"""),1.1)</f>
        <v>1.1</v>
      </c>
      <c r="F1825" s="1">
        <f>IFERROR(__xludf.DUMMYFUNCTION("""COMPUTED_VALUE"""),5.21)</f>
        <v>5.21</v>
      </c>
      <c r="G1825" s="5">
        <f>IFERROR(__xludf.DUMMYFUNCTION("""COMPUTED_VALUE"""),8748.0)</f>
        <v>8748</v>
      </c>
      <c r="H1825" s="5">
        <f>IFERROR(__xludf.DUMMYFUNCTION("""COMPUTED_VALUE"""),1680.0)</f>
        <v>1680</v>
      </c>
    </row>
    <row r="1826">
      <c r="A1826" s="4">
        <f>IFERROR(__xludf.DUMMYFUNCTION("""COMPUTED_VALUE"""),44194.0)</f>
        <v>44194</v>
      </c>
      <c r="B1826" s="5">
        <f>IFERROR(__xludf.DUMMYFUNCTION("""COMPUTED_VALUE"""),1486.0)</f>
        <v>1486</v>
      </c>
      <c r="C1826" s="6">
        <f>IFERROR(__xludf.DUMMYFUNCTION("""COMPUTED_VALUE"""),0.5216)</f>
        <v>0.5216</v>
      </c>
      <c r="D1826" s="2">
        <f>IFERROR(__xludf.DUMMYFUNCTION("""COMPUTED_VALUE"""),0.0019444444444444444)</f>
        <v>0.001944444444</v>
      </c>
      <c r="E1826" s="1">
        <f>IFERROR(__xludf.DUMMYFUNCTION("""COMPUTED_VALUE"""),1.07)</f>
        <v>1.07</v>
      </c>
      <c r="F1826" s="1">
        <f>IFERROR(__xludf.DUMMYFUNCTION("""COMPUTED_VALUE"""),5.12)</f>
        <v>5.12</v>
      </c>
      <c r="G1826" s="5">
        <f>IFERROR(__xludf.DUMMYFUNCTION("""COMPUTED_VALUE"""),8178.0)</f>
        <v>8178</v>
      </c>
      <c r="H1826" s="5">
        <f>IFERROR(__xludf.DUMMYFUNCTION("""COMPUTED_VALUE"""),1597.0)</f>
        <v>1597</v>
      </c>
    </row>
    <row r="1827">
      <c r="A1827" s="4">
        <f>IFERROR(__xludf.DUMMYFUNCTION("""COMPUTED_VALUE"""),44195.0)</f>
        <v>44195</v>
      </c>
      <c r="B1827" s="5">
        <f>IFERROR(__xludf.DUMMYFUNCTION("""COMPUTED_VALUE"""),1458.0)</f>
        <v>1458</v>
      </c>
      <c r="C1827" s="6">
        <f>IFERROR(__xludf.DUMMYFUNCTION("""COMPUTED_VALUE"""),0.5174)</f>
        <v>0.5174</v>
      </c>
      <c r="D1827" s="2">
        <f>IFERROR(__xludf.DUMMYFUNCTION("""COMPUTED_VALUE"""),0.0011226851851851851)</f>
        <v>0.001122685185</v>
      </c>
      <c r="E1827" s="1">
        <f>IFERROR(__xludf.DUMMYFUNCTION("""COMPUTED_VALUE"""),1.09)</f>
        <v>1.09</v>
      </c>
      <c r="F1827" s="1">
        <f>IFERROR(__xludf.DUMMYFUNCTION("""COMPUTED_VALUE"""),4.54)</f>
        <v>4.54</v>
      </c>
      <c r="G1827" s="5">
        <f>IFERROR(__xludf.DUMMYFUNCTION("""COMPUTED_VALUE"""),7179.0)</f>
        <v>7179</v>
      </c>
      <c r="H1827" s="5">
        <f>IFERROR(__xludf.DUMMYFUNCTION("""COMPUTED_VALUE"""),1583.0)</f>
        <v>1583</v>
      </c>
    </row>
    <row r="1828">
      <c r="A1828" s="4">
        <f>IFERROR(__xludf.DUMMYFUNCTION("""COMPUTED_VALUE"""),44196.0)</f>
        <v>44196</v>
      </c>
      <c r="B1828" s="1">
        <f>IFERROR(__xludf.DUMMYFUNCTION("""COMPUTED_VALUE"""),916.0)</f>
        <v>916</v>
      </c>
      <c r="C1828" s="6">
        <f>IFERROR(__xludf.DUMMYFUNCTION("""COMPUTED_VALUE"""),0.5998)</f>
        <v>0.5998</v>
      </c>
      <c r="D1828" s="2">
        <f>IFERROR(__xludf.DUMMYFUNCTION("""COMPUTED_VALUE"""),0.002523148148148148)</f>
        <v>0.002523148148</v>
      </c>
      <c r="E1828" s="1">
        <f>IFERROR(__xludf.DUMMYFUNCTION("""COMPUTED_VALUE"""),1.06)</f>
        <v>1.06</v>
      </c>
      <c r="F1828" s="1">
        <f>IFERROR(__xludf.DUMMYFUNCTION("""COMPUTED_VALUE"""),6.47)</f>
        <v>6.47</v>
      </c>
      <c r="G1828" s="5">
        <f>IFERROR(__xludf.DUMMYFUNCTION("""COMPUTED_VALUE"""),6290.0)</f>
        <v>6290</v>
      </c>
      <c r="H1828" s="1">
        <f>IFERROR(__xludf.DUMMYFUNCTION("""COMPUTED_VALUE"""),972.0)</f>
        <v>972</v>
      </c>
    </row>
    <row r="1829">
      <c r="A1829" s="4">
        <f>IFERROR(__xludf.DUMMYFUNCTION("""COMPUTED_VALUE"""),44197.0)</f>
        <v>44197</v>
      </c>
      <c r="B1829" s="5">
        <f>IFERROR(__xludf.DUMMYFUNCTION("""COMPUTED_VALUE"""),1000.0)</f>
        <v>1000</v>
      </c>
      <c r="C1829" s="6">
        <f>IFERROR(__xludf.DUMMYFUNCTION("""COMPUTED_VALUE"""),0.6026)</f>
        <v>0.6026</v>
      </c>
      <c r="D1829" s="2">
        <f>IFERROR(__xludf.DUMMYFUNCTION("""COMPUTED_VALUE"""),0.0014583333333333334)</f>
        <v>0.001458333333</v>
      </c>
      <c r="E1829" s="1">
        <f>IFERROR(__xludf.DUMMYFUNCTION("""COMPUTED_VALUE"""),1.01)</f>
        <v>1.01</v>
      </c>
      <c r="F1829" s="1">
        <f>IFERROR(__xludf.DUMMYFUNCTION("""COMPUTED_VALUE"""),3.45)</f>
        <v>3.45</v>
      </c>
      <c r="G1829" s="5">
        <f>IFERROR(__xludf.DUMMYFUNCTION("""COMPUTED_VALUE"""),3499.0)</f>
        <v>3499</v>
      </c>
      <c r="H1829" s="5">
        <f>IFERROR(__xludf.DUMMYFUNCTION("""COMPUTED_VALUE"""),1014.0)</f>
        <v>1014</v>
      </c>
    </row>
    <row r="1830">
      <c r="A1830" s="4">
        <f>IFERROR(__xludf.DUMMYFUNCTION("""COMPUTED_VALUE"""),44198.0)</f>
        <v>44198</v>
      </c>
      <c r="B1830" s="5">
        <f>IFERROR(__xludf.DUMMYFUNCTION("""COMPUTED_VALUE"""),1139.0)</f>
        <v>1139</v>
      </c>
      <c r="C1830" s="6">
        <f>IFERROR(__xludf.DUMMYFUNCTION("""COMPUTED_VALUE"""),0.5235)</f>
        <v>0.5235</v>
      </c>
      <c r="D1830" s="2">
        <f>IFERROR(__xludf.DUMMYFUNCTION("""COMPUTED_VALUE"""),0.0014699074074074074)</f>
        <v>0.001469907407</v>
      </c>
      <c r="E1830" s="1">
        <f>IFERROR(__xludf.DUMMYFUNCTION("""COMPUTED_VALUE"""),1.05)</f>
        <v>1.05</v>
      </c>
      <c r="F1830" s="1">
        <f>IFERROR(__xludf.DUMMYFUNCTION("""COMPUTED_VALUE"""),4.37)</f>
        <v>4.37</v>
      </c>
      <c r="G1830" s="5">
        <f>IFERROR(__xludf.DUMMYFUNCTION("""COMPUTED_VALUE"""),5221.0)</f>
        <v>5221</v>
      </c>
      <c r="H1830" s="5">
        <f>IFERROR(__xludf.DUMMYFUNCTION("""COMPUTED_VALUE"""),1194.0)</f>
        <v>1194</v>
      </c>
    </row>
    <row r="1831">
      <c r="A1831" s="4">
        <f>IFERROR(__xludf.DUMMYFUNCTION("""COMPUTED_VALUE"""),44199.0)</f>
        <v>44199</v>
      </c>
      <c r="B1831" s="5">
        <f>IFERROR(__xludf.DUMMYFUNCTION("""COMPUTED_VALUE"""),1277.0)</f>
        <v>1277</v>
      </c>
      <c r="C1831" s="6">
        <f>IFERROR(__xludf.DUMMYFUNCTION("""COMPUTED_VALUE"""),0.5556)</f>
        <v>0.5556</v>
      </c>
      <c r="D1831" s="2">
        <f>IFERROR(__xludf.DUMMYFUNCTION("""COMPUTED_VALUE"""),0.0021064814814814813)</f>
        <v>0.002106481481</v>
      </c>
      <c r="E1831" s="1">
        <f>IFERROR(__xludf.DUMMYFUNCTION("""COMPUTED_VALUE"""),1.08)</f>
        <v>1.08</v>
      </c>
      <c r="F1831" s="1">
        <f>IFERROR(__xludf.DUMMYFUNCTION("""COMPUTED_VALUE"""),3.84)</f>
        <v>3.84</v>
      </c>
      <c r="G1831" s="5">
        <f>IFERROR(__xludf.DUMMYFUNCTION("""COMPUTED_VALUE"""),5276.0)</f>
        <v>5276</v>
      </c>
      <c r="H1831" s="5">
        <f>IFERROR(__xludf.DUMMYFUNCTION("""COMPUTED_VALUE"""),1375.0)</f>
        <v>1375</v>
      </c>
    </row>
    <row r="1832">
      <c r="A1832" s="4">
        <f>IFERROR(__xludf.DUMMYFUNCTION("""COMPUTED_VALUE"""),44200.0)</f>
        <v>44200</v>
      </c>
      <c r="B1832" s="5">
        <f>IFERROR(__xludf.DUMMYFUNCTION("""COMPUTED_VALUE"""),1583.0)</f>
        <v>1583</v>
      </c>
      <c r="C1832" s="6">
        <f>IFERROR(__xludf.DUMMYFUNCTION("""COMPUTED_VALUE"""),0.5666)</f>
        <v>0.5666</v>
      </c>
      <c r="D1832" s="2">
        <f>IFERROR(__xludf.DUMMYFUNCTION("""COMPUTED_VALUE"""),9.837962962962962E-4)</f>
        <v>0.0009837962963</v>
      </c>
      <c r="E1832" s="1">
        <f>IFERROR(__xludf.DUMMYFUNCTION("""COMPUTED_VALUE"""),1.05)</f>
        <v>1.05</v>
      </c>
      <c r="F1832" s="1">
        <f>IFERROR(__xludf.DUMMYFUNCTION("""COMPUTED_VALUE"""),3.59)</f>
        <v>3.59</v>
      </c>
      <c r="G1832" s="5">
        <f>IFERROR(__xludf.DUMMYFUNCTION("""COMPUTED_VALUE"""),5985.0)</f>
        <v>5985</v>
      </c>
      <c r="H1832" s="5">
        <f>IFERROR(__xludf.DUMMYFUNCTION("""COMPUTED_VALUE"""),1666.0)</f>
        <v>1666</v>
      </c>
    </row>
    <row r="1833">
      <c r="A1833" s="4">
        <f>IFERROR(__xludf.DUMMYFUNCTION("""COMPUTED_VALUE"""),44201.0)</f>
        <v>44201</v>
      </c>
      <c r="B1833" s="5">
        <f>IFERROR(__xludf.DUMMYFUNCTION("""COMPUTED_VALUE"""),2111.0)</f>
        <v>2111</v>
      </c>
      <c r="C1833" s="6">
        <f>IFERROR(__xludf.DUMMYFUNCTION("""COMPUTED_VALUE"""),0.5688)</f>
        <v>0.5688</v>
      </c>
      <c r="D1833" s="2">
        <f>IFERROR(__xludf.DUMMYFUNCTION("""COMPUTED_VALUE"""),0.0028935185185185184)</f>
        <v>0.002893518519</v>
      </c>
      <c r="E1833" s="1">
        <f>IFERROR(__xludf.DUMMYFUNCTION("""COMPUTED_VALUE"""),1.1)</f>
        <v>1.1</v>
      </c>
      <c r="F1833" s="1">
        <f>IFERROR(__xludf.DUMMYFUNCTION("""COMPUTED_VALUE"""),4.0)</f>
        <v>4</v>
      </c>
      <c r="G1833" s="5">
        <f>IFERROR(__xludf.DUMMYFUNCTION("""COMPUTED_VALUE"""),9275.0)</f>
        <v>9275</v>
      </c>
      <c r="H1833" s="5">
        <f>IFERROR(__xludf.DUMMYFUNCTION("""COMPUTED_VALUE"""),2319.0)</f>
        <v>2319</v>
      </c>
    </row>
    <row r="1834">
      <c r="A1834" s="4">
        <f>IFERROR(__xludf.DUMMYFUNCTION("""COMPUTED_VALUE"""),44202.0)</f>
        <v>44202</v>
      </c>
      <c r="B1834" s="5">
        <f>IFERROR(__xludf.DUMMYFUNCTION("""COMPUTED_VALUE"""),2249.0)</f>
        <v>2249</v>
      </c>
      <c r="C1834" s="6">
        <f>IFERROR(__xludf.DUMMYFUNCTION("""COMPUTED_VALUE"""),0.5438)</f>
        <v>0.5438</v>
      </c>
      <c r="D1834" s="2">
        <f>IFERROR(__xludf.DUMMYFUNCTION("""COMPUTED_VALUE"""),0.0013657407407407407)</f>
        <v>0.001365740741</v>
      </c>
      <c r="E1834" s="1">
        <f>IFERROR(__xludf.DUMMYFUNCTION("""COMPUTED_VALUE"""),1.06)</f>
        <v>1.06</v>
      </c>
      <c r="F1834" s="1">
        <f>IFERROR(__xludf.DUMMYFUNCTION("""COMPUTED_VALUE"""),2.94)</f>
        <v>2.94</v>
      </c>
      <c r="G1834" s="5">
        <f>IFERROR(__xludf.DUMMYFUNCTION("""COMPUTED_VALUE"""),6984.0)</f>
        <v>6984</v>
      </c>
      <c r="H1834" s="5">
        <f>IFERROR(__xludf.DUMMYFUNCTION("""COMPUTED_VALUE"""),2374.0)</f>
        <v>2374</v>
      </c>
    </row>
    <row r="1835">
      <c r="A1835" s="4">
        <f>IFERROR(__xludf.DUMMYFUNCTION("""COMPUTED_VALUE"""),44203.0)</f>
        <v>44203</v>
      </c>
      <c r="B1835" s="5">
        <f>IFERROR(__xludf.DUMMYFUNCTION("""COMPUTED_VALUE"""),1847.0)</f>
        <v>1847</v>
      </c>
      <c r="C1835" s="6">
        <f>IFERROR(__xludf.DUMMYFUNCTION("""COMPUTED_VALUE"""),0.6012)</f>
        <v>0.6012</v>
      </c>
      <c r="D1835" s="2">
        <f>IFERROR(__xludf.DUMMYFUNCTION("""COMPUTED_VALUE"""),0.0013078703703703703)</f>
        <v>0.00130787037</v>
      </c>
      <c r="E1835" s="1">
        <f>IFERROR(__xludf.DUMMYFUNCTION("""COMPUTED_VALUE"""),1.08)</f>
        <v>1.08</v>
      </c>
      <c r="F1835" s="1">
        <f>IFERROR(__xludf.DUMMYFUNCTION("""COMPUTED_VALUE"""),3.81)</f>
        <v>3.81</v>
      </c>
      <c r="G1835" s="5">
        <f>IFERROR(__xludf.DUMMYFUNCTION("""COMPUTED_VALUE"""),7568.0)</f>
        <v>7568</v>
      </c>
      <c r="H1835" s="5">
        <f>IFERROR(__xludf.DUMMYFUNCTION("""COMPUTED_VALUE"""),1986.0)</f>
        <v>1986</v>
      </c>
    </row>
    <row r="1836">
      <c r="A1836" s="4">
        <f>IFERROR(__xludf.DUMMYFUNCTION("""COMPUTED_VALUE"""),44204.0)</f>
        <v>44204</v>
      </c>
      <c r="B1836" s="5">
        <f>IFERROR(__xludf.DUMMYFUNCTION("""COMPUTED_VALUE"""),1875.0)</f>
        <v>1875</v>
      </c>
      <c r="C1836" s="6">
        <f>IFERROR(__xludf.DUMMYFUNCTION("""COMPUTED_VALUE"""),0.5278)</f>
        <v>0.5278</v>
      </c>
      <c r="D1836" s="2">
        <f>IFERROR(__xludf.DUMMYFUNCTION("""COMPUTED_VALUE"""),0.0012962962962962963)</f>
        <v>0.001296296296</v>
      </c>
      <c r="E1836" s="1">
        <f>IFERROR(__xludf.DUMMYFUNCTION("""COMPUTED_VALUE"""),1.07)</f>
        <v>1.07</v>
      </c>
      <c r="F1836" s="1">
        <f>IFERROR(__xludf.DUMMYFUNCTION("""COMPUTED_VALUE"""),3.92)</f>
        <v>3.92</v>
      </c>
      <c r="G1836" s="5">
        <f>IFERROR(__xludf.DUMMYFUNCTION("""COMPUTED_VALUE"""),7831.0)</f>
        <v>7831</v>
      </c>
      <c r="H1836" s="5">
        <f>IFERROR(__xludf.DUMMYFUNCTION("""COMPUTED_VALUE"""),1999.0)</f>
        <v>1999</v>
      </c>
    </row>
    <row r="1837">
      <c r="A1837" s="4">
        <f>IFERROR(__xludf.DUMMYFUNCTION("""COMPUTED_VALUE"""),44205.0)</f>
        <v>44205</v>
      </c>
      <c r="B1837" s="5">
        <f>IFERROR(__xludf.DUMMYFUNCTION("""COMPUTED_VALUE"""),1139.0)</f>
        <v>1139</v>
      </c>
      <c r="C1837" s="6">
        <f>IFERROR(__xludf.DUMMYFUNCTION("""COMPUTED_VALUE"""),0.5406)</f>
        <v>0.5406</v>
      </c>
      <c r="D1837" s="2">
        <f>IFERROR(__xludf.DUMMYFUNCTION("""COMPUTED_VALUE"""),0.0018402777777777777)</f>
        <v>0.001840277778</v>
      </c>
      <c r="E1837" s="1">
        <f>IFERROR(__xludf.DUMMYFUNCTION("""COMPUTED_VALUE"""),1.06)</f>
        <v>1.06</v>
      </c>
      <c r="F1837" s="1">
        <f>IFERROR(__xludf.DUMMYFUNCTION("""COMPUTED_VALUE"""),5.03)</f>
        <v>5.03</v>
      </c>
      <c r="G1837" s="5">
        <f>IFERROR(__xludf.DUMMYFUNCTION("""COMPUTED_VALUE"""),6082.0)</f>
        <v>6082</v>
      </c>
      <c r="H1837" s="5">
        <f>IFERROR(__xludf.DUMMYFUNCTION("""COMPUTED_VALUE"""),1208.0)</f>
        <v>1208</v>
      </c>
    </row>
    <row r="1838">
      <c r="A1838" s="4">
        <f>IFERROR(__xludf.DUMMYFUNCTION("""COMPUTED_VALUE"""),44206.0)</f>
        <v>44206</v>
      </c>
      <c r="B1838" s="5">
        <f>IFERROR(__xludf.DUMMYFUNCTION("""COMPUTED_VALUE"""),1264.0)</f>
        <v>1264</v>
      </c>
      <c r="C1838" s="6">
        <f>IFERROR(__xludf.DUMMYFUNCTION("""COMPUTED_VALUE"""),0.5202)</f>
        <v>0.5202</v>
      </c>
      <c r="D1838" s="2">
        <f>IFERROR(__xludf.DUMMYFUNCTION("""COMPUTED_VALUE"""),0.0017592592592592592)</f>
        <v>0.001759259259</v>
      </c>
      <c r="E1838" s="1">
        <f>IFERROR(__xludf.DUMMYFUNCTION("""COMPUTED_VALUE"""),1.08)</f>
        <v>1.08</v>
      </c>
      <c r="F1838" s="1">
        <f>IFERROR(__xludf.DUMMYFUNCTION("""COMPUTED_VALUE"""),4.29)</f>
        <v>4.29</v>
      </c>
      <c r="G1838" s="5">
        <f>IFERROR(__xludf.DUMMYFUNCTION("""COMPUTED_VALUE"""),5832.0)</f>
        <v>5832</v>
      </c>
      <c r="H1838" s="5">
        <f>IFERROR(__xludf.DUMMYFUNCTION("""COMPUTED_VALUE"""),1361.0)</f>
        <v>1361</v>
      </c>
    </row>
    <row r="1839">
      <c r="A1839" s="4">
        <f>IFERROR(__xludf.DUMMYFUNCTION("""COMPUTED_VALUE"""),44207.0)</f>
        <v>44207</v>
      </c>
      <c r="B1839" s="5">
        <f>IFERROR(__xludf.DUMMYFUNCTION("""COMPUTED_VALUE"""),1972.0)</f>
        <v>1972</v>
      </c>
      <c r="C1839" s="6">
        <f>IFERROR(__xludf.DUMMYFUNCTION("""COMPUTED_VALUE"""),0.5284)</f>
        <v>0.5284</v>
      </c>
      <c r="D1839" s="2">
        <f>IFERROR(__xludf.DUMMYFUNCTION("""COMPUTED_VALUE"""),0.0015972222222222223)</f>
        <v>0.001597222222</v>
      </c>
      <c r="E1839" s="1">
        <f>IFERROR(__xludf.DUMMYFUNCTION("""COMPUTED_VALUE"""),1.11)</f>
        <v>1.11</v>
      </c>
      <c r="F1839" s="1">
        <f>IFERROR(__xludf.DUMMYFUNCTION("""COMPUTED_VALUE"""),4.15)</f>
        <v>4.15</v>
      </c>
      <c r="G1839" s="5">
        <f>IFERROR(__xludf.DUMMYFUNCTION("""COMPUTED_VALUE"""),9053.0)</f>
        <v>9053</v>
      </c>
      <c r="H1839" s="5">
        <f>IFERROR(__xludf.DUMMYFUNCTION("""COMPUTED_VALUE"""),2180.0)</f>
        <v>2180</v>
      </c>
    </row>
    <row r="1840">
      <c r="A1840" s="4">
        <f>IFERROR(__xludf.DUMMYFUNCTION("""COMPUTED_VALUE"""),44208.0)</f>
        <v>44208</v>
      </c>
      <c r="B1840" s="5">
        <f>IFERROR(__xludf.DUMMYFUNCTION("""COMPUTED_VALUE"""),1875.0)</f>
        <v>1875</v>
      </c>
      <c r="C1840" s="6">
        <f>IFERROR(__xludf.DUMMYFUNCTION("""COMPUTED_VALUE"""),0.4313)</f>
        <v>0.4313</v>
      </c>
      <c r="D1840" s="2">
        <f>IFERROR(__xludf.DUMMYFUNCTION("""COMPUTED_VALUE"""),0.002210648148148148)</f>
        <v>0.002210648148</v>
      </c>
      <c r="E1840" s="1">
        <f>IFERROR(__xludf.DUMMYFUNCTION("""COMPUTED_VALUE"""),1.13)</f>
        <v>1.13</v>
      </c>
      <c r="F1840" s="1">
        <f>IFERROR(__xludf.DUMMYFUNCTION("""COMPUTED_VALUE"""),4.06)</f>
        <v>4.06</v>
      </c>
      <c r="G1840" s="5">
        <f>IFERROR(__xludf.DUMMYFUNCTION("""COMPUTED_VALUE"""),8623.0)</f>
        <v>8623</v>
      </c>
      <c r="H1840" s="5">
        <f>IFERROR(__xludf.DUMMYFUNCTION("""COMPUTED_VALUE"""),2124.0)</f>
        <v>2124</v>
      </c>
    </row>
    <row r="1841">
      <c r="A1841" s="4">
        <f>IFERROR(__xludf.DUMMYFUNCTION("""COMPUTED_VALUE"""),44209.0)</f>
        <v>44209</v>
      </c>
      <c r="B1841" s="5">
        <f>IFERROR(__xludf.DUMMYFUNCTION("""COMPUTED_VALUE"""),1666.0)</f>
        <v>1666</v>
      </c>
      <c r="C1841" s="6">
        <f>IFERROR(__xludf.DUMMYFUNCTION("""COMPUTED_VALUE"""),0.4592)</f>
        <v>0.4592</v>
      </c>
      <c r="D1841" s="2">
        <f>IFERROR(__xludf.DUMMYFUNCTION("""COMPUTED_VALUE"""),0.0025462962962962965)</f>
        <v>0.002546296296</v>
      </c>
      <c r="E1841" s="1">
        <f>IFERROR(__xludf.DUMMYFUNCTION("""COMPUTED_VALUE"""),1.13)</f>
        <v>1.13</v>
      </c>
      <c r="F1841" s="1">
        <f>IFERROR(__xludf.DUMMYFUNCTION("""COMPUTED_VALUE"""),6.07)</f>
        <v>6.07</v>
      </c>
      <c r="G1841" s="5">
        <f>IFERROR(__xludf.DUMMYFUNCTION("""COMPUTED_VALUE"""),11386.0)</f>
        <v>11386</v>
      </c>
      <c r="H1841" s="5">
        <f>IFERROR(__xludf.DUMMYFUNCTION("""COMPUTED_VALUE"""),1875.0)</f>
        <v>1875</v>
      </c>
    </row>
    <row r="1842">
      <c r="A1842" s="4">
        <f>IFERROR(__xludf.DUMMYFUNCTION("""COMPUTED_VALUE"""),44210.0)</f>
        <v>44210</v>
      </c>
      <c r="B1842" s="5">
        <f>IFERROR(__xludf.DUMMYFUNCTION("""COMPUTED_VALUE"""),1819.0)</f>
        <v>1819</v>
      </c>
      <c r="C1842" s="6">
        <f>IFERROR(__xludf.DUMMYFUNCTION("""COMPUTED_VALUE"""),0.5)</f>
        <v>0.5</v>
      </c>
      <c r="D1842" s="2">
        <f>IFERROR(__xludf.DUMMYFUNCTION("""COMPUTED_VALUE"""),0.0021875)</f>
        <v>0.0021875</v>
      </c>
      <c r="E1842" s="1">
        <f>IFERROR(__xludf.DUMMYFUNCTION("""COMPUTED_VALUE"""),1.07)</f>
        <v>1.07</v>
      </c>
      <c r="F1842" s="1">
        <f>IFERROR(__xludf.DUMMYFUNCTION("""COMPUTED_VALUE"""),5.38)</f>
        <v>5.38</v>
      </c>
      <c r="G1842" s="5">
        <f>IFERROR(__xludf.DUMMYFUNCTION("""COMPUTED_VALUE"""),10456.0)</f>
        <v>10456</v>
      </c>
      <c r="H1842" s="5">
        <f>IFERROR(__xludf.DUMMYFUNCTION("""COMPUTED_VALUE"""),1944.0)</f>
        <v>1944</v>
      </c>
    </row>
    <row r="1843">
      <c r="A1843" s="4">
        <f>IFERROR(__xludf.DUMMYFUNCTION("""COMPUTED_VALUE"""),44211.0)</f>
        <v>44211</v>
      </c>
      <c r="B1843" s="5">
        <f>IFERROR(__xludf.DUMMYFUNCTION("""COMPUTED_VALUE"""),1555.0)</f>
        <v>1555</v>
      </c>
      <c r="C1843" s="6">
        <f>IFERROR(__xludf.DUMMYFUNCTION("""COMPUTED_VALUE"""),0.5307)</f>
        <v>0.5307</v>
      </c>
      <c r="D1843" s="2">
        <f>IFERROR(__xludf.DUMMYFUNCTION("""COMPUTED_VALUE"""),0.002928240740740741)</f>
        <v>0.002928240741</v>
      </c>
      <c r="E1843" s="1">
        <f>IFERROR(__xludf.DUMMYFUNCTION("""COMPUTED_VALUE"""),1.16)</f>
        <v>1.16</v>
      </c>
      <c r="F1843" s="1">
        <f>IFERROR(__xludf.DUMMYFUNCTION("""COMPUTED_VALUE"""),7.09)</f>
        <v>7.09</v>
      </c>
      <c r="G1843" s="5">
        <f>IFERROR(__xludf.DUMMYFUNCTION("""COMPUTED_VALUE"""),12802.0)</f>
        <v>12802</v>
      </c>
      <c r="H1843" s="5">
        <f>IFERROR(__xludf.DUMMYFUNCTION("""COMPUTED_VALUE"""),1805.0)</f>
        <v>1805</v>
      </c>
    </row>
    <row r="1844">
      <c r="A1844" s="4">
        <f>IFERROR(__xludf.DUMMYFUNCTION("""COMPUTED_VALUE"""),44212.0)</f>
        <v>44212</v>
      </c>
      <c r="B1844" s="1">
        <f>IFERROR(__xludf.DUMMYFUNCTION("""COMPUTED_VALUE"""),986.0)</f>
        <v>986</v>
      </c>
      <c r="C1844" s="6">
        <f>IFERROR(__xludf.DUMMYFUNCTION("""COMPUTED_VALUE"""),0.5881)</f>
        <v>0.5881</v>
      </c>
      <c r="D1844" s="2">
        <f>IFERROR(__xludf.DUMMYFUNCTION("""COMPUTED_VALUE"""),0.0028356481481481483)</f>
        <v>0.002835648148</v>
      </c>
      <c r="E1844" s="1">
        <f>IFERROR(__xludf.DUMMYFUNCTION("""COMPUTED_VALUE"""),1.2)</f>
        <v>1.2</v>
      </c>
      <c r="F1844" s="1">
        <f>IFERROR(__xludf.DUMMYFUNCTION("""COMPUTED_VALUE"""),4.54)</f>
        <v>4.54</v>
      </c>
      <c r="G1844" s="5">
        <f>IFERROR(__xludf.DUMMYFUNCTION("""COMPUTED_VALUE"""),5360.0)</f>
        <v>5360</v>
      </c>
      <c r="H1844" s="5">
        <f>IFERROR(__xludf.DUMMYFUNCTION("""COMPUTED_VALUE"""),1180.0)</f>
        <v>1180</v>
      </c>
    </row>
    <row r="1845">
      <c r="A1845" s="4">
        <f>IFERROR(__xludf.DUMMYFUNCTION("""COMPUTED_VALUE"""),44213.0)</f>
        <v>44213</v>
      </c>
      <c r="B1845" s="5">
        <f>IFERROR(__xludf.DUMMYFUNCTION("""COMPUTED_VALUE"""),1180.0)</f>
        <v>1180</v>
      </c>
      <c r="C1845" s="6">
        <f>IFERROR(__xludf.DUMMYFUNCTION("""COMPUTED_VALUE"""),0.4897)</f>
        <v>0.4897</v>
      </c>
      <c r="D1845" s="2">
        <f>IFERROR(__xludf.DUMMYFUNCTION("""COMPUTED_VALUE"""),0.0018287037037037037)</f>
        <v>0.001828703704</v>
      </c>
      <c r="E1845" s="1">
        <f>IFERROR(__xludf.DUMMYFUNCTION("""COMPUTED_VALUE"""),1.11)</f>
        <v>1.11</v>
      </c>
      <c r="F1845" s="1">
        <f>IFERROR(__xludf.DUMMYFUNCTION("""COMPUTED_VALUE"""),4.47)</f>
        <v>4.47</v>
      </c>
      <c r="G1845" s="5">
        <f>IFERROR(__xludf.DUMMYFUNCTION("""COMPUTED_VALUE"""),5832.0)</f>
        <v>5832</v>
      </c>
      <c r="H1845" s="5">
        <f>IFERROR(__xludf.DUMMYFUNCTION("""COMPUTED_VALUE"""),1305.0)</f>
        <v>1305</v>
      </c>
    </row>
    <row r="1846">
      <c r="A1846" s="4">
        <f>IFERROR(__xludf.DUMMYFUNCTION("""COMPUTED_VALUE"""),44214.0)</f>
        <v>44214</v>
      </c>
      <c r="B1846" s="5">
        <f>IFERROR(__xludf.DUMMYFUNCTION("""COMPUTED_VALUE"""),1514.0)</f>
        <v>1514</v>
      </c>
      <c r="C1846" s="6">
        <f>IFERROR(__xludf.DUMMYFUNCTION("""COMPUTED_VALUE"""),0.5084)</f>
        <v>0.5084</v>
      </c>
      <c r="D1846" s="2">
        <f>IFERROR(__xludf.DUMMYFUNCTION("""COMPUTED_VALUE"""),0.0014699074074074074)</f>
        <v>0.001469907407</v>
      </c>
      <c r="E1846" s="1">
        <f>IFERROR(__xludf.DUMMYFUNCTION("""COMPUTED_VALUE"""),1.1)</f>
        <v>1.1</v>
      </c>
      <c r="F1846" s="1">
        <f>IFERROR(__xludf.DUMMYFUNCTION("""COMPUTED_VALUE"""),4.3)</f>
        <v>4.3</v>
      </c>
      <c r="G1846" s="5">
        <f>IFERROR(__xludf.DUMMYFUNCTION("""COMPUTED_VALUE"""),7165.0)</f>
        <v>7165</v>
      </c>
      <c r="H1846" s="5">
        <f>IFERROR(__xludf.DUMMYFUNCTION("""COMPUTED_VALUE"""),1666.0)</f>
        <v>1666</v>
      </c>
    </row>
    <row r="1847">
      <c r="A1847" s="4">
        <f>IFERROR(__xludf.DUMMYFUNCTION("""COMPUTED_VALUE"""),44215.0)</f>
        <v>44215</v>
      </c>
      <c r="B1847" s="5">
        <f>IFERROR(__xludf.DUMMYFUNCTION("""COMPUTED_VALUE"""),2374.0)</f>
        <v>2374</v>
      </c>
      <c r="C1847" s="6">
        <f>IFERROR(__xludf.DUMMYFUNCTION("""COMPUTED_VALUE"""),0.4723)</f>
        <v>0.4723</v>
      </c>
      <c r="D1847" s="2">
        <f>IFERROR(__xludf.DUMMYFUNCTION("""COMPUTED_VALUE"""),0.0030324074074074073)</f>
        <v>0.003032407407</v>
      </c>
      <c r="E1847" s="1">
        <f>IFERROR(__xludf.DUMMYFUNCTION("""COMPUTED_VALUE"""),1.16)</f>
        <v>1.16</v>
      </c>
      <c r="F1847" s="1">
        <f>IFERROR(__xludf.DUMMYFUNCTION("""COMPUTED_VALUE"""),6.99)</f>
        <v>6.99</v>
      </c>
      <c r="G1847" s="5">
        <f>IFERROR(__xludf.DUMMYFUNCTION("""COMPUTED_VALUE"""),19301.0)</f>
        <v>19301</v>
      </c>
      <c r="H1847" s="5">
        <f>IFERROR(__xludf.DUMMYFUNCTION("""COMPUTED_VALUE"""),2763.0)</f>
        <v>2763</v>
      </c>
    </row>
    <row r="1848">
      <c r="A1848" s="4">
        <f>IFERROR(__xludf.DUMMYFUNCTION("""COMPUTED_VALUE"""),44216.0)</f>
        <v>44216</v>
      </c>
      <c r="B1848" s="5">
        <f>IFERROR(__xludf.DUMMYFUNCTION("""COMPUTED_VALUE"""),2513.0)</f>
        <v>2513</v>
      </c>
      <c r="C1848" s="6">
        <f>IFERROR(__xludf.DUMMYFUNCTION("""COMPUTED_VALUE"""),0.572)</f>
        <v>0.572</v>
      </c>
      <c r="D1848" s="2">
        <f>IFERROR(__xludf.DUMMYFUNCTION("""COMPUTED_VALUE"""),0.002395833333333333)</f>
        <v>0.002395833333</v>
      </c>
      <c r="E1848" s="1">
        <f>IFERROR(__xludf.DUMMYFUNCTION("""COMPUTED_VALUE"""),1.15)</f>
        <v>1.15</v>
      </c>
      <c r="F1848" s="1">
        <f>IFERROR(__xludf.DUMMYFUNCTION("""COMPUTED_VALUE"""),5.2)</f>
        <v>5.2</v>
      </c>
      <c r="G1848" s="5">
        <f>IFERROR(__xludf.DUMMYFUNCTION("""COMPUTED_VALUE"""),15010.0)</f>
        <v>15010</v>
      </c>
      <c r="H1848" s="5">
        <f>IFERROR(__xludf.DUMMYFUNCTION("""COMPUTED_VALUE"""),2888.0)</f>
        <v>2888</v>
      </c>
    </row>
    <row r="1849">
      <c r="A1849" s="4">
        <f>IFERROR(__xludf.DUMMYFUNCTION("""COMPUTED_VALUE"""),44217.0)</f>
        <v>44217</v>
      </c>
      <c r="B1849" s="5">
        <f>IFERROR(__xludf.DUMMYFUNCTION("""COMPUTED_VALUE"""),2444.0)</f>
        <v>2444</v>
      </c>
      <c r="C1849" s="6">
        <f>IFERROR(__xludf.DUMMYFUNCTION("""COMPUTED_VALUE"""),0.5105)</f>
        <v>0.5105</v>
      </c>
      <c r="D1849" s="2">
        <f>IFERROR(__xludf.DUMMYFUNCTION("""COMPUTED_VALUE"""),0.001863425925925926)</f>
        <v>0.001863425926</v>
      </c>
      <c r="E1849" s="1">
        <f>IFERROR(__xludf.DUMMYFUNCTION("""COMPUTED_VALUE"""),1.09)</f>
        <v>1.09</v>
      </c>
      <c r="F1849" s="1">
        <f>IFERROR(__xludf.DUMMYFUNCTION("""COMPUTED_VALUE"""),4.12)</f>
        <v>4.12</v>
      </c>
      <c r="G1849" s="5">
        <f>IFERROR(__xludf.DUMMYFUNCTION("""COMPUTED_VALUE"""),10997.0)</f>
        <v>10997</v>
      </c>
      <c r="H1849" s="5">
        <f>IFERROR(__xludf.DUMMYFUNCTION("""COMPUTED_VALUE"""),2666.0)</f>
        <v>2666</v>
      </c>
    </row>
    <row r="1850">
      <c r="A1850" s="4">
        <f>IFERROR(__xludf.DUMMYFUNCTION("""COMPUTED_VALUE"""),44218.0)</f>
        <v>44218</v>
      </c>
      <c r="B1850" s="5">
        <f>IFERROR(__xludf.DUMMYFUNCTION("""COMPUTED_VALUE"""),2222.0)</f>
        <v>2222</v>
      </c>
      <c r="C1850" s="6">
        <f>IFERROR(__xludf.DUMMYFUNCTION("""COMPUTED_VALUE"""),0.5386)</f>
        <v>0.5386</v>
      </c>
      <c r="D1850" s="2">
        <f>IFERROR(__xludf.DUMMYFUNCTION("""COMPUTED_VALUE"""),0.002824074074074074)</f>
        <v>0.002824074074</v>
      </c>
      <c r="E1850" s="1">
        <f>IFERROR(__xludf.DUMMYFUNCTION("""COMPUTED_VALUE"""),1.14)</f>
        <v>1.14</v>
      </c>
      <c r="F1850" s="1">
        <f>IFERROR(__xludf.DUMMYFUNCTION("""COMPUTED_VALUE"""),6.18)</f>
        <v>6.18</v>
      </c>
      <c r="G1850" s="5">
        <f>IFERROR(__xludf.DUMMYFUNCTION("""COMPUTED_VALUE"""),15607.0)</f>
        <v>15607</v>
      </c>
      <c r="H1850" s="5">
        <f>IFERROR(__xludf.DUMMYFUNCTION("""COMPUTED_VALUE"""),2527.0)</f>
        <v>2527</v>
      </c>
    </row>
    <row r="1851">
      <c r="A1851" s="4">
        <f>IFERROR(__xludf.DUMMYFUNCTION("""COMPUTED_VALUE"""),44219.0)</f>
        <v>44219</v>
      </c>
      <c r="B1851" s="5">
        <f>IFERROR(__xludf.DUMMYFUNCTION("""COMPUTED_VALUE"""),1625.0)</f>
        <v>1625</v>
      </c>
      <c r="C1851" s="6">
        <f>IFERROR(__xludf.DUMMYFUNCTION("""COMPUTED_VALUE"""),0.6269)</f>
        <v>0.6269</v>
      </c>
      <c r="D1851" s="2">
        <f>IFERROR(__xludf.DUMMYFUNCTION("""COMPUTED_VALUE"""),0.0011458333333333333)</f>
        <v>0.001145833333</v>
      </c>
      <c r="E1851" s="1">
        <f>IFERROR(__xludf.DUMMYFUNCTION("""COMPUTED_VALUE"""),1.08)</f>
        <v>1.08</v>
      </c>
      <c r="F1851" s="1">
        <f>IFERROR(__xludf.DUMMYFUNCTION("""COMPUTED_VALUE"""),3.74)</f>
        <v>3.74</v>
      </c>
      <c r="G1851" s="5">
        <f>IFERROR(__xludf.DUMMYFUNCTION("""COMPUTED_VALUE"""),6540.0)</f>
        <v>6540</v>
      </c>
      <c r="H1851" s="5">
        <f>IFERROR(__xludf.DUMMYFUNCTION("""COMPUTED_VALUE"""),1750.0)</f>
        <v>1750</v>
      </c>
    </row>
    <row r="1852">
      <c r="A1852" s="4">
        <f>IFERROR(__xludf.DUMMYFUNCTION("""COMPUTED_VALUE"""),44220.0)</f>
        <v>44220</v>
      </c>
      <c r="B1852" s="5">
        <f>IFERROR(__xludf.DUMMYFUNCTION("""COMPUTED_VALUE"""),1833.0)</f>
        <v>1833</v>
      </c>
      <c r="C1852" s="6">
        <f>IFERROR(__xludf.DUMMYFUNCTION("""COMPUTED_VALUE"""),0.5842)</f>
        <v>0.5842</v>
      </c>
      <c r="D1852" s="2">
        <f>IFERROR(__xludf.DUMMYFUNCTION("""COMPUTED_VALUE"""),0.0018171296296296297)</f>
        <v>0.00181712963</v>
      </c>
      <c r="E1852" s="1">
        <f>IFERROR(__xludf.DUMMYFUNCTION("""COMPUTED_VALUE"""),1.08)</f>
        <v>1.08</v>
      </c>
      <c r="F1852" s="1">
        <f>IFERROR(__xludf.DUMMYFUNCTION("""COMPUTED_VALUE"""),3.83)</f>
        <v>3.83</v>
      </c>
      <c r="G1852" s="5">
        <f>IFERROR(__xludf.DUMMYFUNCTION("""COMPUTED_VALUE"""),7554.0)</f>
        <v>7554</v>
      </c>
      <c r="H1852" s="5">
        <f>IFERROR(__xludf.DUMMYFUNCTION("""COMPUTED_VALUE"""),1972.0)</f>
        <v>1972</v>
      </c>
    </row>
    <row r="1853">
      <c r="A1853" s="4">
        <f>IFERROR(__xludf.DUMMYFUNCTION("""COMPUTED_VALUE"""),44221.0)</f>
        <v>44221</v>
      </c>
      <c r="B1853" s="5">
        <f>IFERROR(__xludf.DUMMYFUNCTION("""COMPUTED_VALUE"""),2416.0)</f>
        <v>2416</v>
      </c>
      <c r="C1853" s="6">
        <f>IFERROR(__xludf.DUMMYFUNCTION("""COMPUTED_VALUE"""),0.5406)</f>
        <v>0.5406</v>
      </c>
      <c r="D1853" s="2">
        <f>IFERROR(__xludf.DUMMYFUNCTION("""COMPUTED_VALUE"""),0.0017592592592592592)</f>
        <v>0.001759259259</v>
      </c>
      <c r="E1853" s="1">
        <f>IFERROR(__xludf.DUMMYFUNCTION("""COMPUTED_VALUE"""),1.14)</f>
        <v>1.14</v>
      </c>
      <c r="F1853" s="1">
        <f>IFERROR(__xludf.DUMMYFUNCTION("""COMPUTED_VALUE"""),5.08)</f>
        <v>5.08</v>
      </c>
      <c r="G1853" s="5">
        <f>IFERROR(__xludf.DUMMYFUNCTION("""COMPUTED_VALUE"""),13955.0)</f>
        <v>13955</v>
      </c>
      <c r="H1853" s="5">
        <f>IFERROR(__xludf.DUMMYFUNCTION("""COMPUTED_VALUE"""),2749.0)</f>
        <v>2749</v>
      </c>
    </row>
    <row r="1854">
      <c r="A1854" s="4">
        <f>IFERROR(__xludf.DUMMYFUNCTION("""COMPUTED_VALUE"""),44222.0)</f>
        <v>44222</v>
      </c>
      <c r="B1854" s="5">
        <f>IFERROR(__xludf.DUMMYFUNCTION("""COMPUTED_VALUE"""),2416.0)</f>
        <v>2416</v>
      </c>
      <c r="C1854" s="6">
        <f>IFERROR(__xludf.DUMMYFUNCTION("""COMPUTED_VALUE"""),0.5716)</f>
        <v>0.5716</v>
      </c>
      <c r="D1854" s="2">
        <f>IFERROR(__xludf.DUMMYFUNCTION("""COMPUTED_VALUE"""),0.0012268518518518518)</f>
        <v>0.001226851852</v>
      </c>
      <c r="E1854" s="1">
        <f>IFERROR(__xludf.DUMMYFUNCTION("""COMPUTED_VALUE"""),1.09)</f>
        <v>1.09</v>
      </c>
      <c r="F1854" s="1">
        <f>IFERROR(__xludf.DUMMYFUNCTION("""COMPUTED_VALUE"""),3.95)</f>
        <v>3.95</v>
      </c>
      <c r="G1854" s="5">
        <f>IFERROR(__xludf.DUMMYFUNCTION("""COMPUTED_VALUE"""),10358.0)</f>
        <v>10358</v>
      </c>
      <c r="H1854" s="5">
        <f>IFERROR(__xludf.DUMMYFUNCTION("""COMPUTED_VALUE"""),2624.0)</f>
        <v>2624</v>
      </c>
    </row>
    <row r="1855">
      <c r="A1855" s="4">
        <f>IFERROR(__xludf.DUMMYFUNCTION("""COMPUTED_VALUE"""),44223.0)</f>
        <v>44223</v>
      </c>
      <c r="B1855" s="5">
        <f>IFERROR(__xludf.DUMMYFUNCTION("""COMPUTED_VALUE"""),2569.0)</f>
        <v>2569</v>
      </c>
      <c r="C1855" s="6">
        <f>IFERROR(__xludf.DUMMYFUNCTION("""COMPUTED_VALUE"""),0.4517)</f>
        <v>0.4517</v>
      </c>
      <c r="D1855" s="2">
        <f>IFERROR(__xludf.DUMMYFUNCTION("""COMPUTED_VALUE"""),0.0027083333333333334)</f>
        <v>0.002708333333</v>
      </c>
      <c r="E1855" s="1">
        <f>IFERROR(__xludf.DUMMYFUNCTION("""COMPUTED_VALUE"""),1.17)</f>
        <v>1.17</v>
      </c>
      <c r="F1855" s="1">
        <f>IFERROR(__xludf.DUMMYFUNCTION("""COMPUTED_VALUE"""),4.74)</f>
        <v>4.74</v>
      </c>
      <c r="G1855" s="5">
        <f>IFERROR(__xludf.DUMMYFUNCTION("""COMPUTED_VALUE"""),14274.0)</f>
        <v>14274</v>
      </c>
      <c r="H1855" s="5">
        <f>IFERROR(__xludf.DUMMYFUNCTION("""COMPUTED_VALUE"""),3013.0)</f>
        <v>3013</v>
      </c>
    </row>
    <row r="1856">
      <c r="A1856" s="4">
        <f>IFERROR(__xludf.DUMMYFUNCTION("""COMPUTED_VALUE"""),44224.0)</f>
        <v>44224</v>
      </c>
      <c r="B1856" s="5">
        <f>IFERROR(__xludf.DUMMYFUNCTION("""COMPUTED_VALUE"""),2319.0)</f>
        <v>2319</v>
      </c>
      <c r="C1856" s="6">
        <f>IFERROR(__xludf.DUMMYFUNCTION("""COMPUTED_VALUE"""),0.4759)</f>
        <v>0.4759</v>
      </c>
      <c r="D1856" s="2">
        <f>IFERROR(__xludf.DUMMYFUNCTION("""COMPUTED_VALUE"""),0.0024189814814814816)</f>
        <v>0.002418981481</v>
      </c>
      <c r="E1856" s="1">
        <f>IFERROR(__xludf.DUMMYFUNCTION("""COMPUTED_VALUE"""),1.12)</f>
        <v>1.12</v>
      </c>
      <c r="F1856" s="1">
        <f>IFERROR(__xludf.DUMMYFUNCTION("""COMPUTED_VALUE"""),4.65)</f>
        <v>4.65</v>
      </c>
      <c r="G1856" s="5">
        <f>IFERROR(__xludf.DUMMYFUNCTION("""COMPUTED_VALUE"""),12066.0)</f>
        <v>12066</v>
      </c>
      <c r="H1856" s="5">
        <f>IFERROR(__xludf.DUMMYFUNCTION("""COMPUTED_VALUE"""),2597.0)</f>
        <v>2597</v>
      </c>
    </row>
    <row r="1857">
      <c r="A1857" s="4">
        <f>IFERROR(__xludf.DUMMYFUNCTION("""COMPUTED_VALUE"""),44225.0)</f>
        <v>44225</v>
      </c>
      <c r="B1857" s="5">
        <f>IFERROR(__xludf.DUMMYFUNCTION("""COMPUTED_VALUE"""),2083.0)</f>
        <v>2083</v>
      </c>
      <c r="C1857" s="6">
        <f>IFERROR(__xludf.DUMMYFUNCTION("""COMPUTED_VALUE"""),0.5386)</f>
        <v>0.5386</v>
      </c>
      <c r="D1857" s="2">
        <f>IFERROR(__xludf.DUMMYFUNCTION("""COMPUTED_VALUE"""),0.0018981481481481482)</f>
        <v>0.001898148148</v>
      </c>
      <c r="E1857" s="1">
        <f>IFERROR(__xludf.DUMMYFUNCTION("""COMPUTED_VALUE"""),1.13)</f>
        <v>1.13</v>
      </c>
      <c r="F1857" s="1">
        <f>IFERROR(__xludf.DUMMYFUNCTION("""COMPUTED_VALUE"""),5.34)</f>
        <v>5.34</v>
      </c>
      <c r="G1857" s="5">
        <f>IFERROR(__xludf.DUMMYFUNCTION("""COMPUTED_VALUE"""),12538.0)</f>
        <v>12538</v>
      </c>
      <c r="H1857" s="5">
        <f>IFERROR(__xludf.DUMMYFUNCTION("""COMPUTED_VALUE"""),2347.0)</f>
        <v>2347</v>
      </c>
    </row>
    <row r="1858">
      <c r="A1858" s="4">
        <f>IFERROR(__xludf.DUMMYFUNCTION("""COMPUTED_VALUE"""),44226.0)</f>
        <v>44226</v>
      </c>
      <c r="B1858" s="5">
        <f>IFERROR(__xludf.DUMMYFUNCTION("""COMPUTED_VALUE"""),1444.0)</f>
        <v>1444</v>
      </c>
      <c r="C1858" s="6">
        <f>IFERROR(__xludf.DUMMYFUNCTION("""COMPUTED_VALUE"""),0.5042)</f>
        <v>0.5042</v>
      </c>
      <c r="D1858" s="2">
        <f>IFERROR(__xludf.DUMMYFUNCTION("""COMPUTED_VALUE"""),0.001574074074074074)</f>
        <v>0.001574074074</v>
      </c>
      <c r="E1858" s="1">
        <f>IFERROR(__xludf.DUMMYFUNCTION("""COMPUTED_VALUE"""),1.14)</f>
        <v>1.14</v>
      </c>
      <c r="F1858" s="1">
        <f>IFERROR(__xludf.DUMMYFUNCTION("""COMPUTED_VALUE"""),5.31)</f>
        <v>5.31</v>
      </c>
      <c r="G1858" s="5">
        <f>IFERROR(__xludf.DUMMYFUNCTION("""COMPUTED_VALUE"""),8776.0)</f>
        <v>8776</v>
      </c>
      <c r="H1858" s="5">
        <f>IFERROR(__xludf.DUMMYFUNCTION("""COMPUTED_VALUE"""),1652.0)</f>
        <v>1652</v>
      </c>
    </row>
    <row r="1859">
      <c r="A1859" s="4">
        <f>IFERROR(__xludf.DUMMYFUNCTION("""COMPUTED_VALUE"""),44227.0)</f>
        <v>44227</v>
      </c>
      <c r="B1859" s="5">
        <f>IFERROR(__xludf.DUMMYFUNCTION("""COMPUTED_VALUE"""),1666.0)</f>
        <v>1666</v>
      </c>
      <c r="C1859" s="6">
        <f>IFERROR(__xludf.DUMMYFUNCTION("""COMPUTED_VALUE"""),0.5723)</f>
        <v>0.5723</v>
      </c>
      <c r="D1859" s="2">
        <f>IFERROR(__xludf.DUMMYFUNCTION("""COMPUTED_VALUE"""),0.0011689814814814816)</f>
        <v>0.001168981481</v>
      </c>
      <c r="E1859" s="1">
        <f>IFERROR(__xludf.DUMMYFUNCTION("""COMPUTED_VALUE"""),1.09)</f>
        <v>1.09</v>
      </c>
      <c r="F1859" s="1">
        <f>IFERROR(__xludf.DUMMYFUNCTION("""COMPUTED_VALUE"""),3.18)</f>
        <v>3.18</v>
      </c>
      <c r="G1859" s="5">
        <f>IFERROR(__xludf.DUMMYFUNCTION("""COMPUTED_VALUE"""),5776.0)</f>
        <v>5776</v>
      </c>
      <c r="H1859" s="5">
        <f>IFERROR(__xludf.DUMMYFUNCTION("""COMPUTED_VALUE"""),1819.0)</f>
        <v>1819</v>
      </c>
    </row>
    <row r="1860">
      <c r="A1860" s="4">
        <f>IFERROR(__xludf.DUMMYFUNCTION("""COMPUTED_VALUE"""),44228.0)</f>
        <v>44228</v>
      </c>
      <c r="B1860" s="5">
        <f>IFERROR(__xludf.DUMMYFUNCTION("""COMPUTED_VALUE"""),2388.0)</f>
        <v>2388</v>
      </c>
      <c r="C1860" s="6">
        <f>IFERROR(__xludf.DUMMYFUNCTION("""COMPUTED_VALUE"""),0.5151)</f>
        <v>0.5151</v>
      </c>
      <c r="D1860" s="2">
        <f>IFERROR(__xludf.DUMMYFUNCTION("""COMPUTED_VALUE"""),0.0022222222222222222)</f>
        <v>0.002222222222</v>
      </c>
      <c r="E1860" s="1">
        <f>IFERROR(__xludf.DUMMYFUNCTION("""COMPUTED_VALUE"""),1.15)</f>
        <v>1.15</v>
      </c>
      <c r="F1860" s="1">
        <f>IFERROR(__xludf.DUMMYFUNCTION("""COMPUTED_VALUE"""),3.84)</f>
        <v>3.84</v>
      </c>
      <c r="G1860" s="5">
        <f>IFERROR(__xludf.DUMMYFUNCTION("""COMPUTED_VALUE"""),10553.0)</f>
        <v>10553</v>
      </c>
      <c r="H1860" s="5">
        <f>IFERROR(__xludf.DUMMYFUNCTION("""COMPUTED_VALUE"""),2749.0)</f>
        <v>2749</v>
      </c>
    </row>
    <row r="1861">
      <c r="A1861" s="4">
        <f>IFERROR(__xludf.DUMMYFUNCTION("""COMPUTED_VALUE"""),44229.0)</f>
        <v>44229</v>
      </c>
      <c r="B1861" s="5">
        <f>IFERROR(__xludf.DUMMYFUNCTION("""COMPUTED_VALUE"""),2749.0)</f>
        <v>2749</v>
      </c>
      <c r="C1861" s="6">
        <f>IFERROR(__xludf.DUMMYFUNCTION("""COMPUTED_VALUE"""),0.5252)</f>
        <v>0.5252</v>
      </c>
      <c r="D1861" s="2">
        <f>IFERROR(__xludf.DUMMYFUNCTION("""COMPUTED_VALUE"""),0.0027083333333333334)</f>
        <v>0.002708333333</v>
      </c>
      <c r="E1861" s="1">
        <f>IFERROR(__xludf.DUMMYFUNCTION("""COMPUTED_VALUE"""),1.11)</f>
        <v>1.11</v>
      </c>
      <c r="F1861" s="1">
        <f>IFERROR(__xludf.DUMMYFUNCTION("""COMPUTED_VALUE"""),4.69)</f>
        <v>4.69</v>
      </c>
      <c r="G1861" s="5">
        <f>IFERROR(__xludf.DUMMYFUNCTION("""COMPUTED_VALUE"""),14260.0)</f>
        <v>14260</v>
      </c>
      <c r="H1861" s="5">
        <f>IFERROR(__xludf.DUMMYFUNCTION("""COMPUTED_VALUE"""),3041.0)</f>
        <v>3041</v>
      </c>
    </row>
    <row r="1862">
      <c r="A1862" s="4">
        <f>IFERROR(__xludf.DUMMYFUNCTION("""COMPUTED_VALUE"""),44230.0)</f>
        <v>44230</v>
      </c>
      <c r="B1862" s="5">
        <f>IFERROR(__xludf.DUMMYFUNCTION("""COMPUTED_VALUE"""),2860.0)</f>
        <v>2860</v>
      </c>
      <c r="C1862" s="6">
        <f>IFERROR(__xludf.DUMMYFUNCTION("""COMPUTED_VALUE"""),0.4755)</f>
        <v>0.4755</v>
      </c>
      <c r="D1862" s="2">
        <f>IFERROR(__xludf.DUMMYFUNCTION("""COMPUTED_VALUE"""),0.002349537037037037)</f>
        <v>0.002349537037</v>
      </c>
      <c r="E1862" s="1">
        <f>IFERROR(__xludf.DUMMYFUNCTION("""COMPUTED_VALUE"""),1.08)</f>
        <v>1.08</v>
      </c>
      <c r="F1862" s="1">
        <f>IFERROR(__xludf.DUMMYFUNCTION("""COMPUTED_VALUE"""),4.47)</f>
        <v>4.47</v>
      </c>
      <c r="G1862" s="5">
        <f>IFERROR(__xludf.DUMMYFUNCTION("""COMPUTED_VALUE"""),13830.0)</f>
        <v>13830</v>
      </c>
      <c r="H1862" s="5">
        <f>IFERROR(__xludf.DUMMYFUNCTION("""COMPUTED_VALUE"""),3096.0)</f>
        <v>3096</v>
      </c>
    </row>
    <row r="1863">
      <c r="A1863" s="4">
        <f>IFERROR(__xludf.DUMMYFUNCTION("""COMPUTED_VALUE"""),44231.0)</f>
        <v>44231</v>
      </c>
      <c r="B1863" s="5">
        <f>IFERROR(__xludf.DUMMYFUNCTION("""COMPUTED_VALUE"""),2458.0)</f>
        <v>2458</v>
      </c>
      <c r="C1863" s="6">
        <f>IFERROR(__xludf.DUMMYFUNCTION("""COMPUTED_VALUE"""),0.5051)</f>
        <v>0.5051</v>
      </c>
      <c r="D1863" s="2">
        <f>IFERROR(__xludf.DUMMYFUNCTION("""COMPUTED_VALUE"""),0.0017013888888888888)</f>
        <v>0.001701388889</v>
      </c>
      <c r="E1863" s="1">
        <f>IFERROR(__xludf.DUMMYFUNCTION("""COMPUTED_VALUE"""),1.11)</f>
        <v>1.11</v>
      </c>
      <c r="F1863" s="1">
        <f>IFERROR(__xludf.DUMMYFUNCTION("""COMPUTED_VALUE"""),3.4)</f>
        <v>3.4</v>
      </c>
      <c r="G1863" s="5">
        <f>IFERROR(__xludf.DUMMYFUNCTION("""COMPUTED_VALUE"""),9248.0)</f>
        <v>9248</v>
      </c>
      <c r="H1863" s="5">
        <f>IFERROR(__xludf.DUMMYFUNCTION("""COMPUTED_VALUE"""),2722.0)</f>
        <v>2722</v>
      </c>
    </row>
    <row r="1864">
      <c r="A1864" s="4">
        <f>IFERROR(__xludf.DUMMYFUNCTION("""COMPUTED_VALUE"""),44232.0)</f>
        <v>44232</v>
      </c>
      <c r="B1864" s="5">
        <f>IFERROR(__xludf.DUMMYFUNCTION("""COMPUTED_VALUE"""),2027.0)</f>
        <v>2027</v>
      </c>
      <c r="C1864" s="6">
        <f>IFERROR(__xludf.DUMMYFUNCTION("""COMPUTED_VALUE"""),0.4714)</f>
        <v>0.4714</v>
      </c>
      <c r="D1864" s="2">
        <f>IFERROR(__xludf.DUMMYFUNCTION("""COMPUTED_VALUE"""),0.0020833333333333333)</f>
        <v>0.002083333333</v>
      </c>
      <c r="E1864" s="1">
        <f>IFERROR(__xludf.DUMMYFUNCTION("""COMPUTED_VALUE"""),1.21)</f>
        <v>1.21</v>
      </c>
      <c r="F1864" s="1">
        <f>IFERROR(__xludf.DUMMYFUNCTION("""COMPUTED_VALUE"""),4.96)</f>
        <v>4.96</v>
      </c>
      <c r="G1864" s="5">
        <f>IFERROR(__xludf.DUMMYFUNCTION("""COMPUTED_VALUE"""),12122.0)</f>
        <v>12122</v>
      </c>
      <c r="H1864" s="5">
        <f>IFERROR(__xludf.DUMMYFUNCTION("""COMPUTED_VALUE"""),2444.0)</f>
        <v>2444</v>
      </c>
    </row>
    <row r="1865">
      <c r="A1865" s="4">
        <f>IFERROR(__xludf.DUMMYFUNCTION("""COMPUTED_VALUE"""),44233.0)</f>
        <v>44233</v>
      </c>
      <c r="B1865" s="5">
        <f>IFERROR(__xludf.DUMMYFUNCTION("""COMPUTED_VALUE"""),1250.0)</f>
        <v>1250</v>
      </c>
      <c r="C1865" s="6">
        <f>IFERROR(__xludf.DUMMYFUNCTION("""COMPUTED_VALUE"""),0.4913)</f>
        <v>0.4913</v>
      </c>
      <c r="D1865" s="2">
        <f>IFERROR(__xludf.DUMMYFUNCTION("""COMPUTED_VALUE"""),0.002372685185185185)</f>
        <v>0.002372685185</v>
      </c>
      <c r="E1865" s="1">
        <f>IFERROR(__xludf.DUMMYFUNCTION("""COMPUTED_VALUE"""),1.24)</f>
        <v>1.24</v>
      </c>
      <c r="F1865" s="1">
        <f>IFERROR(__xludf.DUMMYFUNCTION("""COMPUTED_VALUE"""),5.32)</f>
        <v>5.32</v>
      </c>
      <c r="G1865" s="5">
        <f>IFERROR(__xludf.DUMMYFUNCTION("""COMPUTED_VALUE"""),8276.0)</f>
        <v>8276</v>
      </c>
      <c r="H1865" s="5">
        <f>IFERROR(__xludf.DUMMYFUNCTION("""COMPUTED_VALUE"""),1555.0)</f>
        <v>1555</v>
      </c>
    </row>
    <row r="1866">
      <c r="A1866" s="4">
        <f>IFERROR(__xludf.DUMMYFUNCTION("""COMPUTED_VALUE"""),44234.0)</f>
        <v>44234</v>
      </c>
      <c r="B1866" s="5">
        <f>IFERROR(__xludf.DUMMYFUNCTION("""COMPUTED_VALUE"""),1472.0)</f>
        <v>1472</v>
      </c>
      <c r="C1866" s="6">
        <f>IFERROR(__xludf.DUMMYFUNCTION("""COMPUTED_VALUE"""),0.5042)</f>
        <v>0.5042</v>
      </c>
      <c r="D1866" s="2">
        <f>IFERROR(__xludf.DUMMYFUNCTION("""COMPUTED_VALUE"""),0.002800925925925926)</f>
        <v>0.002800925926</v>
      </c>
      <c r="E1866" s="1">
        <f>IFERROR(__xludf.DUMMYFUNCTION("""COMPUTED_VALUE"""),1.12)</f>
        <v>1.12</v>
      </c>
      <c r="F1866" s="1">
        <f>IFERROR(__xludf.DUMMYFUNCTION("""COMPUTED_VALUE"""),4.81)</f>
        <v>4.81</v>
      </c>
      <c r="G1866" s="5">
        <f>IFERROR(__xludf.DUMMYFUNCTION("""COMPUTED_VALUE"""),7942.0)</f>
        <v>7942</v>
      </c>
      <c r="H1866" s="5">
        <f>IFERROR(__xludf.DUMMYFUNCTION("""COMPUTED_VALUE"""),1652.0)</f>
        <v>1652</v>
      </c>
    </row>
    <row r="1867">
      <c r="A1867" s="4">
        <f>IFERROR(__xludf.DUMMYFUNCTION("""COMPUTED_VALUE"""),44235.0)</f>
        <v>44235</v>
      </c>
      <c r="B1867" s="5">
        <f>IFERROR(__xludf.DUMMYFUNCTION("""COMPUTED_VALUE"""),2333.0)</f>
        <v>2333</v>
      </c>
      <c r="C1867" s="6">
        <f>IFERROR(__xludf.DUMMYFUNCTION("""COMPUTED_VALUE"""),0.4575)</f>
        <v>0.4575</v>
      </c>
      <c r="D1867" s="2">
        <f>IFERROR(__xludf.DUMMYFUNCTION("""COMPUTED_VALUE"""),0.0022569444444444442)</f>
        <v>0.002256944444</v>
      </c>
      <c r="E1867" s="1">
        <f>IFERROR(__xludf.DUMMYFUNCTION("""COMPUTED_VALUE"""),1.12)</f>
        <v>1.12</v>
      </c>
      <c r="F1867" s="1">
        <f>IFERROR(__xludf.DUMMYFUNCTION("""COMPUTED_VALUE"""),4.8)</f>
        <v>4.8</v>
      </c>
      <c r="G1867" s="5">
        <f>IFERROR(__xludf.DUMMYFUNCTION("""COMPUTED_VALUE"""),12538.0)</f>
        <v>12538</v>
      </c>
      <c r="H1867" s="5">
        <f>IFERROR(__xludf.DUMMYFUNCTION("""COMPUTED_VALUE"""),2610.0)</f>
        <v>2610</v>
      </c>
    </row>
    <row r="1868">
      <c r="A1868" s="4">
        <f>IFERROR(__xludf.DUMMYFUNCTION("""COMPUTED_VALUE"""),44236.0)</f>
        <v>44236</v>
      </c>
      <c r="B1868" s="5">
        <f>IFERROR(__xludf.DUMMYFUNCTION("""COMPUTED_VALUE"""),2180.0)</f>
        <v>2180</v>
      </c>
      <c r="C1868" s="6">
        <f>IFERROR(__xludf.DUMMYFUNCTION("""COMPUTED_VALUE"""),0.4801)</f>
        <v>0.4801</v>
      </c>
      <c r="D1868" s="2">
        <f>IFERROR(__xludf.DUMMYFUNCTION("""COMPUTED_VALUE"""),0.0018981481481481482)</f>
        <v>0.001898148148</v>
      </c>
      <c r="E1868" s="1">
        <f>IFERROR(__xludf.DUMMYFUNCTION("""COMPUTED_VALUE"""),1.13)</f>
        <v>1.13</v>
      </c>
      <c r="F1868" s="1">
        <f>IFERROR(__xludf.DUMMYFUNCTION("""COMPUTED_VALUE"""),4.6)</f>
        <v>4.6</v>
      </c>
      <c r="G1868" s="5">
        <f>IFERROR(__xludf.DUMMYFUNCTION("""COMPUTED_VALUE"""),11317.0)</f>
        <v>11317</v>
      </c>
      <c r="H1868" s="5">
        <f>IFERROR(__xludf.DUMMYFUNCTION("""COMPUTED_VALUE"""),2458.0)</f>
        <v>2458</v>
      </c>
    </row>
    <row r="1869">
      <c r="A1869" s="4">
        <f>IFERROR(__xludf.DUMMYFUNCTION("""COMPUTED_VALUE"""),44237.0)</f>
        <v>44237</v>
      </c>
      <c r="B1869" s="5">
        <f>IFERROR(__xludf.DUMMYFUNCTION("""COMPUTED_VALUE"""),2430.0)</f>
        <v>2430</v>
      </c>
      <c r="C1869" s="6">
        <f>IFERROR(__xludf.DUMMYFUNCTION("""COMPUTED_VALUE"""),0.6127)</f>
        <v>0.6127</v>
      </c>
      <c r="D1869" s="2">
        <f>IFERROR(__xludf.DUMMYFUNCTION("""COMPUTED_VALUE"""),0.0018171296296296297)</f>
        <v>0.00181712963</v>
      </c>
      <c r="E1869" s="1">
        <f>IFERROR(__xludf.DUMMYFUNCTION("""COMPUTED_VALUE"""),1.09)</f>
        <v>1.09</v>
      </c>
      <c r="F1869" s="1">
        <f>IFERROR(__xludf.DUMMYFUNCTION("""COMPUTED_VALUE"""),4.18)</f>
        <v>4.18</v>
      </c>
      <c r="G1869" s="5">
        <f>IFERROR(__xludf.DUMMYFUNCTION("""COMPUTED_VALUE"""),11094.0)</f>
        <v>11094</v>
      </c>
      <c r="H1869" s="5">
        <f>IFERROR(__xludf.DUMMYFUNCTION("""COMPUTED_VALUE"""),2652.0)</f>
        <v>2652</v>
      </c>
    </row>
    <row r="1870">
      <c r="A1870" s="4">
        <f>IFERROR(__xludf.DUMMYFUNCTION("""COMPUTED_VALUE"""),44238.0)</f>
        <v>44238</v>
      </c>
      <c r="B1870" s="5">
        <f>IFERROR(__xludf.DUMMYFUNCTION("""COMPUTED_VALUE"""),2152.0)</f>
        <v>2152</v>
      </c>
      <c r="C1870" s="6">
        <f>IFERROR(__xludf.DUMMYFUNCTION("""COMPUTED_VALUE"""),0.4912)</f>
        <v>0.4912</v>
      </c>
      <c r="D1870" s="2">
        <f>IFERROR(__xludf.DUMMYFUNCTION("""COMPUTED_VALUE"""),0.002534722222222222)</f>
        <v>0.002534722222</v>
      </c>
      <c r="E1870" s="1">
        <f>IFERROR(__xludf.DUMMYFUNCTION("""COMPUTED_VALUE"""),1.1)</f>
        <v>1.1</v>
      </c>
      <c r="F1870" s="1">
        <f>IFERROR(__xludf.DUMMYFUNCTION("""COMPUTED_VALUE"""),6.37)</f>
        <v>6.37</v>
      </c>
      <c r="G1870" s="5">
        <f>IFERROR(__xludf.DUMMYFUNCTION("""COMPUTED_VALUE"""),15121.0)</f>
        <v>15121</v>
      </c>
      <c r="H1870" s="5">
        <f>IFERROR(__xludf.DUMMYFUNCTION("""COMPUTED_VALUE"""),2374.0)</f>
        <v>2374</v>
      </c>
    </row>
    <row r="1871">
      <c r="A1871" s="4">
        <f>IFERROR(__xludf.DUMMYFUNCTION("""COMPUTED_VALUE"""),44239.0)</f>
        <v>44239</v>
      </c>
      <c r="B1871" s="5">
        <f>IFERROR(__xludf.DUMMYFUNCTION("""COMPUTED_VALUE"""),1722.0)</f>
        <v>1722</v>
      </c>
      <c r="C1871" s="6">
        <f>IFERROR(__xludf.DUMMYFUNCTION("""COMPUTED_VALUE"""),0.5142)</f>
        <v>0.5142</v>
      </c>
      <c r="D1871" s="2">
        <f>IFERROR(__xludf.DUMMYFUNCTION("""COMPUTED_VALUE"""),0.0020717592592592593)</f>
        <v>0.002071759259</v>
      </c>
      <c r="E1871" s="1">
        <f>IFERROR(__xludf.DUMMYFUNCTION("""COMPUTED_VALUE"""),1.15)</f>
        <v>1.15</v>
      </c>
      <c r="F1871" s="1">
        <f>IFERROR(__xludf.DUMMYFUNCTION("""COMPUTED_VALUE"""),4.3)</f>
        <v>4.3</v>
      </c>
      <c r="G1871" s="5">
        <f>IFERROR(__xludf.DUMMYFUNCTION("""COMPUTED_VALUE"""),8470.0)</f>
        <v>8470</v>
      </c>
      <c r="H1871" s="5">
        <f>IFERROR(__xludf.DUMMYFUNCTION("""COMPUTED_VALUE"""),1972.0)</f>
        <v>1972</v>
      </c>
    </row>
    <row r="1872">
      <c r="A1872" s="4">
        <f>IFERROR(__xludf.DUMMYFUNCTION("""COMPUTED_VALUE"""),44240.0)</f>
        <v>44240</v>
      </c>
      <c r="B1872" s="5">
        <f>IFERROR(__xludf.DUMMYFUNCTION("""COMPUTED_VALUE"""),1347.0)</f>
        <v>1347</v>
      </c>
      <c r="C1872" s="6">
        <f>IFERROR(__xludf.DUMMYFUNCTION("""COMPUTED_VALUE"""),0.524)</f>
        <v>0.524</v>
      </c>
      <c r="D1872" s="2">
        <f>IFERROR(__xludf.DUMMYFUNCTION("""COMPUTED_VALUE"""),0.0018865740740740742)</f>
        <v>0.001886574074</v>
      </c>
      <c r="E1872" s="1">
        <f>IFERROR(__xludf.DUMMYFUNCTION("""COMPUTED_VALUE"""),1.08)</f>
        <v>1.08</v>
      </c>
      <c r="F1872" s="1">
        <f>IFERROR(__xludf.DUMMYFUNCTION("""COMPUTED_VALUE"""),5.31)</f>
        <v>5.31</v>
      </c>
      <c r="G1872" s="5">
        <f>IFERROR(__xludf.DUMMYFUNCTION("""COMPUTED_VALUE"""),7748.0)</f>
        <v>7748</v>
      </c>
      <c r="H1872" s="5">
        <f>IFERROR(__xludf.DUMMYFUNCTION("""COMPUTED_VALUE"""),1458.0)</f>
        <v>1458</v>
      </c>
    </row>
    <row r="1873">
      <c r="A1873" s="4">
        <f>IFERROR(__xludf.DUMMYFUNCTION("""COMPUTED_VALUE"""),44241.0)</f>
        <v>44241</v>
      </c>
      <c r="B1873" s="5">
        <f>IFERROR(__xludf.DUMMYFUNCTION("""COMPUTED_VALUE"""),1375.0)</f>
        <v>1375</v>
      </c>
      <c r="C1873" s="6">
        <f>IFERROR(__xludf.DUMMYFUNCTION("""COMPUTED_VALUE"""),0.5273)</f>
        <v>0.5273</v>
      </c>
      <c r="D1873" s="2">
        <f>IFERROR(__xludf.DUMMYFUNCTION("""COMPUTED_VALUE"""),0.002939814814814815)</f>
        <v>0.002939814815</v>
      </c>
      <c r="E1873" s="1">
        <f>IFERROR(__xludf.DUMMYFUNCTION("""COMPUTED_VALUE"""),1.09)</f>
        <v>1.09</v>
      </c>
      <c r="F1873" s="1">
        <f>IFERROR(__xludf.DUMMYFUNCTION("""COMPUTED_VALUE"""),5.73)</f>
        <v>5.73</v>
      </c>
      <c r="G1873" s="5">
        <f>IFERROR(__xludf.DUMMYFUNCTION("""COMPUTED_VALUE"""),8595.0)</f>
        <v>8595</v>
      </c>
      <c r="H1873" s="5">
        <f>IFERROR(__xludf.DUMMYFUNCTION("""COMPUTED_VALUE"""),1500.0)</f>
        <v>1500</v>
      </c>
    </row>
    <row r="1874">
      <c r="A1874" s="4">
        <f>IFERROR(__xludf.DUMMYFUNCTION("""COMPUTED_VALUE"""),44242.0)</f>
        <v>44242</v>
      </c>
      <c r="B1874" s="5">
        <f>IFERROR(__xludf.DUMMYFUNCTION("""COMPUTED_VALUE"""),1694.0)</f>
        <v>1694</v>
      </c>
      <c r="C1874" s="6">
        <f>IFERROR(__xludf.DUMMYFUNCTION("""COMPUTED_VALUE"""),0.5109)</f>
        <v>0.5109</v>
      </c>
      <c r="D1874" s="2">
        <f>IFERROR(__xludf.DUMMYFUNCTION("""COMPUTED_VALUE"""),0.0027199074074074074)</f>
        <v>0.002719907407</v>
      </c>
      <c r="E1874" s="1">
        <f>IFERROR(__xludf.DUMMYFUNCTION("""COMPUTED_VALUE"""),1.14)</f>
        <v>1.14</v>
      </c>
      <c r="F1874" s="1">
        <f>IFERROR(__xludf.DUMMYFUNCTION("""COMPUTED_VALUE"""),5.37)</f>
        <v>5.37</v>
      </c>
      <c r="G1874" s="5">
        <f>IFERROR(__xludf.DUMMYFUNCTION("""COMPUTED_VALUE"""),10358.0)</f>
        <v>10358</v>
      </c>
      <c r="H1874" s="5">
        <f>IFERROR(__xludf.DUMMYFUNCTION("""COMPUTED_VALUE"""),1930.0)</f>
        <v>1930</v>
      </c>
    </row>
    <row r="1875">
      <c r="A1875" s="4">
        <f>IFERROR(__xludf.DUMMYFUNCTION("""COMPUTED_VALUE"""),44243.0)</f>
        <v>44243</v>
      </c>
      <c r="B1875" s="5">
        <f>IFERROR(__xludf.DUMMYFUNCTION("""COMPUTED_VALUE"""),2166.0)</f>
        <v>2166</v>
      </c>
      <c r="C1875" s="6">
        <f>IFERROR(__xludf.DUMMYFUNCTION("""COMPUTED_VALUE"""),0.5057)</f>
        <v>0.5057</v>
      </c>
      <c r="D1875" s="2">
        <f>IFERROR(__xludf.DUMMYFUNCTION("""COMPUTED_VALUE"""),0.001736111111111111)</f>
        <v>0.001736111111</v>
      </c>
      <c r="E1875" s="1">
        <f>IFERROR(__xludf.DUMMYFUNCTION("""COMPUTED_VALUE"""),1.14)</f>
        <v>1.14</v>
      </c>
      <c r="F1875" s="1">
        <f>IFERROR(__xludf.DUMMYFUNCTION("""COMPUTED_VALUE"""),3.88)</f>
        <v>3.88</v>
      </c>
      <c r="G1875" s="5">
        <f>IFERROR(__xludf.DUMMYFUNCTION("""COMPUTED_VALUE"""),9595.0)</f>
        <v>9595</v>
      </c>
      <c r="H1875" s="5">
        <f>IFERROR(__xludf.DUMMYFUNCTION("""COMPUTED_VALUE"""),2472.0)</f>
        <v>2472</v>
      </c>
    </row>
    <row r="1876">
      <c r="A1876" s="4">
        <f>IFERROR(__xludf.DUMMYFUNCTION("""COMPUTED_VALUE"""),44244.0)</f>
        <v>44244</v>
      </c>
      <c r="B1876" s="5">
        <f>IFERROR(__xludf.DUMMYFUNCTION("""COMPUTED_VALUE"""),2472.0)</f>
        <v>2472</v>
      </c>
      <c r="C1876" s="6">
        <f>IFERROR(__xludf.DUMMYFUNCTION("""COMPUTED_VALUE"""),0.5355)</f>
        <v>0.5355</v>
      </c>
      <c r="D1876" s="2">
        <f>IFERROR(__xludf.DUMMYFUNCTION("""COMPUTED_VALUE"""),0.001724537037037037)</f>
        <v>0.001724537037</v>
      </c>
      <c r="E1876" s="1">
        <f>IFERROR(__xludf.DUMMYFUNCTION("""COMPUTED_VALUE"""),1.11)</f>
        <v>1.11</v>
      </c>
      <c r="F1876" s="1">
        <f>IFERROR(__xludf.DUMMYFUNCTION("""COMPUTED_VALUE"""),3.67)</f>
        <v>3.67</v>
      </c>
      <c r="G1876" s="5">
        <f>IFERROR(__xludf.DUMMYFUNCTION("""COMPUTED_VALUE"""),10081.0)</f>
        <v>10081</v>
      </c>
      <c r="H1876" s="5">
        <f>IFERROR(__xludf.DUMMYFUNCTION("""COMPUTED_VALUE"""),2749.0)</f>
        <v>2749</v>
      </c>
    </row>
    <row r="1877">
      <c r="A1877" s="4">
        <f>IFERROR(__xludf.DUMMYFUNCTION("""COMPUTED_VALUE"""),44245.0)</f>
        <v>44245</v>
      </c>
      <c r="B1877" s="5">
        <f>IFERROR(__xludf.DUMMYFUNCTION("""COMPUTED_VALUE"""),2166.0)</f>
        <v>2166</v>
      </c>
      <c r="C1877" s="6">
        <f>IFERROR(__xludf.DUMMYFUNCTION("""COMPUTED_VALUE"""),0.4895)</f>
        <v>0.4895</v>
      </c>
      <c r="D1877" s="2">
        <f>IFERROR(__xludf.DUMMYFUNCTION("""COMPUTED_VALUE"""),0.0024074074074074076)</f>
        <v>0.002407407407</v>
      </c>
      <c r="E1877" s="1">
        <f>IFERROR(__xludf.DUMMYFUNCTION("""COMPUTED_VALUE"""),1.23)</f>
        <v>1.23</v>
      </c>
      <c r="F1877" s="1">
        <f>IFERROR(__xludf.DUMMYFUNCTION("""COMPUTED_VALUE"""),4.87)</f>
        <v>4.87</v>
      </c>
      <c r="G1877" s="5">
        <f>IFERROR(__xludf.DUMMYFUNCTION("""COMPUTED_VALUE"""),12983.0)</f>
        <v>12983</v>
      </c>
      <c r="H1877" s="5">
        <f>IFERROR(__xludf.DUMMYFUNCTION("""COMPUTED_VALUE"""),2666.0)</f>
        <v>2666</v>
      </c>
    </row>
    <row r="1878">
      <c r="A1878" s="4">
        <f>IFERROR(__xludf.DUMMYFUNCTION("""COMPUTED_VALUE"""),44246.0)</f>
        <v>44246</v>
      </c>
      <c r="B1878" s="5">
        <f>IFERROR(__xludf.DUMMYFUNCTION("""COMPUTED_VALUE"""),1944.0)</f>
        <v>1944</v>
      </c>
      <c r="C1878" s="6">
        <f>IFERROR(__xludf.DUMMYFUNCTION("""COMPUTED_VALUE"""),0.5159)</f>
        <v>0.5159</v>
      </c>
      <c r="D1878" s="2">
        <f>IFERROR(__xludf.DUMMYFUNCTION("""COMPUTED_VALUE"""),0.0025810185185185185)</f>
        <v>0.002581018519</v>
      </c>
      <c r="E1878" s="1">
        <f>IFERROR(__xludf.DUMMYFUNCTION("""COMPUTED_VALUE"""),1.14)</f>
        <v>1.14</v>
      </c>
      <c r="F1878" s="1">
        <f>IFERROR(__xludf.DUMMYFUNCTION("""COMPUTED_VALUE"""),4.48)</f>
        <v>4.48</v>
      </c>
      <c r="G1878" s="5">
        <f>IFERROR(__xludf.DUMMYFUNCTION("""COMPUTED_VALUE"""),9886.0)</f>
        <v>9886</v>
      </c>
      <c r="H1878" s="5">
        <f>IFERROR(__xludf.DUMMYFUNCTION("""COMPUTED_VALUE"""),2208.0)</f>
        <v>2208</v>
      </c>
    </row>
    <row r="1879">
      <c r="A1879" s="4">
        <f>IFERROR(__xludf.DUMMYFUNCTION("""COMPUTED_VALUE"""),44247.0)</f>
        <v>44247</v>
      </c>
      <c r="B1879" s="5">
        <f>IFERROR(__xludf.DUMMYFUNCTION("""COMPUTED_VALUE"""),1305.0)</f>
        <v>1305</v>
      </c>
      <c r="C1879" s="6">
        <f>IFERROR(__xludf.DUMMYFUNCTION("""COMPUTED_VALUE"""),0.5469)</f>
        <v>0.5469</v>
      </c>
      <c r="D1879" s="2">
        <f>IFERROR(__xludf.DUMMYFUNCTION("""COMPUTED_VALUE"""),0.0023263888888888887)</f>
        <v>0.002326388889</v>
      </c>
      <c r="E1879" s="1">
        <f>IFERROR(__xludf.DUMMYFUNCTION("""COMPUTED_VALUE"""),1.13)</f>
        <v>1.13</v>
      </c>
      <c r="F1879" s="1">
        <f>IFERROR(__xludf.DUMMYFUNCTION("""COMPUTED_VALUE"""),5.04)</f>
        <v>5.04</v>
      </c>
      <c r="G1879" s="5">
        <f>IFERROR(__xludf.DUMMYFUNCTION("""COMPUTED_VALUE"""),7415.0)</f>
        <v>7415</v>
      </c>
      <c r="H1879" s="5">
        <f>IFERROR(__xludf.DUMMYFUNCTION("""COMPUTED_VALUE"""),1472.0)</f>
        <v>1472</v>
      </c>
    </row>
    <row r="1880">
      <c r="A1880" s="4">
        <f>IFERROR(__xludf.DUMMYFUNCTION("""COMPUTED_VALUE"""),44248.0)</f>
        <v>44248</v>
      </c>
      <c r="B1880" s="5">
        <f>IFERROR(__xludf.DUMMYFUNCTION("""COMPUTED_VALUE"""),1375.0)</f>
        <v>1375</v>
      </c>
      <c r="C1880" s="6">
        <f>IFERROR(__xludf.DUMMYFUNCTION("""COMPUTED_VALUE"""),0.6723)</f>
        <v>0.6723</v>
      </c>
      <c r="D1880" s="2">
        <f>IFERROR(__xludf.DUMMYFUNCTION("""COMPUTED_VALUE"""),0.0018287037037037037)</f>
        <v>0.001828703704</v>
      </c>
      <c r="E1880" s="1">
        <f>IFERROR(__xludf.DUMMYFUNCTION("""COMPUTED_VALUE"""),1.17)</f>
        <v>1.17</v>
      </c>
      <c r="F1880" s="1">
        <f>IFERROR(__xludf.DUMMYFUNCTION("""COMPUTED_VALUE"""),4.2)</f>
        <v>4.2</v>
      </c>
      <c r="G1880" s="5">
        <f>IFERROR(__xludf.DUMMYFUNCTION("""COMPUTED_VALUE"""),6762.0)</f>
        <v>6762</v>
      </c>
      <c r="H1880" s="5">
        <f>IFERROR(__xludf.DUMMYFUNCTION("""COMPUTED_VALUE"""),1611.0)</f>
        <v>1611</v>
      </c>
    </row>
    <row r="1881">
      <c r="A1881" s="4">
        <f>IFERROR(__xludf.DUMMYFUNCTION("""COMPUTED_VALUE"""),44249.0)</f>
        <v>44249</v>
      </c>
      <c r="B1881" s="5">
        <f>IFERROR(__xludf.DUMMYFUNCTION("""COMPUTED_VALUE"""),2249.0)</f>
        <v>2249</v>
      </c>
      <c r="C1881" s="6">
        <f>IFERROR(__xludf.DUMMYFUNCTION("""COMPUTED_VALUE"""),0.5139)</f>
        <v>0.5139</v>
      </c>
      <c r="D1881" s="2">
        <f>IFERROR(__xludf.DUMMYFUNCTION("""COMPUTED_VALUE"""),0.0029861111111111113)</f>
        <v>0.002986111111</v>
      </c>
      <c r="E1881" s="1">
        <f>IFERROR(__xludf.DUMMYFUNCTION("""COMPUTED_VALUE"""),1.1)</f>
        <v>1.1</v>
      </c>
      <c r="F1881" s="1">
        <f>IFERROR(__xludf.DUMMYFUNCTION("""COMPUTED_VALUE"""),5.29)</f>
        <v>5.29</v>
      </c>
      <c r="G1881" s="5">
        <f>IFERROR(__xludf.DUMMYFUNCTION("""COMPUTED_VALUE"""),13149.0)</f>
        <v>13149</v>
      </c>
      <c r="H1881" s="5">
        <f>IFERROR(__xludf.DUMMYFUNCTION("""COMPUTED_VALUE"""),2485.0)</f>
        <v>2485</v>
      </c>
    </row>
    <row r="1882">
      <c r="A1882" s="4">
        <f>IFERROR(__xludf.DUMMYFUNCTION("""COMPUTED_VALUE"""),44250.0)</f>
        <v>44250</v>
      </c>
      <c r="B1882" s="5">
        <f>IFERROR(__xludf.DUMMYFUNCTION("""COMPUTED_VALUE"""),2166.0)</f>
        <v>2166</v>
      </c>
      <c r="C1882" s="6">
        <f>IFERROR(__xludf.DUMMYFUNCTION("""COMPUTED_VALUE"""),0.5628)</f>
        <v>0.5628</v>
      </c>
      <c r="D1882" s="2">
        <f>IFERROR(__xludf.DUMMYFUNCTION("""COMPUTED_VALUE"""),0.0016203703703703703)</f>
        <v>0.00162037037</v>
      </c>
      <c r="E1882" s="1">
        <f>IFERROR(__xludf.DUMMYFUNCTION("""COMPUTED_VALUE"""),1.17)</f>
        <v>1.17</v>
      </c>
      <c r="F1882" s="1">
        <f>IFERROR(__xludf.DUMMYFUNCTION("""COMPUTED_VALUE"""),4.26)</f>
        <v>4.26</v>
      </c>
      <c r="G1882" s="5">
        <f>IFERROR(__xludf.DUMMYFUNCTION("""COMPUTED_VALUE"""),10817.0)</f>
        <v>10817</v>
      </c>
      <c r="H1882" s="5">
        <f>IFERROR(__xludf.DUMMYFUNCTION("""COMPUTED_VALUE"""),2541.0)</f>
        <v>2541</v>
      </c>
    </row>
    <row r="1883">
      <c r="A1883" s="4">
        <f>IFERROR(__xludf.DUMMYFUNCTION("""COMPUTED_VALUE"""),44251.0)</f>
        <v>44251</v>
      </c>
      <c r="B1883" s="5">
        <f>IFERROR(__xludf.DUMMYFUNCTION("""COMPUTED_VALUE"""),2138.0)</f>
        <v>2138</v>
      </c>
      <c r="C1883" s="6">
        <f>IFERROR(__xludf.DUMMYFUNCTION("""COMPUTED_VALUE"""),0.508)</f>
        <v>0.508</v>
      </c>
      <c r="D1883" s="2">
        <f>IFERROR(__xludf.DUMMYFUNCTION("""COMPUTED_VALUE"""),0.0030439814814814813)</f>
        <v>0.003043981481</v>
      </c>
      <c r="E1883" s="1">
        <f>IFERROR(__xludf.DUMMYFUNCTION("""COMPUTED_VALUE"""),1.23)</f>
        <v>1.23</v>
      </c>
      <c r="F1883" s="1">
        <f>IFERROR(__xludf.DUMMYFUNCTION("""COMPUTED_VALUE"""),5.73)</f>
        <v>5.73</v>
      </c>
      <c r="G1883" s="5">
        <f>IFERROR(__xludf.DUMMYFUNCTION("""COMPUTED_VALUE"""),15038.0)</f>
        <v>15038</v>
      </c>
      <c r="H1883" s="5">
        <f>IFERROR(__xludf.DUMMYFUNCTION("""COMPUTED_VALUE"""),2624.0)</f>
        <v>2624</v>
      </c>
    </row>
    <row r="1884">
      <c r="A1884" s="4">
        <f>IFERROR(__xludf.DUMMYFUNCTION("""COMPUTED_VALUE"""),44252.0)</f>
        <v>44252</v>
      </c>
      <c r="B1884" s="5">
        <f>IFERROR(__xludf.DUMMYFUNCTION("""COMPUTED_VALUE"""),2347.0)</f>
        <v>2347</v>
      </c>
      <c r="C1884" s="6">
        <f>IFERROR(__xludf.DUMMYFUNCTION("""COMPUTED_VALUE"""),0.4645)</f>
        <v>0.4645</v>
      </c>
      <c r="D1884" s="2">
        <f>IFERROR(__xludf.DUMMYFUNCTION("""COMPUTED_VALUE"""),0.0031018518518518517)</f>
        <v>0.003101851852</v>
      </c>
      <c r="E1884" s="1">
        <f>IFERROR(__xludf.DUMMYFUNCTION("""COMPUTED_VALUE"""),1.17)</f>
        <v>1.17</v>
      </c>
      <c r="F1884" s="1">
        <f>IFERROR(__xludf.DUMMYFUNCTION("""COMPUTED_VALUE"""),5.8)</f>
        <v>5.8</v>
      </c>
      <c r="G1884" s="5">
        <f>IFERROR(__xludf.DUMMYFUNCTION("""COMPUTED_VALUE"""),15954.0)</f>
        <v>15954</v>
      </c>
      <c r="H1884" s="5">
        <f>IFERROR(__xludf.DUMMYFUNCTION("""COMPUTED_VALUE"""),2749.0)</f>
        <v>2749</v>
      </c>
    </row>
    <row r="1885">
      <c r="A1885" s="4">
        <f>IFERROR(__xludf.DUMMYFUNCTION("""COMPUTED_VALUE"""),44253.0)</f>
        <v>44253</v>
      </c>
      <c r="B1885" s="5">
        <f>IFERROR(__xludf.DUMMYFUNCTION("""COMPUTED_VALUE"""),2236.0)</f>
        <v>2236</v>
      </c>
      <c r="C1885" s="6">
        <f>IFERROR(__xludf.DUMMYFUNCTION("""COMPUTED_VALUE"""),0.607)</f>
        <v>0.607</v>
      </c>
      <c r="D1885" s="2">
        <f>IFERROR(__xludf.DUMMYFUNCTION("""COMPUTED_VALUE"""),0.001712962962962963)</f>
        <v>0.001712962963</v>
      </c>
      <c r="E1885" s="1">
        <f>IFERROR(__xludf.DUMMYFUNCTION("""COMPUTED_VALUE"""),1.07)</f>
        <v>1.07</v>
      </c>
      <c r="F1885" s="1">
        <f>IFERROR(__xludf.DUMMYFUNCTION("""COMPUTED_VALUE"""),3.41)</f>
        <v>3.41</v>
      </c>
      <c r="G1885" s="5">
        <f>IFERROR(__xludf.DUMMYFUNCTION("""COMPUTED_VALUE"""),8192.0)</f>
        <v>8192</v>
      </c>
      <c r="H1885" s="5">
        <f>IFERROR(__xludf.DUMMYFUNCTION("""COMPUTED_VALUE"""),2402.0)</f>
        <v>2402</v>
      </c>
    </row>
    <row r="1886">
      <c r="A1886" s="4">
        <f>IFERROR(__xludf.DUMMYFUNCTION("""COMPUTED_VALUE"""),44254.0)</f>
        <v>44254</v>
      </c>
      <c r="B1886" s="5">
        <f>IFERROR(__xludf.DUMMYFUNCTION("""COMPUTED_VALUE"""),3582.0)</f>
        <v>3582</v>
      </c>
      <c r="C1886" s="6">
        <f>IFERROR(__xludf.DUMMYFUNCTION("""COMPUTED_VALUE"""),0.4405)</f>
        <v>0.4405</v>
      </c>
      <c r="D1886" s="2">
        <f>IFERROR(__xludf.DUMMYFUNCTION("""COMPUTED_VALUE"""),0.0015046296296296296)</f>
        <v>0.00150462963</v>
      </c>
      <c r="E1886" s="1">
        <f>IFERROR(__xludf.DUMMYFUNCTION("""COMPUTED_VALUE"""),1.07)</f>
        <v>1.07</v>
      </c>
      <c r="F1886" s="1">
        <f>IFERROR(__xludf.DUMMYFUNCTION("""COMPUTED_VALUE"""),4.32)</f>
        <v>4.32</v>
      </c>
      <c r="G1886" s="5">
        <f>IFERROR(__xludf.DUMMYFUNCTION("""COMPUTED_VALUE"""),16621.0)</f>
        <v>16621</v>
      </c>
      <c r="H1886" s="5">
        <f>IFERROR(__xludf.DUMMYFUNCTION("""COMPUTED_VALUE"""),3846.0)</f>
        <v>3846</v>
      </c>
    </row>
    <row r="1887">
      <c r="A1887" s="4">
        <f>IFERROR(__xludf.DUMMYFUNCTION("""COMPUTED_VALUE"""),44255.0)</f>
        <v>44255</v>
      </c>
      <c r="B1887" s="5">
        <f>IFERROR(__xludf.DUMMYFUNCTION("""COMPUTED_VALUE"""),2263.0)</f>
        <v>2263</v>
      </c>
      <c r="C1887" s="6">
        <f>IFERROR(__xludf.DUMMYFUNCTION("""COMPUTED_VALUE"""),0.5465)</f>
        <v>0.5465</v>
      </c>
      <c r="D1887" s="2">
        <f>IFERROR(__xludf.DUMMYFUNCTION("""COMPUTED_VALUE"""),0.001712962962962963)</f>
        <v>0.001712962963</v>
      </c>
      <c r="E1887" s="1">
        <f>IFERROR(__xludf.DUMMYFUNCTION("""COMPUTED_VALUE"""),1.06)</f>
        <v>1.06</v>
      </c>
      <c r="F1887" s="1">
        <f>IFERROR(__xludf.DUMMYFUNCTION("""COMPUTED_VALUE"""),4.58)</f>
        <v>4.58</v>
      </c>
      <c r="G1887" s="5">
        <f>IFERROR(__xludf.DUMMYFUNCTION("""COMPUTED_VALUE"""),10942.0)</f>
        <v>10942</v>
      </c>
      <c r="H1887" s="5">
        <f>IFERROR(__xludf.DUMMYFUNCTION("""COMPUTED_VALUE"""),2388.0)</f>
        <v>2388</v>
      </c>
    </row>
    <row r="1888">
      <c r="A1888" s="4">
        <f>IFERROR(__xludf.DUMMYFUNCTION("""COMPUTED_VALUE"""),44256.0)</f>
        <v>44256</v>
      </c>
      <c r="B1888" s="5">
        <f>IFERROR(__xludf.DUMMYFUNCTION("""COMPUTED_VALUE"""),3013.0)</f>
        <v>3013</v>
      </c>
      <c r="C1888" s="6">
        <f>IFERROR(__xludf.DUMMYFUNCTION("""COMPUTED_VALUE"""),0.5749)</f>
        <v>0.5749</v>
      </c>
      <c r="D1888" s="2">
        <f>IFERROR(__xludf.DUMMYFUNCTION("""COMPUTED_VALUE"""),0.0018402777777777777)</f>
        <v>0.001840277778</v>
      </c>
      <c r="E1888" s="1">
        <f>IFERROR(__xludf.DUMMYFUNCTION("""COMPUTED_VALUE"""),1.14)</f>
        <v>1.14</v>
      </c>
      <c r="F1888" s="1">
        <f>IFERROR(__xludf.DUMMYFUNCTION("""COMPUTED_VALUE"""),3.81)</f>
        <v>3.81</v>
      </c>
      <c r="G1888" s="5">
        <f>IFERROR(__xludf.DUMMYFUNCTION("""COMPUTED_VALUE"""),13052.0)</f>
        <v>13052</v>
      </c>
      <c r="H1888" s="5">
        <f>IFERROR(__xludf.DUMMYFUNCTION("""COMPUTED_VALUE"""),3430.0)</f>
        <v>3430</v>
      </c>
    </row>
    <row r="1889">
      <c r="A1889" s="4">
        <f>IFERROR(__xludf.DUMMYFUNCTION("""COMPUTED_VALUE"""),44257.0)</f>
        <v>44257</v>
      </c>
      <c r="B1889" s="5">
        <f>IFERROR(__xludf.DUMMYFUNCTION("""COMPUTED_VALUE"""),3388.0)</f>
        <v>3388</v>
      </c>
      <c r="C1889" s="6">
        <f>IFERROR(__xludf.DUMMYFUNCTION("""COMPUTED_VALUE"""),0.5619)</f>
        <v>0.5619</v>
      </c>
      <c r="D1889" s="2">
        <f>IFERROR(__xludf.DUMMYFUNCTION("""COMPUTED_VALUE"""),0.0016898148148148148)</f>
        <v>0.001689814815</v>
      </c>
      <c r="E1889" s="1">
        <f>IFERROR(__xludf.DUMMYFUNCTION("""COMPUTED_VALUE"""),1.12)</f>
        <v>1.12</v>
      </c>
      <c r="F1889" s="1">
        <f>IFERROR(__xludf.DUMMYFUNCTION("""COMPUTED_VALUE"""),3.54)</f>
        <v>3.54</v>
      </c>
      <c r="G1889" s="5">
        <f>IFERROR(__xludf.DUMMYFUNCTION("""COMPUTED_VALUE"""),13483.0)</f>
        <v>13483</v>
      </c>
      <c r="H1889" s="5">
        <f>IFERROR(__xludf.DUMMYFUNCTION("""COMPUTED_VALUE"""),3805.0)</f>
        <v>3805</v>
      </c>
    </row>
    <row r="1890">
      <c r="A1890" s="4">
        <f>IFERROR(__xludf.DUMMYFUNCTION("""COMPUTED_VALUE"""),44258.0)</f>
        <v>44258</v>
      </c>
      <c r="B1890" s="5">
        <f>IFERROR(__xludf.DUMMYFUNCTION("""COMPUTED_VALUE"""),2999.0)</f>
        <v>2999</v>
      </c>
      <c r="C1890" s="6">
        <f>IFERROR(__xludf.DUMMYFUNCTION("""COMPUTED_VALUE"""),0.5291)</f>
        <v>0.5291</v>
      </c>
      <c r="D1890" s="2">
        <f>IFERROR(__xludf.DUMMYFUNCTION("""COMPUTED_VALUE"""),0.0019328703703703704)</f>
        <v>0.00193287037</v>
      </c>
      <c r="E1890" s="1">
        <f>IFERROR(__xludf.DUMMYFUNCTION("""COMPUTED_VALUE"""),1.11)</f>
        <v>1.11</v>
      </c>
      <c r="F1890" s="1">
        <f>IFERROR(__xludf.DUMMYFUNCTION("""COMPUTED_VALUE"""),3.81)</f>
        <v>3.81</v>
      </c>
      <c r="G1890" s="5">
        <f>IFERROR(__xludf.DUMMYFUNCTION("""COMPUTED_VALUE"""),12705.0)</f>
        <v>12705</v>
      </c>
      <c r="H1890" s="5">
        <f>IFERROR(__xludf.DUMMYFUNCTION("""COMPUTED_VALUE"""),3332.0)</f>
        <v>3332</v>
      </c>
    </row>
    <row r="1891">
      <c r="A1891" s="4">
        <f>IFERROR(__xludf.DUMMYFUNCTION("""COMPUTED_VALUE"""),44259.0)</f>
        <v>44259</v>
      </c>
      <c r="B1891" s="5">
        <f>IFERROR(__xludf.DUMMYFUNCTION("""COMPUTED_VALUE"""),2513.0)</f>
        <v>2513</v>
      </c>
      <c r="C1891" s="6">
        <f>IFERROR(__xludf.DUMMYFUNCTION("""COMPUTED_VALUE"""),0.6389)</f>
        <v>0.6389</v>
      </c>
      <c r="D1891" s="2">
        <f>IFERROR(__xludf.DUMMYFUNCTION("""COMPUTED_VALUE"""),0.002210648148148148)</f>
        <v>0.002210648148</v>
      </c>
      <c r="E1891" s="1">
        <f>IFERROR(__xludf.DUMMYFUNCTION("""COMPUTED_VALUE"""),1.13)</f>
        <v>1.13</v>
      </c>
      <c r="F1891" s="1">
        <f>IFERROR(__xludf.DUMMYFUNCTION("""COMPUTED_VALUE"""),4.99)</f>
        <v>4.99</v>
      </c>
      <c r="G1891" s="5">
        <f>IFERROR(__xludf.DUMMYFUNCTION("""COMPUTED_VALUE"""),14205.0)</f>
        <v>14205</v>
      </c>
      <c r="H1891" s="5">
        <f>IFERROR(__xludf.DUMMYFUNCTION("""COMPUTED_VALUE"""),2847.0)</f>
        <v>2847</v>
      </c>
    </row>
    <row r="1892">
      <c r="A1892" s="4">
        <f>IFERROR(__xludf.DUMMYFUNCTION("""COMPUTED_VALUE"""),44260.0)</f>
        <v>44260</v>
      </c>
      <c r="B1892" s="5">
        <f>IFERROR(__xludf.DUMMYFUNCTION("""COMPUTED_VALUE"""),2083.0)</f>
        <v>2083</v>
      </c>
      <c r="C1892" s="6">
        <f>IFERROR(__xludf.DUMMYFUNCTION("""COMPUTED_VALUE"""),0.5)</f>
        <v>0.5</v>
      </c>
      <c r="D1892" s="2">
        <f>IFERROR(__xludf.DUMMYFUNCTION("""COMPUTED_VALUE"""),0.0020949074074074073)</f>
        <v>0.002094907407</v>
      </c>
      <c r="E1892" s="1">
        <f>IFERROR(__xludf.DUMMYFUNCTION("""COMPUTED_VALUE"""),1.15)</f>
        <v>1.15</v>
      </c>
      <c r="F1892" s="1">
        <f>IFERROR(__xludf.DUMMYFUNCTION("""COMPUTED_VALUE"""),3.41)</f>
        <v>3.41</v>
      </c>
      <c r="G1892" s="5">
        <f>IFERROR(__xludf.DUMMYFUNCTION("""COMPUTED_VALUE"""),8137.0)</f>
        <v>8137</v>
      </c>
      <c r="H1892" s="5">
        <f>IFERROR(__xludf.DUMMYFUNCTION("""COMPUTED_VALUE"""),2388.0)</f>
        <v>2388</v>
      </c>
    </row>
    <row r="1893">
      <c r="A1893" s="4">
        <f>IFERROR(__xludf.DUMMYFUNCTION("""COMPUTED_VALUE"""),44261.0)</f>
        <v>44261</v>
      </c>
      <c r="B1893" s="5">
        <f>IFERROR(__xludf.DUMMYFUNCTION("""COMPUTED_VALUE"""),1666.0)</f>
        <v>1666</v>
      </c>
      <c r="C1893" s="6">
        <f>IFERROR(__xludf.DUMMYFUNCTION("""COMPUTED_VALUE"""),0.6349)</f>
        <v>0.6349</v>
      </c>
      <c r="D1893" s="2">
        <f>IFERROR(__xludf.DUMMYFUNCTION("""COMPUTED_VALUE"""),0.0014583333333333334)</f>
        <v>0.001458333333</v>
      </c>
      <c r="E1893" s="1">
        <f>IFERROR(__xludf.DUMMYFUNCTION("""COMPUTED_VALUE"""),1.05)</f>
        <v>1.05</v>
      </c>
      <c r="F1893" s="1">
        <f>IFERROR(__xludf.DUMMYFUNCTION("""COMPUTED_VALUE"""),3.25)</f>
        <v>3.25</v>
      </c>
      <c r="G1893" s="5">
        <f>IFERROR(__xludf.DUMMYFUNCTION("""COMPUTED_VALUE"""),5679.0)</f>
        <v>5679</v>
      </c>
      <c r="H1893" s="5">
        <f>IFERROR(__xludf.DUMMYFUNCTION("""COMPUTED_VALUE"""),1750.0)</f>
        <v>1750</v>
      </c>
    </row>
    <row r="1894">
      <c r="A1894" s="4">
        <f>IFERROR(__xludf.DUMMYFUNCTION("""COMPUTED_VALUE"""),44262.0)</f>
        <v>44262</v>
      </c>
      <c r="B1894" s="5">
        <f>IFERROR(__xludf.DUMMYFUNCTION("""COMPUTED_VALUE"""),1680.0)</f>
        <v>1680</v>
      </c>
      <c r="C1894" s="6">
        <f>IFERROR(__xludf.DUMMYFUNCTION("""COMPUTED_VALUE"""),0.5715)</f>
        <v>0.5715</v>
      </c>
      <c r="D1894" s="2">
        <f>IFERROR(__xludf.DUMMYFUNCTION("""COMPUTED_VALUE"""),0.0019444444444444444)</f>
        <v>0.001944444444</v>
      </c>
      <c r="E1894" s="1">
        <f>IFERROR(__xludf.DUMMYFUNCTION("""COMPUTED_VALUE"""),1.16)</f>
        <v>1.16</v>
      </c>
      <c r="F1894" s="1">
        <f>IFERROR(__xludf.DUMMYFUNCTION("""COMPUTED_VALUE"""),4.26)</f>
        <v>4.26</v>
      </c>
      <c r="G1894" s="5">
        <f>IFERROR(__xludf.DUMMYFUNCTION("""COMPUTED_VALUE"""),8276.0)</f>
        <v>8276</v>
      </c>
      <c r="H1894" s="5">
        <f>IFERROR(__xludf.DUMMYFUNCTION("""COMPUTED_VALUE"""),1944.0)</f>
        <v>1944</v>
      </c>
    </row>
    <row r="1895">
      <c r="A1895" s="4">
        <f>IFERROR(__xludf.DUMMYFUNCTION("""COMPUTED_VALUE"""),44263.0)</f>
        <v>44263</v>
      </c>
      <c r="B1895" s="5">
        <f>IFERROR(__xludf.DUMMYFUNCTION("""COMPUTED_VALUE"""),2277.0)</f>
        <v>2277</v>
      </c>
      <c r="C1895" s="6">
        <f>IFERROR(__xludf.DUMMYFUNCTION("""COMPUTED_VALUE"""),0.4973)</f>
        <v>0.4973</v>
      </c>
      <c r="D1895" s="2">
        <f>IFERROR(__xludf.DUMMYFUNCTION("""COMPUTED_VALUE"""),0.002395833333333333)</f>
        <v>0.002395833333</v>
      </c>
      <c r="E1895" s="1">
        <f>IFERROR(__xludf.DUMMYFUNCTION("""COMPUTED_VALUE"""),1.15)</f>
        <v>1.15</v>
      </c>
      <c r="F1895" s="1">
        <f>IFERROR(__xludf.DUMMYFUNCTION("""COMPUTED_VALUE"""),3.91)</f>
        <v>3.91</v>
      </c>
      <c r="G1895" s="5">
        <f>IFERROR(__xludf.DUMMYFUNCTION("""COMPUTED_VALUE"""),10247.0)</f>
        <v>10247</v>
      </c>
      <c r="H1895" s="5">
        <f>IFERROR(__xludf.DUMMYFUNCTION("""COMPUTED_VALUE"""),2624.0)</f>
        <v>2624</v>
      </c>
    </row>
    <row r="1896">
      <c r="A1896" s="4">
        <f>IFERROR(__xludf.DUMMYFUNCTION("""COMPUTED_VALUE"""),44264.0)</f>
        <v>44264</v>
      </c>
      <c r="B1896" s="5">
        <f>IFERROR(__xludf.DUMMYFUNCTION("""COMPUTED_VALUE"""),2513.0)</f>
        <v>2513</v>
      </c>
      <c r="C1896" s="6">
        <f>IFERROR(__xludf.DUMMYFUNCTION("""COMPUTED_VALUE"""),0.5328)</f>
        <v>0.5328</v>
      </c>
      <c r="D1896" s="2">
        <f>IFERROR(__xludf.DUMMYFUNCTION("""COMPUTED_VALUE"""),0.0019328703703703704)</f>
        <v>0.00193287037</v>
      </c>
      <c r="E1896" s="1">
        <f>IFERROR(__xludf.DUMMYFUNCTION("""COMPUTED_VALUE"""),1.1)</f>
        <v>1.1</v>
      </c>
      <c r="F1896" s="1">
        <f>IFERROR(__xludf.DUMMYFUNCTION("""COMPUTED_VALUE"""),4.64)</f>
        <v>4.64</v>
      </c>
      <c r="G1896" s="5">
        <f>IFERROR(__xludf.DUMMYFUNCTION("""COMPUTED_VALUE"""),12816.0)</f>
        <v>12816</v>
      </c>
      <c r="H1896" s="5">
        <f>IFERROR(__xludf.DUMMYFUNCTION("""COMPUTED_VALUE"""),2763.0)</f>
        <v>2763</v>
      </c>
    </row>
    <row r="1897">
      <c r="A1897" s="4">
        <f>IFERROR(__xludf.DUMMYFUNCTION("""COMPUTED_VALUE"""),44265.0)</f>
        <v>44265</v>
      </c>
      <c r="B1897" s="5">
        <f>IFERROR(__xludf.DUMMYFUNCTION("""COMPUTED_VALUE"""),2805.0)</f>
        <v>2805</v>
      </c>
      <c r="C1897" s="6">
        <f>IFERROR(__xludf.DUMMYFUNCTION("""COMPUTED_VALUE"""),0.5637)</f>
        <v>0.5637</v>
      </c>
      <c r="D1897" s="2">
        <f>IFERROR(__xludf.DUMMYFUNCTION("""COMPUTED_VALUE"""),0.0016666666666666668)</f>
        <v>0.001666666667</v>
      </c>
      <c r="E1897" s="1">
        <f>IFERROR(__xludf.DUMMYFUNCTION("""COMPUTED_VALUE"""),1.09)</f>
        <v>1.09</v>
      </c>
      <c r="F1897" s="1">
        <f>IFERROR(__xludf.DUMMYFUNCTION("""COMPUTED_VALUE"""),3.38)</f>
        <v>3.38</v>
      </c>
      <c r="G1897" s="5">
        <f>IFERROR(__xludf.DUMMYFUNCTION("""COMPUTED_VALUE"""),10317.0)</f>
        <v>10317</v>
      </c>
      <c r="H1897" s="5">
        <f>IFERROR(__xludf.DUMMYFUNCTION("""COMPUTED_VALUE"""),3055.0)</f>
        <v>3055</v>
      </c>
    </row>
    <row r="1898">
      <c r="A1898" s="4">
        <f>IFERROR(__xludf.DUMMYFUNCTION("""COMPUTED_VALUE"""),44266.0)</f>
        <v>44266</v>
      </c>
      <c r="B1898" s="5">
        <f>IFERROR(__xludf.DUMMYFUNCTION("""COMPUTED_VALUE"""),2763.0)</f>
        <v>2763</v>
      </c>
      <c r="C1898" s="6">
        <f>IFERROR(__xludf.DUMMYFUNCTION("""COMPUTED_VALUE"""),0.4324)</f>
        <v>0.4324</v>
      </c>
      <c r="D1898" s="2">
        <f>IFERROR(__xludf.DUMMYFUNCTION("""COMPUTED_VALUE"""),0.002210648148148148)</f>
        <v>0.002210648148</v>
      </c>
      <c r="E1898" s="1">
        <f>IFERROR(__xludf.DUMMYFUNCTION("""COMPUTED_VALUE"""),1.12)</f>
        <v>1.12</v>
      </c>
      <c r="F1898" s="1">
        <f>IFERROR(__xludf.DUMMYFUNCTION("""COMPUTED_VALUE"""),5.25)</f>
        <v>5.25</v>
      </c>
      <c r="G1898" s="5">
        <f>IFERROR(__xludf.DUMMYFUNCTION("""COMPUTED_VALUE"""),16176.0)</f>
        <v>16176</v>
      </c>
      <c r="H1898" s="5">
        <f>IFERROR(__xludf.DUMMYFUNCTION("""COMPUTED_VALUE"""),3083.0)</f>
        <v>3083</v>
      </c>
    </row>
    <row r="1899">
      <c r="A1899" s="4">
        <f>IFERROR(__xludf.DUMMYFUNCTION("""COMPUTED_VALUE"""),44267.0)</f>
        <v>44267</v>
      </c>
      <c r="B1899" s="5">
        <f>IFERROR(__xludf.DUMMYFUNCTION("""COMPUTED_VALUE"""),2069.0)</f>
        <v>2069</v>
      </c>
      <c r="C1899" s="6">
        <f>IFERROR(__xludf.DUMMYFUNCTION("""COMPUTED_VALUE"""),0.5783)</f>
        <v>0.5783</v>
      </c>
      <c r="D1899" s="2">
        <f>IFERROR(__xludf.DUMMYFUNCTION("""COMPUTED_VALUE"""),0.001979166666666667)</f>
        <v>0.001979166667</v>
      </c>
      <c r="E1899" s="1">
        <f>IFERROR(__xludf.DUMMYFUNCTION("""COMPUTED_VALUE"""),1.16)</f>
        <v>1.16</v>
      </c>
      <c r="F1899" s="1">
        <f>IFERROR(__xludf.DUMMYFUNCTION("""COMPUTED_VALUE"""),4.56)</f>
        <v>4.56</v>
      </c>
      <c r="G1899" s="5">
        <f>IFERROR(__xludf.DUMMYFUNCTION("""COMPUTED_VALUE"""),10956.0)</f>
        <v>10956</v>
      </c>
      <c r="H1899" s="5">
        <f>IFERROR(__xludf.DUMMYFUNCTION("""COMPUTED_VALUE"""),2402.0)</f>
        <v>2402</v>
      </c>
    </row>
    <row r="1900">
      <c r="A1900" s="4">
        <f>IFERROR(__xludf.DUMMYFUNCTION("""COMPUTED_VALUE"""),44268.0)</f>
        <v>44268</v>
      </c>
      <c r="B1900" s="5">
        <f>IFERROR(__xludf.DUMMYFUNCTION("""COMPUTED_VALUE"""),1611.0)</f>
        <v>1611</v>
      </c>
      <c r="C1900" s="6">
        <f>IFERROR(__xludf.DUMMYFUNCTION("""COMPUTED_VALUE"""),0.5314)</f>
        <v>0.5314</v>
      </c>
      <c r="D1900" s="2">
        <f>IFERROR(__xludf.DUMMYFUNCTION("""COMPUTED_VALUE"""),0.001851851851851852)</f>
        <v>0.001851851852</v>
      </c>
      <c r="E1900" s="1">
        <f>IFERROR(__xludf.DUMMYFUNCTION("""COMPUTED_VALUE"""),1.09)</f>
        <v>1.09</v>
      </c>
      <c r="F1900" s="1">
        <f>IFERROR(__xludf.DUMMYFUNCTION("""COMPUTED_VALUE"""),3.95)</f>
        <v>3.95</v>
      </c>
      <c r="G1900" s="5">
        <f>IFERROR(__xludf.DUMMYFUNCTION("""COMPUTED_VALUE"""),6915.0)</f>
        <v>6915</v>
      </c>
      <c r="H1900" s="5">
        <f>IFERROR(__xludf.DUMMYFUNCTION("""COMPUTED_VALUE"""),1750.0)</f>
        <v>1750</v>
      </c>
    </row>
    <row r="1901">
      <c r="A1901" s="4">
        <f>IFERROR(__xludf.DUMMYFUNCTION("""COMPUTED_VALUE"""),44269.0)</f>
        <v>44269</v>
      </c>
      <c r="B1901" s="5">
        <f>IFERROR(__xludf.DUMMYFUNCTION("""COMPUTED_VALUE"""),1514.0)</f>
        <v>1514</v>
      </c>
      <c r="C1901" s="6">
        <f>IFERROR(__xludf.DUMMYFUNCTION("""COMPUTED_VALUE"""),0.5287)</f>
        <v>0.5287</v>
      </c>
      <c r="D1901" s="2">
        <f>IFERROR(__xludf.DUMMYFUNCTION("""COMPUTED_VALUE"""),9.953703703703704E-4)</f>
        <v>0.0009953703704</v>
      </c>
      <c r="E1901" s="1">
        <f>IFERROR(__xludf.DUMMYFUNCTION("""COMPUTED_VALUE"""),1.13)</f>
        <v>1.13</v>
      </c>
      <c r="F1901" s="1">
        <f>IFERROR(__xludf.DUMMYFUNCTION("""COMPUTED_VALUE"""),3.25)</f>
        <v>3.25</v>
      </c>
      <c r="G1901" s="5">
        <f>IFERROR(__xludf.DUMMYFUNCTION("""COMPUTED_VALUE"""),5554.0)</f>
        <v>5554</v>
      </c>
      <c r="H1901" s="5">
        <f>IFERROR(__xludf.DUMMYFUNCTION("""COMPUTED_VALUE"""),1708.0)</f>
        <v>1708</v>
      </c>
    </row>
    <row r="1902">
      <c r="A1902" s="4">
        <f>IFERROR(__xludf.DUMMYFUNCTION("""COMPUTED_VALUE"""),44270.0)</f>
        <v>44270</v>
      </c>
      <c r="B1902" s="5">
        <f>IFERROR(__xludf.DUMMYFUNCTION("""COMPUTED_VALUE"""),2597.0)</f>
        <v>2597</v>
      </c>
      <c r="C1902" s="6">
        <f>IFERROR(__xludf.DUMMYFUNCTION("""COMPUTED_VALUE"""),0.4951)</f>
        <v>0.4951</v>
      </c>
      <c r="D1902" s="2">
        <f>IFERROR(__xludf.DUMMYFUNCTION("""COMPUTED_VALUE"""),0.0027546296296296294)</f>
        <v>0.00275462963</v>
      </c>
      <c r="E1902" s="1">
        <f>IFERROR(__xludf.DUMMYFUNCTION("""COMPUTED_VALUE"""),1.07)</f>
        <v>1.07</v>
      </c>
      <c r="F1902" s="1">
        <f>IFERROR(__xludf.DUMMYFUNCTION("""COMPUTED_VALUE"""),6.63)</f>
        <v>6.63</v>
      </c>
      <c r="G1902" s="5">
        <f>IFERROR(__xludf.DUMMYFUNCTION("""COMPUTED_VALUE"""),18398.0)</f>
        <v>18398</v>
      </c>
      <c r="H1902" s="5">
        <f>IFERROR(__xludf.DUMMYFUNCTION("""COMPUTED_VALUE"""),2777.0)</f>
        <v>2777</v>
      </c>
    </row>
    <row r="1903">
      <c r="A1903" s="4">
        <f>IFERROR(__xludf.DUMMYFUNCTION("""COMPUTED_VALUE"""),44271.0)</f>
        <v>44271</v>
      </c>
      <c r="B1903" s="5">
        <f>IFERROR(__xludf.DUMMYFUNCTION("""COMPUTED_VALUE"""),2513.0)</f>
        <v>2513</v>
      </c>
      <c r="C1903" s="6">
        <f>IFERROR(__xludf.DUMMYFUNCTION("""COMPUTED_VALUE"""),0.5245)</f>
        <v>0.5245</v>
      </c>
      <c r="D1903" s="2">
        <f>IFERROR(__xludf.DUMMYFUNCTION("""COMPUTED_VALUE"""),0.002210648148148148)</f>
        <v>0.002210648148</v>
      </c>
      <c r="E1903" s="1">
        <f>IFERROR(__xludf.DUMMYFUNCTION("""COMPUTED_VALUE"""),1.14)</f>
        <v>1.14</v>
      </c>
      <c r="F1903" s="1">
        <f>IFERROR(__xludf.DUMMYFUNCTION("""COMPUTED_VALUE"""),5.27)</f>
        <v>5.27</v>
      </c>
      <c r="G1903" s="5">
        <f>IFERROR(__xludf.DUMMYFUNCTION("""COMPUTED_VALUE"""),15066.0)</f>
        <v>15066</v>
      </c>
      <c r="H1903" s="5">
        <f>IFERROR(__xludf.DUMMYFUNCTION("""COMPUTED_VALUE"""),2860.0)</f>
        <v>2860</v>
      </c>
    </row>
    <row r="1904">
      <c r="A1904" s="4">
        <f>IFERROR(__xludf.DUMMYFUNCTION("""COMPUTED_VALUE"""),44272.0)</f>
        <v>44272</v>
      </c>
      <c r="B1904" s="5">
        <f>IFERROR(__xludf.DUMMYFUNCTION("""COMPUTED_VALUE"""),2819.0)</f>
        <v>2819</v>
      </c>
      <c r="C1904" s="6">
        <f>IFERROR(__xludf.DUMMYFUNCTION("""COMPUTED_VALUE"""),0.5576)</f>
        <v>0.5576</v>
      </c>
      <c r="D1904" s="2">
        <f>IFERROR(__xludf.DUMMYFUNCTION("""COMPUTED_VALUE"""),0.001400462962962963)</f>
        <v>0.001400462963</v>
      </c>
      <c r="E1904" s="1">
        <f>IFERROR(__xludf.DUMMYFUNCTION("""COMPUTED_VALUE"""),1.07)</f>
        <v>1.07</v>
      </c>
      <c r="F1904" s="1">
        <f>IFERROR(__xludf.DUMMYFUNCTION("""COMPUTED_VALUE"""),3.77)</f>
        <v>3.77</v>
      </c>
      <c r="G1904" s="5">
        <f>IFERROR(__xludf.DUMMYFUNCTION("""COMPUTED_VALUE"""),11372.0)</f>
        <v>11372</v>
      </c>
      <c r="H1904" s="5">
        <f>IFERROR(__xludf.DUMMYFUNCTION("""COMPUTED_VALUE"""),3013.0)</f>
        <v>3013</v>
      </c>
    </row>
    <row r="1905">
      <c r="A1905" s="4">
        <f>IFERROR(__xludf.DUMMYFUNCTION("""COMPUTED_VALUE"""),44273.0)</f>
        <v>44273</v>
      </c>
      <c r="B1905" s="5">
        <f>IFERROR(__xludf.DUMMYFUNCTION("""COMPUTED_VALUE"""),2680.0)</f>
        <v>2680</v>
      </c>
      <c r="C1905" s="6">
        <f>IFERROR(__xludf.DUMMYFUNCTION("""COMPUTED_VALUE"""),0.5336)</f>
        <v>0.5336</v>
      </c>
      <c r="D1905" s="2">
        <f>IFERROR(__xludf.DUMMYFUNCTION("""COMPUTED_VALUE"""),0.002025462962962963)</f>
        <v>0.002025462963</v>
      </c>
      <c r="E1905" s="1">
        <f>IFERROR(__xludf.DUMMYFUNCTION("""COMPUTED_VALUE"""),1.08)</f>
        <v>1.08</v>
      </c>
      <c r="F1905" s="1">
        <f>IFERROR(__xludf.DUMMYFUNCTION("""COMPUTED_VALUE"""),4.75)</f>
        <v>4.75</v>
      </c>
      <c r="G1905" s="5">
        <f>IFERROR(__xludf.DUMMYFUNCTION("""COMPUTED_VALUE"""),13705.0)</f>
        <v>13705</v>
      </c>
      <c r="H1905" s="5">
        <f>IFERROR(__xludf.DUMMYFUNCTION("""COMPUTED_VALUE"""),2888.0)</f>
        <v>2888</v>
      </c>
    </row>
    <row r="1906">
      <c r="A1906" s="4">
        <f>IFERROR(__xludf.DUMMYFUNCTION("""COMPUTED_VALUE"""),44274.0)</f>
        <v>44274</v>
      </c>
      <c r="B1906" s="5">
        <f>IFERROR(__xludf.DUMMYFUNCTION("""COMPUTED_VALUE"""),2138.0)</f>
        <v>2138</v>
      </c>
      <c r="C1906" s="6">
        <f>IFERROR(__xludf.DUMMYFUNCTION("""COMPUTED_VALUE"""),0.5699)</f>
        <v>0.5699</v>
      </c>
      <c r="D1906" s="2">
        <f>IFERROR(__xludf.DUMMYFUNCTION("""COMPUTED_VALUE"""),0.001574074074074074)</f>
        <v>0.001574074074</v>
      </c>
      <c r="E1906" s="1">
        <f>IFERROR(__xludf.DUMMYFUNCTION("""COMPUTED_VALUE"""),1.12)</f>
        <v>1.12</v>
      </c>
      <c r="F1906" s="1">
        <f>IFERROR(__xludf.DUMMYFUNCTION("""COMPUTED_VALUE"""),4.15)</f>
        <v>4.15</v>
      </c>
      <c r="G1906" s="5">
        <f>IFERROR(__xludf.DUMMYFUNCTION("""COMPUTED_VALUE"""),9914.0)</f>
        <v>9914</v>
      </c>
      <c r="H1906" s="5">
        <f>IFERROR(__xludf.DUMMYFUNCTION("""COMPUTED_VALUE"""),2388.0)</f>
        <v>2388</v>
      </c>
    </row>
    <row r="1907">
      <c r="A1907" s="4">
        <f>IFERROR(__xludf.DUMMYFUNCTION("""COMPUTED_VALUE"""),44275.0)</f>
        <v>44275</v>
      </c>
      <c r="B1907" s="5">
        <f>IFERROR(__xludf.DUMMYFUNCTION("""COMPUTED_VALUE"""),1611.0)</f>
        <v>1611</v>
      </c>
      <c r="C1907" s="6">
        <f>IFERROR(__xludf.DUMMYFUNCTION("""COMPUTED_VALUE"""),0.5662)</f>
        <v>0.5662</v>
      </c>
      <c r="D1907" s="2">
        <f>IFERROR(__xludf.DUMMYFUNCTION("""COMPUTED_VALUE"""),0.0021759259259259258)</f>
        <v>0.002175925926</v>
      </c>
      <c r="E1907" s="1">
        <f>IFERROR(__xludf.DUMMYFUNCTION("""COMPUTED_VALUE"""),1.11)</f>
        <v>1.11</v>
      </c>
      <c r="F1907" s="1">
        <f>IFERROR(__xludf.DUMMYFUNCTION("""COMPUTED_VALUE"""),3.2)</f>
        <v>3.2</v>
      </c>
      <c r="G1907" s="5">
        <f>IFERROR(__xludf.DUMMYFUNCTION("""COMPUTED_VALUE"""),5735.0)</f>
        <v>5735</v>
      </c>
      <c r="H1907" s="5">
        <f>IFERROR(__xludf.DUMMYFUNCTION("""COMPUTED_VALUE"""),1791.0)</f>
        <v>1791</v>
      </c>
    </row>
    <row r="1908">
      <c r="A1908" s="4">
        <f>IFERROR(__xludf.DUMMYFUNCTION("""COMPUTED_VALUE"""),44276.0)</f>
        <v>44276</v>
      </c>
      <c r="B1908" s="5">
        <f>IFERROR(__xludf.DUMMYFUNCTION("""COMPUTED_VALUE"""),1777.0)</f>
        <v>1777</v>
      </c>
      <c r="C1908" s="6">
        <f>IFERROR(__xludf.DUMMYFUNCTION("""COMPUTED_VALUE"""),0.6057)</f>
        <v>0.6057</v>
      </c>
      <c r="D1908" s="2">
        <f>IFERROR(__xludf.DUMMYFUNCTION("""COMPUTED_VALUE"""),0.001574074074074074)</f>
        <v>0.001574074074</v>
      </c>
      <c r="E1908" s="1">
        <f>IFERROR(__xludf.DUMMYFUNCTION("""COMPUTED_VALUE"""),1.07)</f>
        <v>1.07</v>
      </c>
      <c r="F1908" s="1">
        <f>IFERROR(__xludf.DUMMYFUNCTION("""COMPUTED_VALUE"""),3.86)</f>
        <v>3.86</v>
      </c>
      <c r="G1908" s="5">
        <f>IFERROR(__xludf.DUMMYFUNCTION("""COMPUTED_VALUE"""),7345.0)</f>
        <v>7345</v>
      </c>
      <c r="H1908" s="5">
        <f>IFERROR(__xludf.DUMMYFUNCTION("""COMPUTED_VALUE"""),1902.0)</f>
        <v>1902</v>
      </c>
    </row>
    <row r="1909">
      <c r="A1909" s="4">
        <f>IFERROR(__xludf.DUMMYFUNCTION("""COMPUTED_VALUE"""),44277.0)</f>
        <v>44277</v>
      </c>
      <c r="B1909" s="5">
        <f>IFERROR(__xludf.DUMMYFUNCTION("""COMPUTED_VALUE"""),2402.0)</f>
        <v>2402</v>
      </c>
      <c r="C1909" s="6">
        <f>IFERROR(__xludf.DUMMYFUNCTION("""COMPUTED_VALUE"""),0.5408)</f>
        <v>0.5408</v>
      </c>
      <c r="D1909" s="2">
        <f>IFERROR(__xludf.DUMMYFUNCTION("""COMPUTED_VALUE"""),0.0023032407407407407)</f>
        <v>0.002303240741</v>
      </c>
      <c r="E1909" s="1">
        <f>IFERROR(__xludf.DUMMYFUNCTION("""COMPUTED_VALUE"""),1.13)</f>
        <v>1.13</v>
      </c>
      <c r="F1909" s="1">
        <f>IFERROR(__xludf.DUMMYFUNCTION("""COMPUTED_VALUE"""),4.65)</f>
        <v>4.65</v>
      </c>
      <c r="G1909" s="5">
        <f>IFERROR(__xludf.DUMMYFUNCTION("""COMPUTED_VALUE"""),12650.0)</f>
        <v>12650</v>
      </c>
      <c r="H1909" s="5">
        <f>IFERROR(__xludf.DUMMYFUNCTION("""COMPUTED_VALUE"""),2722.0)</f>
        <v>2722</v>
      </c>
    </row>
    <row r="1910">
      <c r="A1910" s="4">
        <f>IFERROR(__xludf.DUMMYFUNCTION("""COMPUTED_VALUE"""),44278.0)</f>
        <v>44278</v>
      </c>
      <c r="B1910" s="5">
        <f>IFERROR(__xludf.DUMMYFUNCTION("""COMPUTED_VALUE"""),2763.0)</f>
        <v>2763</v>
      </c>
      <c r="C1910" s="6">
        <f>IFERROR(__xludf.DUMMYFUNCTION("""COMPUTED_VALUE"""),0.5273)</f>
        <v>0.5273</v>
      </c>
      <c r="D1910" s="2">
        <f>IFERROR(__xludf.DUMMYFUNCTION("""COMPUTED_VALUE"""),0.001400462962962963)</f>
        <v>0.001400462963</v>
      </c>
      <c r="E1910" s="1">
        <f>IFERROR(__xludf.DUMMYFUNCTION("""COMPUTED_VALUE"""),1.11)</f>
        <v>1.11</v>
      </c>
      <c r="F1910" s="1">
        <f>IFERROR(__xludf.DUMMYFUNCTION("""COMPUTED_VALUE"""),3.81)</f>
        <v>3.81</v>
      </c>
      <c r="G1910" s="5">
        <f>IFERROR(__xludf.DUMMYFUNCTION("""COMPUTED_VALUE"""),11636.0)</f>
        <v>11636</v>
      </c>
      <c r="H1910" s="5">
        <f>IFERROR(__xludf.DUMMYFUNCTION("""COMPUTED_VALUE"""),3055.0)</f>
        <v>3055</v>
      </c>
    </row>
    <row r="1911">
      <c r="A1911" s="4">
        <f>IFERROR(__xludf.DUMMYFUNCTION("""COMPUTED_VALUE"""),44279.0)</f>
        <v>44279</v>
      </c>
      <c r="B1911" s="5">
        <f>IFERROR(__xludf.DUMMYFUNCTION("""COMPUTED_VALUE"""),2652.0)</f>
        <v>2652</v>
      </c>
      <c r="C1911" s="6">
        <f>IFERROR(__xludf.DUMMYFUNCTION("""COMPUTED_VALUE"""),0.5347)</f>
        <v>0.5347</v>
      </c>
      <c r="D1911" s="2">
        <f>IFERROR(__xludf.DUMMYFUNCTION("""COMPUTED_VALUE"""),0.0014814814814814814)</f>
        <v>0.001481481481</v>
      </c>
      <c r="E1911" s="1">
        <f>IFERROR(__xludf.DUMMYFUNCTION("""COMPUTED_VALUE"""),1.14)</f>
        <v>1.14</v>
      </c>
      <c r="F1911" s="1">
        <f>IFERROR(__xludf.DUMMYFUNCTION("""COMPUTED_VALUE"""),4.51)</f>
        <v>4.51</v>
      </c>
      <c r="G1911" s="5">
        <f>IFERROR(__xludf.DUMMYFUNCTION("""COMPUTED_VALUE"""),13580.0)</f>
        <v>13580</v>
      </c>
      <c r="H1911" s="5">
        <f>IFERROR(__xludf.DUMMYFUNCTION("""COMPUTED_VALUE"""),3013.0)</f>
        <v>3013</v>
      </c>
    </row>
    <row r="1912">
      <c r="A1912" s="4">
        <f>IFERROR(__xludf.DUMMYFUNCTION("""COMPUTED_VALUE"""),44280.0)</f>
        <v>44280</v>
      </c>
      <c r="B1912" s="5">
        <f>IFERROR(__xludf.DUMMYFUNCTION("""COMPUTED_VALUE"""),2499.0)</f>
        <v>2499</v>
      </c>
      <c r="C1912" s="6">
        <f>IFERROR(__xludf.DUMMYFUNCTION("""COMPUTED_VALUE"""),0.5571)</f>
        <v>0.5571</v>
      </c>
      <c r="D1912" s="2">
        <f>IFERROR(__xludf.DUMMYFUNCTION("""COMPUTED_VALUE"""),0.0018402777777777777)</f>
        <v>0.001840277778</v>
      </c>
      <c r="E1912" s="1">
        <f>IFERROR(__xludf.DUMMYFUNCTION("""COMPUTED_VALUE"""),1.12)</f>
        <v>1.12</v>
      </c>
      <c r="F1912" s="1">
        <f>IFERROR(__xludf.DUMMYFUNCTION("""COMPUTED_VALUE"""),3.76)</f>
        <v>3.76</v>
      </c>
      <c r="G1912" s="5">
        <f>IFERROR(__xludf.DUMMYFUNCTION("""COMPUTED_VALUE"""),10497.0)</f>
        <v>10497</v>
      </c>
      <c r="H1912" s="5">
        <f>IFERROR(__xludf.DUMMYFUNCTION("""COMPUTED_VALUE"""),2791.0)</f>
        <v>2791</v>
      </c>
    </row>
    <row r="1913">
      <c r="A1913" s="4">
        <f>IFERROR(__xludf.DUMMYFUNCTION("""COMPUTED_VALUE"""),44281.0)</f>
        <v>44281</v>
      </c>
      <c r="B1913" s="5">
        <f>IFERROR(__xludf.DUMMYFUNCTION("""COMPUTED_VALUE"""),2027.0)</f>
        <v>2027</v>
      </c>
      <c r="C1913" s="6">
        <f>IFERROR(__xludf.DUMMYFUNCTION("""COMPUTED_VALUE"""),0.5563)</f>
        <v>0.5563</v>
      </c>
      <c r="D1913" s="2">
        <f>IFERROR(__xludf.DUMMYFUNCTION("""COMPUTED_VALUE"""),0.002673611111111111)</f>
        <v>0.002673611111</v>
      </c>
      <c r="E1913" s="1">
        <f>IFERROR(__xludf.DUMMYFUNCTION("""COMPUTED_VALUE"""),1.1)</f>
        <v>1.1</v>
      </c>
      <c r="F1913" s="1">
        <f>IFERROR(__xludf.DUMMYFUNCTION("""COMPUTED_VALUE"""),5.12)</f>
        <v>5.12</v>
      </c>
      <c r="G1913" s="5">
        <f>IFERROR(__xludf.DUMMYFUNCTION("""COMPUTED_VALUE"""),11372.0)</f>
        <v>11372</v>
      </c>
      <c r="H1913" s="5">
        <f>IFERROR(__xludf.DUMMYFUNCTION("""COMPUTED_VALUE"""),2222.0)</f>
        <v>2222</v>
      </c>
    </row>
    <row r="1914">
      <c r="A1914" s="4">
        <f>IFERROR(__xludf.DUMMYFUNCTION("""COMPUTED_VALUE"""),44282.0)</f>
        <v>44282</v>
      </c>
      <c r="B1914" s="5">
        <f>IFERROR(__xludf.DUMMYFUNCTION("""COMPUTED_VALUE"""),1763.0)</f>
        <v>1763</v>
      </c>
      <c r="C1914" s="6">
        <f>IFERROR(__xludf.DUMMYFUNCTION("""COMPUTED_VALUE"""),0.6819)</f>
        <v>0.6819</v>
      </c>
      <c r="D1914" s="2">
        <f>IFERROR(__xludf.DUMMYFUNCTION("""COMPUTED_VALUE"""),8.796296296296296E-4)</f>
        <v>0.0008796296296</v>
      </c>
      <c r="E1914" s="1">
        <f>IFERROR(__xludf.DUMMYFUNCTION("""COMPUTED_VALUE"""),1.04)</f>
        <v>1.04</v>
      </c>
      <c r="F1914" s="1">
        <f>IFERROR(__xludf.DUMMYFUNCTION("""COMPUTED_VALUE"""),2.5)</f>
        <v>2.5</v>
      </c>
      <c r="G1914" s="5">
        <f>IFERROR(__xludf.DUMMYFUNCTION("""COMPUTED_VALUE"""),4582.0)</f>
        <v>4582</v>
      </c>
      <c r="H1914" s="5">
        <f>IFERROR(__xludf.DUMMYFUNCTION("""COMPUTED_VALUE"""),1833.0)</f>
        <v>1833</v>
      </c>
    </row>
    <row r="1915">
      <c r="A1915" s="4">
        <f>IFERROR(__xludf.DUMMYFUNCTION("""COMPUTED_VALUE"""),44283.0)</f>
        <v>44283</v>
      </c>
      <c r="B1915" s="5">
        <f>IFERROR(__xludf.DUMMYFUNCTION("""COMPUTED_VALUE"""),1736.0)</f>
        <v>1736</v>
      </c>
      <c r="C1915" s="6">
        <f>IFERROR(__xludf.DUMMYFUNCTION("""COMPUTED_VALUE"""),0.5371)</f>
        <v>0.5371</v>
      </c>
      <c r="D1915" s="2">
        <f>IFERROR(__xludf.DUMMYFUNCTION("""COMPUTED_VALUE"""),0.001724537037037037)</f>
        <v>0.001724537037</v>
      </c>
      <c r="E1915" s="1">
        <f>IFERROR(__xludf.DUMMYFUNCTION("""COMPUTED_VALUE"""),1.09)</f>
        <v>1.09</v>
      </c>
      <c r="F1915" s="1">
        <f>IFERROR(__xludf.DUMMYFUNCTION("""COMPUTED_VALUE"""),4.99)</f>
        <v>4.99</v>
      </c>
      <c r="G1915" s="5">
        <f>IFERROR(__xludf.DUMMYFUNCTION("""COMPUTED_VALUE"""),9428.0)</f>
        <v>9428</v>
      </c>
      <c r="H1915" s="5">
        <f>IFERROR(__xludf.DUMMYFUNCTION("""COMPUTED_VALUE"""),1888.0)</f>
        <v>1888</v>
      </c>
    </row>
    <row r="1916">
      <c r="A1916" s="4">
        <f>IFERROR(__xludf.DUMMYFUNCTION("""COMPUTED_VALUE"""),44284.0)</f>
        <v>44284</v>
      </c>
      <c r="B1916" s="5">
        <f>IFERROR(__xludf.DUMMYFUNCTION("""COMPUTED_VALUE"""),2361.0)</f>
        <v>2361</v>
      </c>
      <c r="C1916" s="6">
        <f>IFERROR(__xludf.DUMMYFUNCTION("""COMPUTED_VALUE"""),0.5348)</f>
        <v>0.5348</v>
      </c>
      <c r="D1916" s="2">
        <f>IFERROR(__xludf.DUMMYFUNCTION("""COMPUTED_VALUE"""),0.0027083333333333334)</f>
        <v>0.002708333333</v>
      </c>
      <c r="E1916" s="1">
        <f>IFERROR(__xludf.DUMMYFUNCTION("""COMPUTED_VALUE"""),1.19)</f>
        <v>1.19</v>
      </c>
      <c r="F1916" s="1">
        <f>IFERROR(__xludf.DUMMYFUNCTION("""COMPUTED_VALUE"""),6.56)</f>
        <v>6.56</v>
      </c>
      <c r="G1916" s="5">
        <f>IFERROR(__xludf.DUMMYFUNCTION("""COMPUTED_VALUE"""),18412.0)</f>
        <v>18412</v>
      </c>
      <c r="H1916" s="5">
        <f>IFERROR(__xludf.DUMMYFUNCTION("""COMPUTED_VALUE"""),2805.0)</f>
        <v>2805</v>
      </c>
    </row>
    <row r="1917">
      <c r="A1917" s="4">
        <f>IFERROR(__xludf.DUMMYFUNCTION("""COMPUTED_VALUE"""),44285.0)</f>
        <v>44285</v>
      </c>
      <c r="B1917" s="5">
        <f>IFERROR(__xludf.DUMMYFUNCTION("""COMPUTED_VALUE"""),2485.0)</f>
        <v>2485</v>
      </c>
      <c r="C1917" s="6">
        <f>IFERROR(__xludf.DUMMYFUNCTION("""COMPUTED_VALUE"""),0.5457)</f>
        <v>0.5457</v>
      </c>
      <c r="D1917" s="2">
        <f>IFERROR(__xludf.DUMMYFUNCTION("""COMPUTED_VALUE"""),0.0019097222222222222)</f>
        <v>0.001909722222</v>
      </c>
      <c r="E1917" s="1">
        <f>IFERROR(__xludf.DUMMYFUNCTION("""COMPUTED_VALUE"""),1.11)</f>
        <v>1.11</v>
      </c>
      <c r="F1917" s="1">
        <f>IFERROR(__xludf.DUMMYFUNCTION("""COMPUTED_VALUE"""),3.73)</f>
        <v>3.73</v>
      </c>
      <c r="G1917" s="5">
        <f>IFERROR(__xludf.DUMMYFUNCTION("""COMPUTED_VALUE"""),10261.0)</f>
        <v>10261</v>
      </c>
      <c r="H1917" s="5">
        <f>IFERROR(__xludf.DUMMYFUNCTION("""COMPUTED_VALUE"""),2749.0)</f>
        <v>2749</v>
      </c>
    </row>
    <row r="1918">
      <c r="A1918" s="4">
        <f>IFERROR(__xludf.DUMMYFUNCTION("""COMPUTED_VALUE"""),44286.0)</f>
        <v>44286</v>
      </c>
      <c r="B1918" s="5">
        <f>IFERROR(__xludf.DUMMYFUNCTION("""COMPUTED_VALUE"""),2735.0)</f>
        <v>2735</v>
      </c>
      <c r="C1918" s="6">
        <f>IFERROR(__xludf.DUMMYFUNCTION("""COMPUTED_VALUE"""),0.5256)</f>
        <v>0.5256</v>
      </c>
      <c r="D1918" s="2">
        <f>IFERROR(__xludf.DUMMYFUNCTION("""COMPUTED_VALUE"""),0.0021643518518518518)</f>
        <v>0.002164351852</v>
      </c>
      <c r="E1918" s="1">
        <f>IFERROR(__xludf.DUMMYFUNCTION("""COMPUTED_VALUE"""),1.09)</f>
        <v>1.09</v>
      </c>
      <c r="F1918" s="1">
        <f>IFERROR(__xludf.DUMMYFUNCTION("""COMPUTED_VALUE"""),4.77)</f>
        <v>4.77</v>
      </c>
      <c r="G1918" s="5">
        <f>IFERROR(__xludf.DUMMYFUNCTION("""COMPUTED_VALUE"""),14246.0)</f>
        <v>14246</v>
      </c>
      <c r="H1918" s="5">
        <f>IFERROR(__xludf.DUMMYFUNCTION("""COMPUTED_VALUE"""),2985.0)</f>
        <v>2985</v>
      </c>
    </row>
    <row r="1919">
      <c r="A1919" s="4">
        <f>IFERROR(__xludf.DUMMYFUNCTION("""COMPUTED_VALUE"""),44287.0)</f>
        <v>44287</v>
      </c>
      <c r="B1919" s="5">
        <f>IFERROR(__xludf.DUMMYFUNCTION("""COMPUTED_VALUE"""),2666.0)</f>
        <v>2666</v>
      </c>
      <c r="C1919" s="6">
        <f>IFERROR(__xludf.DUMMYFUNCTION("""COMPUTED_VALUE"""),0.5811)</f>
        <v>0.5811</v>
      </c>
      <c r="D1919" s="2">
        <f>IFERROR(__xludf.DUMMYFUNCTION("""COMPUTED_VALUE"""),0.00125)</f>
        <v>0.00125</v>
      </c>
      <c r="E1919" s="1">
        <f>IFERROR(__xludf.DUMMYFUNCTION("""COMPUTED_VALUE"""),1.06)</f>
        <v>1.06</v>
      </c>
      <c r="F1919" s="1">
        <f>IFERROR(__xludf.DUMMYFUNCTION("""COMPUTED_VALUE"""),3.02)</f>
        <v>3.02</v>
      </c>
      <c r="G1919" s="5">
        <f>IFERROR(__xludf.DUMMYFUNCTION("""COMPUTED_VALUE"""),8526.0)</f>
        <v>8526</v>
      </c>
      <c r="H1919" s="5">
        <f>IFERROR(__xludf.DUMMYFUNCTION("""COMPUTED_VALUE"""),2819.0)</f>
        <v>2819</v>
      </c>
    </row>
    <row r="1920">
      <c r="A1920" s="4">
        <f>IFERROR(__xludf.DUMMYFUNCTION("""COMPUTED_VALUE"""),44288.0)</f>
        <v>44288</v>
      </c>
      <c r="B1920" s="5">
        <f>IFERROR(__xludf.DUMMYFUNCTION("""COMPUTED_VALUE"""),2097.0)</f>
        <v>2097</v>
      </c>
      <c r="C1920" s="6">
        <f>IFERROR(__xludf.DUMMYFUNCTION("""COMPUTED_VALUE"""),0.5152)</f>
        <v>0.5152</v>
      </c>
      <c r="D1920" s="2">
        <f>IFERROR(__xludf.DUMMYFUNCTION("""COMPUTED_VALUE"""),0.0016203703703703703)</f>
        <v>0.00162037037</v>
      </c>
      <c r="E1920" s="1">
        <f>IFERROR(__xludf.DUMMYFUNCTION("""COMPUTED_VALUE"""),1.07)</f>
        <v>1.07</v>
      </c>
      <c r="F1920" s="1">
        <f>IFERROR(__xludf.DUMMYFUNCTION("""COMPUTED_VALUE"""),4.11)</f>
        <v>4.11</v>
      </c>
      <c r="G1920" s="5">
        <f>IFERROR(__xludf.DUMMYFUNCTION("""COMPUTED_VALUE"""),9192.0)</f>
        <v>9192</v>
      </c>
      <c r="H1920" s="5">
        <f>IFERROR(__xludf.DUMMYFUNCTION("""COMPUTED_VALUE"""),2236.0)</f>
        <v>2236</v>
      </c>
    </row>
    <row r="1921">
      <c r="A1921" s="4">
        <f>IFERROR(__xludf.DUMMYFUNCTION("""COMPUTED_VALUE"""),44289.0)</f>
        <v>44289</v>
      </c>
      <c r="B1921" s="5">
        <f>IFERROR(__xludf.DUMMYFUNCTION("""COMPUTED_VALUE"""),1638.0)</f>
        <v>1638</v>
      </c>
      <c r="C1921" s="6">
        <f>IFERROR(__xludf.DUMMYFUNCTION("""COMPUTED_VALUE"""),0.5634)</f>
        <v>0.5634</v>
      </c>
      <c r="D1921" s="2">
        <f>IFERROR(__xludf.DUMMYFUNCTION("""COMPUTED_VALUE"""),0.0015972222222222223)</f>
        <v>0.001597222222</v>
      </c>
      <c r="E1921" s="1">
        <f>IFERROR(__xludf.DUMMYFUNCTION("""COMPUTED_VALUE"""),1.07)</f>
        <v>1.07</v>
      </c>
      <c r="F1921" s="1">
        <f>IFERROR(__xludf.DUMMYFUNCTION("""COMPUTED_VALUE"""),2.94)</f>
        <v>2.94</v>
      </c>
      <c r="G1921" s="5">
        <f>IFERROR(__xludf.DUMMYFUNCTION("""COMPUTED_VALUE"""),5138.0)</f>
        <v>5138</v>
      </c>
      <c r="H1921" s="5">
        <f>IFERROR(__xludf.DUMMYFUNCTION("""COMPUTED_VALUE"""),1750.0)</f>
        <v>1750</v>
      </c>
    </row>
    <row r="1922">
      <c r="A1922" s="4">
        <f>IFERROR(__xludf.DUMMYFUNCTION("""COMPUTED_VALUE"""),44290.0)</f>
        <v>44290</v>
      </c>
      <c r="B1922" s="5">
        <f>IFERROR(__xludf.DUMMYFUNCTION("""COMPUTED_VALUE"""),1638.0)</f>
        <v>1638</v>
      </c>
      <c r="C1922" s="6">
        <f>IFERROR(__xludf.DUMMYFUNCTION("""COMPUTED_VALUE"""),0.5)</f>
        <v>0.5</v>
      </c>
      <c r="D1922" s="2">
        <f>IFERROR(__xludf.DUMMYFUNCTION("""COMPUTED_VALUE"""),0.0025)</f>
        <v>0.0025</v>
      </c>
      <c r="E1922" s="1">
        <f>IFERROR(__xludf.DUMMYFUNCTION("""COMPUTED_VALUE"""),1.07)</f>
        <v>1.07</v>
      </c>
      <c r="F1922" s="1">
        <f>IFERROR(__xludf.DUMMYFUNCTION("""COMPUTED_VALUE"""),5.18)</f>
        <v>5.18</v>
      </c>
      <c r="G1922" s="5">
        <f>IFERROR(__xludf.DUMMYFUNCTION("""COMPUTED_VALUE"""),9067.0)</f>
        <v>9067</v>
      </c>
      <c r="H1922" s="5">
        <f>IFERROR(__xludf.DUMMYFUNCTION("""COMPUTED_VALUE"""),1750.0)</f>
        <v>1750</v>
      </c>
    </row>
    <row r="1923">
      <c r="A1923" s="4">
        <f>IFERROR(__xludf.DUMMYFUNCTION("""COMPUTED_VALUE"""),44291.0)</f>
        <v>44291</v>
      </c>
      <c r="B1923" s="5">
        <f>IFERROR(__xludf.DUMMYFUNCTION("""COMPUTED_VALUE"""),2374.0)</f>
        <v>2374</v>
      </c>
      <c r="C1923" s="6">
        <f>IFERROR(__xludf.DUMMYFUNCTION("""COMPUTED_VALUE"""),0.446)</f>
        <v>0.446</v>
      </c>
      <c r="D1923" s="2">
        <f>IFERROR(__xludf.DUMMYFUNCTION("""COMPUTED_VALUE"""),0.0017939814814814815)</f>
        <v>0.001793981481</v>
      </c>
      <c r="E1923" s="1">
        <f>IFERROR(__xludf.DUMMYFUNCTION("""COMPUTED_VALUE"""),1.09)</f>
        <v>1.09</v>
      </c>
      <c r="F1923" s="1">
        <f>IFERROR(__xludf.DUMMYFUNCTION("""COMPUTED_VALUE"""),4.34)</f>
        <v>4.34</v>
      </c>
      <c r="G1923" s="5">
        <f>IFERROR(__xludf.DUMMYFUNCTION("""COMPUTED_VALUE"""),11206.0)</f>
        <v>11206</v>
      </c>
      <c r="H1923" s="5">
        <f>IFERROR(__xludf.DUMMYFUNCTION("""COMPUTED_VALUE"""),2583.0)</f>
        <v>2583</v>
      </c>
    </row>
    <row r="1924">
      <c r="A1924" s="4">
        <f>IFERROR(__xludf.DUMMYFUNCTION("""COMPUTED_VALUE"""),44292.0)</f>
        <v>44292</v>
      </c>
      <c r="B1924" s="5">
        <f>IFERROR(__xludf.DUMMYFUNCTION("""COMPUTED_VALUE"""),2652.0)</f>
        <v>2652</v>
      </c>
      <c r="C1924" s="6">
        <f>IFERROR(__xludf.DUMMYFUNCTION("""COMPUTED_VALUE"""),0.4833)</f>
        <v>0.4833</v>
      </c>
      <c r="D1924" s="2">
        <f>IFERROR(__xludf.DUMMYFUNCTION("""COMPUTED_VALUE"""),0.002372685185185185)</f>
        <v>0.002372685185</v>
      </c>
      <c r="E1924" s="1">
        <f>IFERROR(__xludf.DUMMYFUNCTION("""COMPUTED_VALUE"""),1.1)</f>
        <v>1.1</v>
      </c>
      <c r="F1924" s="1">
        <f>IFERROR(__xludf.DUMMYFUNCTION("""COMPUTED_VALUE"""),4.71)</f>
        <v>4.71</v>
      </c>
      <c r="G1924" s="5">
        <f>IFERROR(__xludf.DUMMYFUNCTION("""COMPUTED_VALUE"""),13802.0)</f>
        <v>13802</v>
      </c>
      <c r="H1924" s="5">
        <f>IFERROR(__xludf.DUMMYFUNCTION("""COMPUTED_VALUE"""),2930.0)</f>
        <v>2930</v>
      </c>
    </row>
    <row r="1925">
      <c r="A1925" s="4">
        <f>IFERROR(__xludf.DUMMYFUNCTION("""COMPUTED_VALUE"""),44293.0)</f>
        <v>44293</v>
      </c>
      <c r="B1925" s="5">
        <f>IFERROR(__xludf.DUMMYFUNCTION("""COMPUTED_VALUE"""),2735.0)</f>
        <v>2735</v>
      </c>
      <c r="C1925" s="6">
        <f>IFERROR(__xludf.DUMMYFUNCTION("""COMPUTED_VALUE"""),0.4311)</f>
        <v>0.4311</v>
      </c>
      <c r="D1925" s="2">
        <f>IFERROR(__xludf.DUMMYFUNCTION("""COMPUTED_VALUE"""),0.0021759259259259258)</f>
        <v>0.002175925926</v>
      </c>
      <c r="E1925" s="1">
        <f>IFERROR(__xludf.DUMMYFUNCTION("""COMPUTED_VALUE"""),1.11)</f>
        <v>1.11</v>
      </c>
      <c r="F1925" s="1">
        <f>IFERROR(__xludf.DUMMYFUNCTION("""COMPUTED_VALUE"""),4.72)</f>
        <v>4.72</v>
      </c>
      <c r="G1925" s="5">
        <f>IFERROR(__xludf.DUMMYFUNCTION("""COMPUTED_VALUE"""),14302.0)</f>
        <v>14302</v>
      </c>
      <c r="H1925" s="5">
        <f>IFERROR(__xludf.DUMMYFUNCTION("""COMPUTED_VALUE"""),3027.0)</f>
        <v>3027</v>
      </c>
    </row>
    <row r="1926">
      <c r="A1926" s="4">
        <f>IFERROR(__xludf.DUMMYFUNCTION("""COMPUTED_VALUE"""),44294.0)</f>
        <v>44294</v>
      </c>
      <c r="B1926" s="5">
        <f>IFERROR(__xludf.DUMMYFUNCTION("""COMPUTED_VALUE"""),2805.0)</f>
        <v>2805</v>
      </c>
      <c r="C1926" s="6">
        <f>IFERROR(__xludf.DUMMYFUNCTION("""COMPUTED_VALUE"""),0.5025)</f>
        <v>0.5025</v>
      </c>
      <c r="D1926" s="2">
        <f>IFERROR(__xludf.DUMMYFUNCTION("""COMPUTED_VALUE"""),0.0025462962962962965)</f>
        <v>0.002546296296</v>
      </c>
      <c r="E1926" s="1">
        <f>IFERROR(__xludf.DUMMYFUNCTION("""COMPUTED_VALUE"""),1.07)</f>
        <v>1.07</v>
      </c>
      <c r="F1926" s="1">
        <f>IFERROR(__xludf.DUMMYFUNCTION("""COMPUTED_VALUE"""),5.96)</f>
        <v>5.96</v>
      </c>
      <c r="G1926" s="5">
        <f>IFERROR(__xludf.DUMMYFUNCTION("""COMPUTED_VALUE"""),17954.0)</f>
        <v>17954</v>
      </c>
      <c r="H1926" s="5">
        <f>IFERROR(__xludf.DUMMYFUNCTION("""COMPUTED_VALUE"""),3013.0)</f>
        <v>3013</v>
      </c>
    </row>
    <row r="1927">
      <c r="A1927" s="4">
        <f>IFERROR(__xludf.DUMMYFUNCTION("""COMPUTED_VALUE"""),44295.0)</f>
        <v>44295</v>
      </c>
      <c r="B1927" s="5">
        <f>IFERROR(__xludf.DUMMYFUNCTION("""COMPUTED_VALUE"""),2305.0)</f>
        <v>2305</v>
      </c>
      <c r="C1927" s="6">
        <f>IFERROR(__xludf.DUMMYFUNCTION("""COMPUTED_VALUE"""),0.4785)</f>
        <v>0.4785</v>
      </c>
      <c r="D1927" s="2">
        <f>IFERROR(__xludf.DUMMYFUNCTION("""COMPUTED_VALUE"""),0.0018865740740740742)</f>
        <v>0.001886574074</v>
      </c>
      <c r="E1927" s="1">
        <f>IFERROR(__xludf.DUMMYFUNCTION("""COMPUTED_VALUE"""),1.12)</f>
        <v>1.12</v>
      </c>
      <c r="F1927" s="1">
        <f>IFERROR(__xludf.DUMMYFUNCTION("""COMPUTED_VALUE"""),4.91)</f>
        <v>4.91</v>
      </c>
      <c r="G1927" s="5">
        <f>IFERROR(__xludf.DUMMYFUNCTION("""COMPUTED_VALUE"""),12677.0)</f>
        <v>12677</v>
      </c>
      <c r="H1927" s="5">
        <f>IFERROR(__xludf.DUMMYFUNCTION("""COMPUTED_VALUE"""),2583.0)</f>
        <v>2583</v>
      </c>
    </row>
    <row r="1928">
      <c r="A1928" s="4">
        <f>IFERROR(__xludf.DUMMYFUNCTION("""COMPUTED_VALUE"""),44296.0)</f>
        <v>44296</v>
      </c>
      <c r="B1928" s="5">
        <f>IFERROR(__xludf.DUMMYFUNCTION("""COMPUTED_VALUE"""),1736.0)</f>
        <v>1736</v>
      </c>
      <c r="C1928" s="6">
        <f>IFERROR(__xludf.DUMMYFUNCTION("""COMPUTED_VALUE"""),0.5421)</f>
        <v>0.5421</v>
      </c>
      <c r="D1928" s="2">
        <f>IFERROR(__xludf.DUMMYFUNCTION("""COMPUTED_VALUE"""),0.0018981481481481482)</f>
        <v>0.001898148148</v>
      </c>
      <c r="E1928" s="1">
        <f>IFERROR(__xludf.DUMMYFUNCTION("""COMPUTED_VALUE"""),1.14)</f>
        <v>1.14</v>
      </c>
      <c r="F1928" s="1">
        <f>IFERROR(__xludf.DUMMYFUNCTION("""COMPUTED_VALUE"""),3.56)</f>
        <v>3.56</v>
      </c>
      <c r="G1928" s="5">
        <f>IFERROR(__xludf.DUMMYFUNCTION("""COMPUTED_VALUE"""),7012.0)</f>
        <v>7012</v>
      </c>
      <c r="H1928" s="5">
        <f>IFERROR(__xludf.DUMMYFUNCTION("""COMPUTED_VALUE"""),1972.0)</f>
        <v>1972</v>
      </c>
    </row>
    <row r="1929">
      <c r="A1929" s="4">
        <f>IFERROR(__xludf.DUMMYFUNCTION("""COMPUTED_VALUE"""),44297.0)</f>
        <v>44297</v>
      </c>
      <c r="B1929" s="5">
        <f>IFERROR(__xludf.DUMMYFUNCTION("""COMPUTED_VALUE"""),1722.0)</f>
        <v>1722</v>
      </c>
      <c r="C1929" s="6">
        <f>IFERROR(__xludf.DUMMYFUNCTION("""COMPUTED_VALUE"""),0.5433)</f>
        <v>0.5433</v>
      </c>
      <c r="D1929" s="2">
        <f>IFERROR(__xludf.DUMMYFUNCTION("""COMPUTED_VALUE"""),0.0011921296296296296)</f>
        <v>0.00119212963</v>
      </c>
      <c r="E1929" s="1">
        <f>IFERROR(__xludf.DUMMYFUNCTION("""COMPUTED_VALUE"""),1.11)</f>
        <v>1.11</v>
      </c>
      <c r="F1929" s="1">
        <f>IFERROR(__xludf.DUMMYFUNCTION("""COMPUTED_VALUE"""),3.2)</f>
        <v>3.2</v>
      </c>
      <c r="G1929" s="5">
        <f>IFERROR(__xludf.DUMMYFUNCTION("""COMPUTED_VALUE"""),6123.0)</f>
        <v>6123</v>
      </c>
      <c r="H1929" s="5">
        <f>IFERROR(__xludf.DUMMYFUNCTION("""COMPUTED_VALUE"""),1916.0)</f>
        <v>1916</v>
      </c>
    </row>
    <row r="1930">
      <c r="A1930" s="4">
        <f>IFERROR(__xludf.DUMMYFUNCTION("""COMPUTED_VALUE"""),44298.0)</f>
        <v>44298</v>
      </c>
      <c r="B1930" s="5">
        <f>IFERROR(__xludf.DUMMYFUNCTION("""COMPUTED_VALUE"""),2597.0)</f>
        <v>2597</v>
      </c>
      <c r="C1930" s="6">
        <f>IFERROR(__xludf.DUMMYFUNCTION("""COMPUTED_VALUE"""),0.5325)</f>
        <v>0.5325</v>
      </c>
      <c r="D1930" s="2">
        <f>IFERROR(__xludf.DUMMYFUNCTION("""COMPUTED_VALUE"""),0.0016782407407407408)</f>
        <v>0.001678240741</v>
      </c>
      <c r="E1930" s="1">
        <f>IFERROR(__xludf.DUMMYFUNCTION("""COMPUTED_VALUE"""),1.15)</f>
        <v>1.15</v>
      </c>
      <c r="F1930" s="1">
        <f>IFERROR(__xludf.DUMMYFUNCTION("""COMPUTED_VALUE"""),4.23)</f>
        <v>4.23</v>
      </c>
      <c r="G1930" s="5">
        <f>IFERROR(__xludf.DUMMYFUNCTION("""COMPUTED_VALUE"""),12691.0)</f>
        <v>12691</v>
      </c>
      <c r="H1930" s="5">
        <f>IFERROR(__xludf.DUMMYFUNCTION("""COMPUTED_VALUE"""),2999.0)</f>
        <v>2999</v>
      </c>
    </row>
    <row r="1931">
      <c r="A1931" s="4">
        <f>IFERROR(__xludf.DUMMYFUNCTION("""COMPUTED_VALUE"""),44299.0)</f>
        <v>44299</v>
      </c>
      <c r="B1931" s="5">
        <f>IFERROR(__xludf.DUMMYFUNCTION("""COMPUTED_VALUE"""),2722.0)</f>
        <v>2722</v>
      </c>
      <c r="C1931" s="6">
        <f>IFERROR(__xludf.DUMMYFUNCTION("""COMPUTED_VALUE"""),0.4684)</f>
        <v>0.4684</v>
      </c>
      <c r="D1931" s="2">
        <f>IFERROR(__xludf.DUMMYFUNCTION("""COMPUTED_VALUE"""),0.002766203703703704)</f>
        <v>0.002766203704</v>
      </c>
      <c r="E1931" s="1">
        <f>IFERROR(__xludf.DUMMYFUNCTION("""COMPUTED_VALUE"""),1.13)</f>
        <v>1.13</v>
      </c>
      <c r="F1931" s="1">
        <f>IFERROR(__xludf.DUMMYFUNCTION("""COMPUTED_VALUE"""),4.92)</f>
        <v>4.92</v>
      </c>
      <c r="G1931" s="5">
        <f>IFERROR(__xludf.DUMMYFUNCTION("""COMPUTED_VALUE"""),15163.0)</f>
        <v>15163</v>
      </c>
      <c r="H1931" s="5">
        <f>IFERROR(__xludf.DUMMYFUNCTION("""COMPUTED_VALUE"""),3083.0)</f>
        <v>3083</v>
      </c>
    </row>
    <row r="1932">
      <c r="A1932" s="4">
        <f>IFERROR(__xludf.DUMMYFUNCTION("""COMPUTED_VALUE"""),44300.0)</f>
        <v>44300</v>
      </c>
      <c r="B1932" s="5">
        <f>IFERROR(__xludf.DUMMYFUNCTION("""COMPUTED_VALUE"""),2777.0)</f>
        <v>2777</v>
      </c>
      <c r="C1932" s="6">
        <f>IFERROR(__xludf.DUMMYFUNCTION("""COMPUTED_VALUE"""),0.5397)</f>
        <v>0.5397</v>
      </c>
      <c r="D1932" s="2">
        <f>IFERROR(__xludf.DUMMYFUNCTION("""COMPUTED_VALUE"""),0.0027314814814814814)</f>
        <v>0.002731481481</v>
      </c>
      <c r="E1932" s="1">
        <f>IFERROR(__xludf.DUMMYFUNCTION("""COMPUTED_VALUE"""),1.07)</f>
        <v>1.07</v>
      </c>
      <c r="F1932" s="1">
        <f>IFERROR(__xludf.DUMMYFUNCTION("""COMPUTED_VALUE"""),4.2)</f>
        <v>4.2</v>
      </c>
      <c r="G1932" s="5">
        <f>IFERROR(__xludf.DUMMYFUNCTION("""COMPUTED_VALUE"""),12525.0)</f>
        <v>12525</v>
      </c>
      <c r="H1932" s="5">
        <f>IFERROR(__xludf.DUMMYFUNCTION("""COMPUTED_VALUE"""),2985.0)</f>
        <v>2985</v>
      </c>
    </row>
    <row r="1933">
      <c r="A1933" s="4">
        <f>IFERROR(__xludf.DUMMYFUNCTION("""COMPUTED_VALUE"""),44301.0)</f>
        <v>44301</v>
      </c>
      <c r="B1933" s="5">
        <f>IFERROR(__xludf.DUMMYFUNCTION("""COMPUTED_VALUE"""),2819.0)</f>
        <v>2819</v>
      </c>
      <c r="C1933" s="6">
        <f>IFERROR(__xludf.DUMMYFUNCTION("""COMPUTED_VALUE"""),0.5643)</f>
        <v>0.5643</v>
      </c>
      <c r="D1933" s="2">
        <f>IFERROR(__xludf.DUMMYFUNCTION("""COMPUTED_VALUE"""),0.0014467592592592592)</f>
        <v>0.001446759259</v>
      </c>
      <c r="E1933" s="1">
        <f>IFERROR(__xludf.DUMMYFUNCTION("""COMPUTED_VALUE"""),1.07)</f>
        <v>1.07</v>
      </c>
      <c r="F1933" s="1">
        <f>IFERROR(__xludf.DUMMYFUNCTION("""COMPUTED_VALUE"""),3.9)</f>
        <v>3.9</v>
      </c>
      <c r="G1933" s="5">
        <f>IFERROR(__xludf.DUMMYFUNCTION("""COMPUTED_VALUE"""),11816.0)</f>
        <v>11816</v>
      </c>
      <c r="H1933" s="5">
        <f>IFERROR(__xludf.DUMMYFUNCTION("""COMPUTED_VALUE"""),3027.0)</f>
        <v>3027</v>
      </c>
    </row>
    <row r="1934">
      <c r="A1934" s="4">
        <f>IFERROR(__xludf.DUMMYFUNCTION("""COMPUTED_VALUE"""),44302.0)</f>
        <v>44302</v>
      </c>
      <c r="B1934" s="5">
        <f>IFERROR(__xludf.DUMMYFUNCTION("""COMPUTED_VALUE"""),2722.0)</f>
        <v>2722</v>
      </c>
      <c r="C1934" s="6">
        <f>IFERROR(__xludf.DUMMYFUNCTION("""COMPUTED_VALUE"""),0.5644)</f>
        <v>0.5644</v>
      </c>
      <c r="D1934" s="2">
        <f>IFERROR(__xludf.DUMMYFUNCTION("""COMPUTED_VALUE"""),0.0019212962962962964)</f>
        <v>0.001921296296</v>
      </c>
      <c r="E1934" s="1">
        <f>IFERROR(__xludf.DUMMYFUNCTION("""COMPUTED_VALUE"""),1.07)</f>
        <v>1.07</v>
      </c>
      <c r="F1934" s="1">
        <f>IFERROR(__xludf.DUMMYFUNCTION("""COMPUTED_VALUE"""),4.51)</f>
        <v>4.51</v>
      </c>
      <c r="G1934" s="5">
        <f>IFERROR(__xludf.DUMMYFUNCTION("""COMPUTED_VALUE"""),13080.0)</f>
        <v>13080</v>
      </c>
      <c r="H1934" s="5">
        <f>IFERROR(__xludf.DUMMYFUNCTION("""COMPUTED_VALUE"""),2902.0)</f>
        <v>2902</v>
      </c>
    </row>
    <row r="1935">
      <c r="A1935" s="4">
        <f>IFERROR(__xludf.DUMMYFUNCTION("""COMPUTED_VALUE"""),44303.0)</f>
        <v>44303</v>
      </c>
      <c r="B1935" s="5">
        <f>IFERROR(__xludf.DUMMYFUNCTION("""COMPUTED_VALUE"""),1875.0)</f>
        <v>1875</v>
      </c>
      <c r="C1935" s="6">
        <f>IFERROR(__xludf.DUMMYFUNCTION("""COMPUTED_VALUE"""),0.6522)</f>
        <v>0.6522</v>
      </c>
      <c r="D1935" s="2">
        <f>IFERROR(__xludf.DUMMYFUNCTION("""COMPUTED_VALUE"""),0.001863425925925926)</f>
        <v>0.001863425926</v>
      </c>
      <c r="E1935" s="1">
        <f>IFERROR(__xludf.DUMMYFUNCTION("""COMPUTED_VALUE"""),1.04)</f>
        <v>1.04</v>
      </c>
      <c r="F1935" s="1">
        <f>IFERROR(__xludf.DUMMYFUNCTION("""COMPUTED_VALUE"""),4.18)</f>
        <v>4.18</v>
      </c>
      <c r="G1935" s="5">
        <f>IFERROR(__xludf.DUMMYFUNCTION("""COMPUTED_VALUE"""),8192.0)</f>
        <v>8192</v>
      </c>
      <c r="H1935" s="5">
        <f>IFERROR(__xludf.DUMMYFUNCTION("""COMPUTED_VALUE"""),1958.0)</f>
        <v>1958</v>
      </c>
    </row>
    <row r="1936">
      <c r="A1936" s="4">
        <f>IFERROR(__xludf.DUMMYFUNCTION("""COMPUTED_VALUE"""),44304.0)</f>
        <v>44304</v>
      </c>
      <c r="B1936" s="5">
        <f>IFERROR(__xludf.DUMMYFUNCTION("""COMPUTED_VALUE"""),1736.0)</f>
        <v>1736</v>
      </c>
      <c r="C1936" s="6">
        <f>IFERROR(__xludf.DUMMYFUNCTION("""COMPUTED_VALUE"""),0.5988)</f>
        <v>0.5988</v>
      </c>
      <c r="D1936" s="2">
        <f>IFERROR(__xludf.DUMMYFUNCTION("""COMPUTED_VALUE"""),0.0021180555555555558)</f>
        <v>0.002118055556</v>
      </c>
      <c r="E1936" s="1">
        <f>IFERROR(__xludf.DUMMYFUNCTION("""COMPUTED_VALUE"""),1.1)</f>
        <v>1.1</v>
      </c>
      <c r="F1936" s="1">
        <f>IFERROR(__xludf.DUMMYFUNCTION("""COMPUTED_VALUE"""),3.53)</f>
        <v>3.53</v>
      </c>
      <c r="G1936" s="5">
        <f>IFERROR(__xludf.DUMMYFUNCTION("""COMPUTED_VALUE"""),6707.0)</f>
        <v>6707</v>
      </c>
      <c r="H1936" s="5">
        <f>IFERROR(__xludf.DUMMYFUNCTION("""COMPUTED_VALUE"""),1902.0)</f>
        <v>1902</v>
      </c>
    </row>
    <row r="1937">
      <c r="A1937" s="4">
        <f>IFERROR(__xludf.DUMMYFUNCTION("""COMPUTED_VALUE"""),44305.0)</f>
        <v>44305</v>
      </c>
      <c r="B1937" s="5">
        <f>IFERROR(__xludf.DUMMYFUNCTION("""COMPUTED_VALUE"""),2847.0)</f>
        <v>2847</v>
      </c>
      <c r="C1937" s="6">
        <f>IFERROR(__xludf.DUMMYFUNCTION("""COMPUTED_VALUE"""),0.5374)</f>
        <v>0.5374</v>
      </c>
      <c r="D1937" s="2">
        <f>IFERROR(__xludf.DUMMYFUNCTION("""COMPUTED_VALUE"""),0.002013888888888889)</f>
        <v>0.002013888889</v>
      </c>
      <c r="E1937" s="1">
        <f>IFERROR(__xludf.DUMMYFUNCTION("""COMPUTED_VALUE"""),1.11)</f>
        <v>1.11</v>
      </c>
      <c r="F1937" s="1">
        <f>IFERROR(__xludf.DUMMYFUNCTION("""COMPUTED_VALUE"""),4.67)</f>
        <v>4.67</v>
      </c>
      <c r="G1937" s="5">
        <f>IFERROR(__xludf.DUMMYFUNCTION("""COMPUTED_VALUE"""),14705.0)</f>
        <v>14705</v>
      </c>
      <c r="H1937" s="5">
        <f>IFERROR(__xludf.DUMMYFUNCTION("""COMPUTED_VALUE"""),3152.0)</f>
        <v>3152</v>
      </c>
    </row>
    <row r="1938">
      <c r="A1938" s="4">
        <f>IFERROR(__xludf.DUMMYFUNCTION("""COMPUTED_VALUE"""),44306.0)</f>
        <v>44306</v>
      </c>
      <c r="B1938" s="5">
        <f>IFERROR(__xludf.DUMMYFUNCTION("""COMPUTED_VALUE"""),3013.0)</f>
        <v>3013</v>
      </c>
      <c r="C1938" s="6">
        <f>IFERROR(__xludf.DUMMYFUNCTION("""COMPUTED_VALUE"""),0.5569)</f>
        <v>0.5569</v>
      </c>
      <c r="D1938" s="2">
        <f>IFERROR(__xludf.DUMMYFUNCTION("""COMPUTED_VALUE"""),0.0019675925925925924)</f>
        <v>0.001967592593</v>
      </c>
      <c r="E1938" s="1">
        <f>IFERROR(__xludf.DUMMYFUNCTION("""COMPUTED_VALUE"""),1.05)</f>
        <v>1.05</v>
      </c>
      <c r="F1938" s="1">
        <f>IFERROR(__xludf.DUMMYFUNCTION("""COMPUTED_VALUE"""),4.21)</f>
        <v>4.21</v>
      </c>
      <c r="G1938" s="5">
        <f>IFERROR(__xludf.DUMMYFUNCTION("""COMPUTED_VALUE"""),13316.0)</f>
        <v>13316</v>
      </c>
      <c r="H1938" s="5">
        <f>IFERROR(__xludf.DUMMYFUNCTION("""COMPUTED_VALUE"""),3166.0)</f>
        <v>3166</v>
      </c>
    </row>
    <row r="1939">
      <c r="A1939" s="4">
        <f>IFERROR(__xludf.DUMMYFUNCTION("""COMPUTED_VALUE"""),44307.0)</f>
        <v>44307</v>
      </c>
      <c r="B1939" s="5">
        <f>IFERROR(__xludf.DUMMYFUNCTION("""COMPUTED_VALUE"""),2971.0)</f>
        <v>2971</v>
      </c>
      <c r="C1939" s="6">
        <f>IFERROR(__xludf.DUMMYFUNCTION("""COMPUTED_VALUE"""),0.5753)</f>
        <v>0.5753</v>
      </c>
      <c r="D1939" s="2">
        <f>IFERROR(__xludf.DUMMYFUNCTION("""COMPUTED_VALUE"""),0.0016435185185185185)</f>
        <v>0.001643518519</v>
      </c>
      <c r="E1939" s="1">
        <f>IFERROR(__xludf.DUMMYFUNCTION("""COMPUTED_VALUE"""),1.09)</f>
        <v>1.09</v>
      </c>
      <c r="F1939" s="1">
        <f>IFERROR(__xludf.DUMMYFUNCTION("""COMPUTED_VALUE"""),4.35)</f>
        <v>4.35</v>
      </c>
      <c r="G1939" s="5">
        <f>IFERROR(__xludf.DUMMYFUNCTION("""COMPUTED_VALUE"""),14066.0)</f>
        <v>14066</v>
      </c>
      <c r="H1939" s="5">
        <f>IFERROR(__xludf.DUMMYFUNCTION("""COMPUTED_VALUE"""),3235.0)</f>
        <v>3235</v>
      </c>
    </row>
    <row r="1940">
      <c r="A1940" s="4">
        <f>IFERROR(__xludf.DUMMYFUNCTION("""COMPUTED_VALUE"""),44308.0)</f>
        <v>44308</v>
      </c>
      <c r="B1940" s="5">
        <f>IFERROR(__xludf.DUMMYFUNCTION("""COMPUTED_VALUE"""),3277.0)</f>
        <v>3277</v>
      </c>
      <c r="C1940" s="6">
        <f>IFERROR(__xludf.DUMMYFUNCTION("""COMPUTED_VALUE"""),0.5653)</f>
        <v>0.5653</v>
      </c>
      <c r="D1940" s="2">
        <f>IFERROR(__xludf.DUMMYFUNCTION("""COMPUTED_VALUE"""),0.002349537037037037)</f>
        <v>0.002349537037</v>
      </c>
      <c r="E1940" s="1">
        <f>IFERROR(__xludf.DUMMYFUNCTION("""COMPUTED_VALUE"""),1.07)</f>
        <v>1.07</v>
      </c>
      <c r="F1940" s="1">
        <f>IFERROR(__xludf.DUMMYFUNCTION("""COMPUTED_VALUE"""),4.87)</f>
        <v>4.87</v>
      </c>
      <c r="G1940" s="5">
        <f>IFERROR(__xludf.DUMMYFUNCTION("""COMPUTED_VALUE"""),17107.0)</f>
        <v>17107</v>
      </c>
      <c r="H1940" s="5">
        <f>IFERROR(__xludf.DUMMYFUNCTION("""COMPUTED_VALUE"""),3513.0)</f>
        <v>3513</v>
      </c>
    </row>
    <row r="1941">
      <c r="A1941" s="4">
        <f>IFERROR(__xludf.DUMMYFUNCTION("""COMPUTED_VALUE"""),44309.0)</f>
        <v>44309</v>
      </c>
      <c r="B1941" s="5">
        <f>IFERROR(__xludf.DUMMYFUNCTION("""COMPUTED_VALUE"""),2430.0)</f>
        <v>2430</v>
      </c>
      <c r="C1941" s="6">
        <f>IFERROR(__xludf.DUMMYFUNCTION("""COMPUTED_VALUE"""),0.5842)</f>
        <v>0.5842</v>
      </c>
      <c r="D1941" s="2">
        <f>IFERROR(__xludf.DUMMYFUNCTION("""COMPUTED_VALUE"""),0.002037037037037037)</f>
        <v>0.002037037037</v>
      </c>
      <c r="E1941" s="1">
        <f>IFERROR(__xludf.DUMMYFUNCTION("""COMPUTED_VALUE"""),1.09)</f>
        <v>1.09</v>
      </c>
      <c r="F1941" s="1">
        <f>IFERROR(__xludf.DUMMYFUNCTION("""COMPUTED_VALUE"""),4.73)</f>
        <v>4.73</v>
      </c>
      <c r="G1941" s="5">
        <f>IFERROR(__xludf.DUMMYFUNCTION("""COMPUTED_VALUE"""),12469.0)</f>
        <v>12469</v>
      </c>
      <c r="H1941" s="5">
        <f>IFERROR(__xludf.DUMMYFUNCTION("""COMPUTED_VALUE"""),2638.0)</f>
        <v>2638</v>
      </c>
    </row>
    <row r="1942">
      <c r="A1942" s="4">
        <f>IFERROR(__xludf.DUMMYFUNCTION("""COMPUTED_VALUE"""),44310.0)</f>
        <v>44310</v>
      </c>
      <c r="B1942" s="5">
        <f>IFERROR(__xludf.DUMMYFUNCTION("""COMPUTED_VALUE"""),1625.0)</f>
        <v>1625</v>
      </c>
      <c r="C1942" s="6">
        <f>IFERROR(__xludf.DUMMYFUNCTION("""COMPUTED_VALUE"""),0.6269)</f>
        <v>0.6269</v>
      </c>
      <c r="D1942" s="2">
        <f>IFERROR(__xludf.DUMMYFUNCTION("""COMPUTED_VALUE"""),0.001875)</f>
        <v>0.001875</v>
      </c>
      <c r="E1942" s="1">
        <f>IFERROR(__xludf.DUMMYFUNCTION("""COMPUTED_VALUE"""),1.08)</f>
        <v>1.08</v>
      </c>
      <c r="F1942" s="1">
        <f>IFERROR(__xludf.DUMMYFUNCTION("""COMPUTED_VALUE"""),3.88)</f>
        <v>3.88</v>
      </c>
      <c r="G1942" s="5">
        <f>IFERROR(__xludf.DUMMYFUNCTION("""COMPUTED_VALUE"""),6790.0)</f>
        <v>6790</v>
      </c>
      <c r="H1942" s="5">
        <f>IFERROR(__xludf.DUMMYFUNCTION("""COMPUTED_VALUE"""),1750.0)</f>
        <v>1750</v>
      </c>
    </row>
    <row r="1943">
      <c r="A1943" s="4">
        <f>IFERROR(__xludf.DUMMYFUNCTION("""COMPUTED_VALUE"""),44311.0)</f>
        <v>44311</v>
      </c>
      <c r="B1943" s="5">
        <f>IFERROR(__xludf.DUMMYFUNCTION("""COMPUTED_VALUE"""),1763.0)</f>
        <v>1763</v>
      </c>
      <c r="C1943" s="6">
        <f>IFERROR(__xludf.DUMMYFUNCTION("""COMPUTED_VALUE"""),0.6)</f>
        <v>0.6</v>
      </c>
      <c r="D1943" s="2">
        <f>IFERROR(__xludf.DUMMYFUNCTION("""COMPUTED_VALUE"""),0.001574074074074074)</f>
        <v>0.001574074074</v>
      </c>
      <c r="E1943" s="1">
        <f>IFERROR(__xludf.DUMMYFUNCTION("""COMPUTED_VALUE"""),1.06)</f>
        <v>1.06</v>
      </c>
      <c r="F1943" s="1">
        <f>IFERROR(__xludf.DUMMYFUNCTION("""COMPUTED_VALUE"""),3.9)</f>
        <v>3.9</v>
      </c>
      <c r="G1943" s="5">
        <f>IFERROR(__xludf.DUMMYFUNCTION("""COMPUTED_VALUE"""),7304.0)</f>
        <v>7304</v>
      </c>
      <c r="H1943" s="5">
        <f>IFERROR(__xludf.DUMMYFUNCTION("""COMPUTED_VALUE"""),1875.0)</f>
        <v>1875</v>
      </c>
    </row>
    <row r="1944">
      <c r="A1944" s="4">
        <f>IFERROR(__xludf.DUMMYFUNCTION("""COMPUTED_VALUE"""),44312.0)</f>
        <v>44312</v>
      </c>
      <c r="B1944" s="5">
        <f>IFERROR(__xludf.DUMMYFUNCTION("""COMPUTED_VALUE"""),2860.0)</f>
        <v>2860</v>
      </c>
      <c r="C1944" s="6">
        <f>IFERROR(__xludf.DUMMYFUNCTION("""COMPUTED_VALUE"""),0.5571)</f>
        <v>0.5571</v>
      </c>
      <c r="D1944" s="2">
        <f>IFERROR(__xludf.DUMMYFUNCTION("""COMPUTED_VALUE"""),0.002372685185185185)</f>
        <v>0.002372685185</v>
      </c>
      <c r="E1944" s="1">
        <f>IFERROR(__xludf.DUMMYFUNCTION("""COMPUTED_VALUE"""),1.06)</f>
        <v>1.06</v>
      </c>
      <c r="F1944" s="1">
        <f>IFERROR(__xludf.DUMMYFUNCTION("""COMPUTED_VALUE"""),4.26)</f>
        <v>4.26</v>
      </c>
      <c r="G1944" s="5">
        <f>IFERROR(__xludf.DUMMYFUNCTION("""COMPUTED_VALUE"""),12955.0)</f>
        <v>12955</v>
      </c>
      <c r="H1944" s="5">
        <f>IFERROR(__xludf.DUMMYFUNCTION("""COMPUTED_VALUE"""),3041.0)</f>
        <v>3041</v>
      </c>
    </row>
    <row r="1945">
      <c r="A1945" s="4">
        <f>IFERROR(__xludf.DUMMYFUNCTION("""COMPUTED_VALUE"""),44313.0)</f>
        <v>44313</v>
      </c>
      <c r="B1945" s="5">
        <f>IFERROR(__xludf.DUMMYFUNCTION("""COMPUTED_VALUE"""),2902.0)</f>
        <v>2902</v>
      </c>
      <c r="C1945" s="6">
        <f>IFERROR(__xludf.DUMMYFUNCTION("""COMPUTED_VALUE"""),0.5834)</f>
        <v>0.5834</v>
      </c>
      <c r="D1945" s="2">
        <f>IFERROR(__xludf.DUMMYFUNCTION("""COMPUTED_VALUE"""),0.002037037037037037)</f>
        <v>0.002037037037</v>
      </c>
      <c r="E1945" s="1">
        <f>IFERROR(__xludf.DUMMYFUNCTION("""COMPUTED_VALUE"""),1.09)</f>
        <v>1.09</v>
      </c>
      <c r="F1945" s="1">
        <f>IFERROR(__xludf.DUMMYFUNCTION("""COMPUTED_VALUE"""),3.84)</f>
        <v>3.84</v>
      </c>
      <c r="G1945" s="5">
        <f>IFERROR(__xludf.DUMMYFUNCTION("""COMPUTED_VALUE"""),12164.0)</f>
        <v>12164</v>
      </c>
      <c r="H1945" s="5">
        <f>IFERROR(__xludf.DUMMYFUNCTION("""COMPUTED_VALUE"""),3166.0)</f>
        <v>3166</v>
      </c>
    </row>
    <row r="1946">
      <c r="A1946" s="4">
        <f>IFERROR(__xludf.DUMMYFUNCTION("""COMPUTED_VALUE"""),44314.0)</f>
        <v>44314</v>
      </c>
      <c r="B1946" s="5">
        <f>IFERROR(__xludf.DUMMYFUNCTION("""COMPUTED_VALUE"""),2944.0)</f>
        <v>2944</v>
      </c>
      <c r="C1946" s="6">
        <f>IFERROR(__xludf.DUMMYFUNCTION("""COMPUTED_VALUE"""),0.5062)</f>
        <v>0.5062</v>
      </c>
      <c r="D1946" s="2">
        <f>IFERROR(__xludf.DUMMYFUNCTION("""COMPUTED_VALUE"""),0.002372685185185185)</f>
        <v>0.002372685185</v>
      </c>
      <c r="E1946" s="1">
        <f>IFERROR(__xludf.DUMMYFUNCTION("""COMPUTED_VALUE"""),1.15)</f>
        <v>1.15</v>
      </c>
      <c r="F1946" s="1">
        <f>IFERROR(__xludf.DUMMYFUNCTION("""COMPUTED_VALUE"""),4.95)</f>
        <v>4.95</v>
      </c>
      <c r="G1946" s="5">
        <f>IFERROR(__xludf.DUMMYFUNCTION("""COMPUTED_VALUE"""),16690.0)</f>
        <v>16690</v>
      </c>
      <c r="H1946" s="5">
        <f>IFERROR(__xludf.DUMMYFUNCTION("""COMPUTED_VALUE"""),3374.0)</f>
        <v>3374</v>
      </c>
    </row>
    <row r="1947">
      <c r="A1947" s="4">
        <f>IFERROR(__xludf.DUMMYFUNCTION("""COMPUTED_VALUE"""),44315.0)</f>
        <v>44315</v>
      </c>
      <c r="B1947" s="5">
        <f>IFERROR(__xludf.DUMMYFUNCTION("""COMPUTED_VALUE"""),2971.0)</f>
        <v>2971</v>
      </c>
      <c r="C1947" s="6">
        <f>IFERROR(__xludf.DUMMYFUNCTION("""COMPUTED_VALUE"""),0.5963)</f>
        <v>0.5963</v>
      </c>
      <c r="D1947" s="2">
        <f>IFERROR(__xludf.DUMMYFUNCTION("""COMPUTED_VALUE"""),0.0016087962962962963)</f>
        <v>0.001608796296</v>
      </c>
      <c r="E1947" s="1">
        <f>IFERROR(__xludf.DUMMYFUNCTION("""COMPUTED_VALUE"""),1.07)</f>
        <v>1.07</v>
      </c>
      <c r="F1947" s="1">
        <f>IFERROR(__xludf.DUMMYFUNCTION("""COMPUTED_VALUE"""),3.28)</f>
        <v>3.28</v>
      </c>
      <c r="G1947" s="5">
        <f>IFERROR(__xludf.DUMMYFUNCTION("""COMPUTED_VALUE"""),10386.0)</f>
        <v>10386</v>
      </c>
      <c r="H1947" s="5">
        <f>IFERROR(__xludf.DUMMYFUNCTION("""COMPUTED_VALUE"""),3166.0)</f>
        <v>3166</v>
      </c>
    </row>
    <row r="1948">
      <c r="A1948" s="4">
        <f>IFERROR(__xludf.DUMMYFUNCTION("""COMPUTED_VALUE"""),44316.0)</f>
        <v>44316</v>
      </c>
      <c r="B1948" s="5">
        <f>IFERROR(__xludf.DUMMYFUNCTION("""COMPUTED_VALUE"""),1958.0)</f>
        <v>1958</v>
      </c>
      <c r="C1948" s="6">
        <f>IFERROR(__xludf.DUMMYFUNCTION("""COMPUTED_VALUE"""),0.5262)</f>
        <v>0.5262</v>
      </c>
      <c r="D1948" s="2">
        <f>IFERROR(__xludf.DUMMYFUNCTION("""COMPUTED_VALUE"""),0.0022916666666666667)</f>
        <v>0.002291666667</v>
      </c>
      <c r="E1948" s="1">
        <f>IFERROR(__xludf.DUMMYFUNCTION("""COMPUTED_VALUE"""),1.09)</f>
        <v>1.09</v>
      </c>
      <c r="F1948" s="1">
        <f>IFERROR(__xludf.DUMMYFUNCTION("""COMPUTED_VALUE"""),4.58)</f>
        <v>4.58</v>
      </c>
      <c r="G1948" s="5">
        <f>IFERROR(__xludf.DUMMYFUNCTION("""COMPUTED_VALUE"""),9789.0)</f>
        <v>9789</v>
      </c>
      <c r="H1948" s="5">
        <f>IFERROR(__xludf.DUMMYFUNCTION("""COMPUTED_VALUE"""),2138.0)</f>
        <v>2138</v>
      </c>
    </row>
    <row r="1949">
      <c r="A1949" s="4">
        <f>IFERROR(__xludf.DUMMYFUNCTION("""COMPUTED_VALUE"""),44317.0)</f>
        <v>44317</v>
      </c>
      <c r="B1949" s="5">
        <f>IFERROR(__xludf.DUMMYFUNCTION("""COMPUTED_VALUE"""),1333.0)</f>
        <v>1333</v>
      </c>
      <c r="C1949" s="6">
        <f>IFERROR(__xludf.DUMMYFUNCTION("""COMPUTED_VALUE"""),0.5388)</f>
        <v>0.5388</v>
      </c>
      <c r="D1949" s="2">
        <f>IFERROR(__xludf.DUMMYFUNCTION("""COMPUTED_VALUE"""),0.0011574074074074073)</f>
        <v>0.001157407407</v>
      </c>
      <c r="E1949" s="1">
        <f>IFERROR(__xludf.DUMMYFUNCTION("""COMPUTED_VALUE"""),1.08)</f>
        <v>1.08</v>
      </c>
      <c r="F1949" s="1">
        <f>IFERROR(__xludf.DUMMYFUNCTION("""COMPUTED_VALUE"""),4.0)</f>
        <v>4</v>
      </c>
      <c r="G1949" s="5">
        <f>IFERROR(__xludf.DUMMYFUNCTION("""COMPUTED_VALUE"""),5776.0)</f>
        <v>5776</v>
      </c>
      <c r="H1949" s="5">
        <f>IFERROR(__xludf.DUMMYFUNCTION("""COMPUTED_VALUE"""),1444.0)</f>
        <v>1444</v>
      </c>
    </row>
    <row r="1950">
      <c r="A1950" s="4">
        <f>IFERROR(__xludf.DUMMYFUNCTION("""COMPUTED_VALUE"""),44318.0)</f>
        <v>44318</v>
      </c>
      <c r="B1950" s="5">
        <f>IFERROR(__xludf.DUMMYFUNCTION("""COMPUTED_VALUE"""),1458.0)</f>
        <v>1458</v>
      </c>
      <c r="C1950" s="6">
        <f>IFERROR(__xludf.DUMMYFUNCTION("""COMPUTED_VALUE"""),0.5439)</f>
        <v>0.5439</v>
      </c>
      <c r="D1950" s="2">
        <f>IFERROR(__xludf.DUMMYFUNCTION("""COMPUTED_VALUE"""),0.0019675925925925924)</f>
        <v>0.001967592593</v>
      </c>
      <c r="E1950" s="1">
        <f>IFERROR(__xludf.DUMMYFUNCTION("""COMPUTED_VALUE"""),1.09)</f>
        <v>1.09</v>
      </c>
      <c r="F1950" s="1">
        <f>IFERROR(__xludf.DUMMYFUNCTION("""COMPUTED_VALUE"""),5.07)</f>
        <v>5.07</v>
      </c>
      <c r="G1950" s="5">
        <f>IFERROR(__xludf.DUMMYFUNCTION("""COMPUTED_VALUE"""),8026.0)</f>
        <v>8026</v>
      </c>
      <c r="H1950" s="5">
        <f>IFERROR(__xludf.DUMMYFUNCTION("""COMPUTED_VALUE"""),1583.0)</f>
        <v>1583</v>
      </c>
    </row>
    <row r="1951">
      <c r="A1951" s="4">
        <f>IFERROR(__xludf.DUMMYFUNCTION("""COMPUTED_VALUE"""),44319.0)</f>
        <v>44319</v>
      </c>
      <c r="B1951" s="5">
        <f>IFERROR(__xludf.DUMMYFUNCTION("""COMPUTED_VALUE"""),2249.0)</f>
        <v>2249</v>
      </c>
      <c r="C1951" s="6">
        <f>IFERROR(__xludf.DUMMYFUNCTION("""COMPUTED_VALUE"""),0.5313)</f>
        <v>0.5313</v>
      </c>
      <c r="D1951" s="2">
        <f>IFERROR(__xludf.DUMMYFUNCTION("""COMPUTED_VALUE"""),0.0019560185185185184)</f>
        <v>0.001956018519</v>
      </c>
      <c r="E1951" s="1">
        <f>IFERROR(__xludf.DUMMYFUNCTION("""COMPUTED_VALUE"""),1.08)</f>
        <v>1.08</v>
      </c>
      <c r="F1951" s="1">
        <f>IFERROR(__xludf.DUMMYFUNCTION("""COMPUTED_VALUE"""),3.85)</f>
        <v>3.85</v>
      </c>
      <c r="G1951" s="5">
        <f>IFERROR(__xludf.DUMMYFUNCTION("""COMPUTED_VALUE"""),9359.0)</f>
        <v>9359</v>
      </c>
      <c r="H1951" s="5">
        <f>IFERROR(__xludf.DUMMYFUNCTION("""COMPUTED_VALUE"""),2430.0)</f>
        <v>2430</v>
      </c>
    </row>
    <row r="1952">
      <c r="A1952" s="4">
        <f>IFERROR(__xludf.DUMMYFUNCTION("""COMPUTED_VALUE"""),44320.0)</f>
        <v>44320</v>
      </c>
      <c r="B1952" s="5">
        <f>IFERROR(__xludf.DUMMYFUNCTION("""COMPUTED_VALUE"""),2444.0)</f>
        <v>2444</v>
      </c>
      <c r="C1952" s="6">
        <f>IFERROR(__xludf.DUMMYFUNCTION("""COMPUTED_VALUE"""),0.4815)</f>
        <v>0.4815</v>
      </c>
      <c r="D1952" s="2">
        <f>IFERROR(__xludf.DUMMYFUNCTION("""COMPUTED_VALUE"""),0.0015046296296296296)</f>
        <v>0.00150462963</v>
      </c>
      <c r="E1952" s="1">
        <f>IFERROR(__xludf.DUMMYFUNCTION("""COMPUTED_VALUE"""),1.09)</f>
        <v>1.09</v>
      </c>
      <c r="F1952" s="1">
        <f>IFERROR(__xludf.DUMMYFUNCTION("""COMPUTED_VALUE"""),3.93)</f>
        <v>3.93</v>
      </c>
      <c r="G1952" s="5">
        <f>IFERROR(__xludf.DUMMYFUNCTION("""COMPUTED_VALUE"""),10428.0)</f>
        <v>10428</v>
      </c>
      <c r="H1952" s="5">
        <f>IFERROR(__xludf.DUMMYFUNCTION("""COMPUTED_VALUE"""),2652.0)</f>
        <v>2652</v>
      </c>
    </row>
    <row r="1953">
      <c r="A1953" s="4">
        <f>IFERROR(__xludf.DUMMYFUNCTION("""COMPUTED_VALUE"""),44321.0)</f>
        <v>44321</v>
      </c>
      <c r="B1953" s="5">
        <f>IFERROR(__xludf.DUMMYFUNCTION("""COMPUTED_VALUE"""),2569.0)</f>
        <v>2569</v>
      </c>
      <c r="C1953" s="6">
        <f>IFERROR(__xludf.DUMMYFUNCTION("""COMPUTED_VALUE"""),0.4409)</f>
        <v>0.4409</v>
      </c>
      <c r="D1953" s="2">
        <f>IFERROR(__xludf.DUMMYFUNCTION("""COMPUTED_VALUE"""),0.0019212962962962964)</f>
        <v>0.001921296296</v>
      </c>
      <c r="E1953" s="1">
        <f>IFERROR(__xludf.DUMMYFUNCTION("""COMPUTED_VALUE"""),1.05)</f>
        <v>1.05</v>
      </c>
      <c r="F1953" s="1">
        <f>IFERROR(__xludf.DUMMYFUNCTION("""COMPUTED_VALUE"""),5.0)</f>
        <v>5</v>
      </c>
      <c r="G1953" s="5">
        <f>IFERROR(__xludf.DUMMYFUNCTION("""COMPUTED_VALUE"""),13538.0)</f>
        <v>13538</v>
      </c>
      <c r="H1953" s="5">
        <f>IFERROR(__xludf.DUMMYFUNCTION("""COMPUTED_VALUE"""),2708.0)</f>
        <v>2708</v>
      </c>
    </row>
    <row r="1954">
      <c r="A1954" s="4">
        <f>IFERROR(__xludf.DUMMYFUNCTION("""COMPUTED_VALUE"""),44322.0)</f>
        <v>44322</v>
      </c>
      <c r="B1954" s="5">
        <f>IFERROR(__xludf.DUMMYFUNCTION("""COMPUTED_VALUE"""),2569.0)</f>
        <v>2569</v>
      </c>
      <c r="C1954" s="6">
        <f>IFERROR(__xludf.DUMMYFUNCTION("""COMPUTED_VALUE"""),0.4423)</f>
        <v>0.4423</v>
      </c>
      <c r="D1954" s="2">
        <f>IFERROR(__xludf.DUMMYFUNCTION("""COMPUTED_VALUE"""),0.0022453703703703702)</f>
        <v>0.00224537037</v>
      </c>
      <c r="E1954" s="1">
        <f>IFERROR(__xludf.DUMMYFUNCTION("""COMPUTED_VALUE"""),1.08)</f>
        <v>1.08</v>
      </c>
      <c r="F1954" s="1">
        <f>IFERROR(__xludf.DUMMYFUNCTION("""COMPUTED_VALUE"""),4.99)</f>
        <v>4.99</v>
      </c>
      <c r="G1954" s="5">
        <f>IFERROR(__xludf.DUMMYFUNCTION("""COMPUTED_VALUE"""),13774.0)</f>
        <v>13774</v>
      </c>
      <c r="H1954" s="5">
        <f>IFERROR(__xludf.DUMMYFUNCTION("""COMPUTED_VALUE"""),2763.0)</f>
        <v>2763</v>
      </c>
    </row>
    <row r="1955">
      <c r="A1955" s="4">
        <f>IFERROR(__xludf.DUMMYFUNCTION("""COMPUTED_VALUE"""),44323.0)</f>
        <v>44323</v>
      </c>
      <c r="B1955" s="5">
        <f>IFERROR(__xludf.DUMMYFUNCTION("""COMPUTED_VALUE"""),2138.0)</f>
        <v>2138</v>
      </c>
      <c r="C1955" s="6">
        <f>IFERROR(__xludf.DUMMYFUNCTION("""COMPUTED_VALUE"""),0.4684)</f>
        <v>0.4684</v>
      </c>
      <c r="D1955" s="2">
        <f>IFERROR(__xludf.DUMMYFUNCTION("""COMPUTED_VALUE"""),0.002372685185185185)</f>
        <v>0.002372685185</v>
      </c>
      <c r="E1955" s="1">
        <f>IFERROR(__xludf.DUMMYFUNCTION("""COMPUTED_VALUE"""),1.12)</f>
        <v>1.12</v>
      </c>
      <c r="F1955" s="1">
        <f>IFERROR(__xludf.DUMMYFUNCTION("""COMPUTED_VALUE"""),4.75)</f>
        <v>4.75</v>
      </c>
      <c r="G1955" s="5">
        <f>IFERROR(__xludf.DUMMYFUNCTION("""COMPUTED_VALUE"""),11400.0)</f>
        <v>11400</v>
      </c>
      <c r="H1955" s="5">
        <f>IFERROR(__xludf.DUMMYFUNCTION("""COMPUTED_VALUE"""),2402.0)</f>
        <v>2402</v>
      </c>
    </row>
    <row r="1956">
      <c r="A1956" s="4">
        <f>IFERROR(__xludf.DUMMYFUNCTION("""COMPUTED_VALUE"""),44324.0)</f>
        <v>44324</v>
      </c>
      <c r="B1956" s="5">
        <f>IFERROR(__xludf.DUMMYFUNCTION("""COMPUTED_VALUE"""),1361.0)</f>
        <v>1361</v>
      </c>
      <c r="C1956" s="6">
        <f>IFERROR(__xludf.DUMMYFUNCTION("""COMPUTED_VALUE"""),0.4491)</f>
        <v>0.4491</v>
      </c>
      <c r="D1956" s="2">
        <f>IFERROR(__xludf.DUMMYFUNCTION("""COMPUTED_VALUE"""),0.002476851851851852)</f>
        <v>0.002476851852</v>
      </c>
      <c r="E1956" s="1">
        <f>IFERROR(__xludf.DUMMYFUNCTION("""COMPUTED_VALUE"""),1.11)</f>
        <v>1.11</v>
      </c>
      <c r="F1956" s="1">
        <f>IFERROR(__xludf.DUMMYFUNCTION("""COMPUTED_VALUE"""),4.76)</f>
        <v>4.76</v>
      </c>
      <c r="G1956" s="5">
        <f>IFERROR(__xludf.DUMMYFUNCTION("""COMPUTED_VALUE"""),7207.0)</f>
        <v>7207</v>
      </c>
      <c r="H1956" s="5">
        <f>IFERROR(__xludf.DUMMYFUNCTION("""COMPUTED_VALUE"""),1514.0)</f>
        <v>1514</v>
      </c>
    </row>
    <row r="1957">
      <c r="A1957" s="4">
        <f>IFERROR(__xludf.DUMMYFUNCTION("""COMPUTED_VALUE"""),44325.0)</f>
        <v>44325</v>
      </c>
      <c r="B1957" s="5">
        <f>IFERROR(__xludf.DUMMYFUNCTION("""COMPUTED_VALUE"""),1472.0)</f>
        <v>1472</v>
      </c>
      <c r="C1957" s="6">
        <f>IFERROR(__xludf.DUMMYFUNCTION("""COMPUTED_VALUE"""),0.5627)</f>
        <v>0.5627</v>
      </c>
      <c r="D1957" s="2">
        <f>IFERROR(__xludf.DUMMYFUNCTION("""COMPUTED_VALUE"""),0.001979166666666667)</f>
        <v>0.001979166667</v>
      </c>
      <c r="E1957" s="1">
        <f>IFERROR(__xludf.DUMMYFUNCTION("""COMPUTED_VALUE"""),1.06)</f>
        <v>1.06</v>
      </c>
      <c r="F1957" s="1">
        <f>IFERROR(__xludf.DUMMYFUNCTION("""COMPUTED_VALUE"""),5.41)</f>
        <v>5.41</v>
      </c>
      <c r="G1957" s="5">
        <f>IFERROR(__xludf.DUMMYFUNCTION("""COMPUTED_VALUE"""),8415.0)</f>
        <v>8415</v>
      </c>
      <c r="H1957" s="5">
        <f>IFERROR(__xludf.DUMMYFUNCTION("""COMPUTED_VALUE"""),1555.0)</f>
        <v>1555</v>
      </c>
    </row>
    <row r="1958">
      <c r="A1958" s="4">
        <f>IFERROR(__xludf.DUMMYFUNCTION("""COMPUTED_VALUE"""),44326.0)</f>
        <v>44326</v>
      </c>
      <c r="B1958" s="5">
        <f>IFERROR(__xludf.DUMMYFUNCTION("""COMPUTED_VALUE"""),2583.0)</f>
        <v>2583</v>
      </c>
      <c r="C1958" s="6">
        <f>IFERROR(__xludf.DUMMYFUNCTION("""COMPUTED_VALUE"""),0.4321)</f>
        <v>0.4321</v>
      </c>
      <c r="D1958" s="2">
        <f>IFERROR(__xludf.DUMMYFUNCTION("""COMPUTED_VALUE"""),0.001863425925925926)</f>
        <v>0.001863425926</v>
      </c>
      <c r="E1958" s="1">
        <f>IFERROR(__xludf.DUMMYFUNCTION("""COMPUTED_VALUE"""),1.07)</f>
        <v>1.07</v>
      </c>
      <c r="F1958" s="1">
        <f>IFERROR(__xludf.DUMMYFUNCTION("""COMPUTED_VALUE"""),4.49)</f>
        <v>4.49</v>
      </c>
      <c r="G1958" s="5">
        <f>IFERROR(__xludf.DUMMYFUNCTION("""COMPUTED_VALUE"""),12414.0)</f>
        <v>12414</v>
      </c>
      <c r="H1958" s="5">
        <f>IFERROR(__xludf.DUMMYFUNCTION("""COMPUTED_VALUE"""),2763.0)</f>
        <v>2763</v>
      </c>
    </row>
    <row r="1959">
      <c r="A1959" s="4">
        <f>IFERROR(__xludf.DUMMYFUNCTION("""COMPUTED_VALUE"""),44327.0)</f>
        <v>44327</v>
      </c>
      <c r="B1959" s="5">
        <f>IFERROR(__xludf.DUMMYFUNCTION("""COMPUTED_VALUE"""),2652.0)</f>
        <v>2652</v>
      </c>
      <c r="C1959" s="6">
        <f>IFERROR(__xludf.DUMMYFUNCTION("""COMPUTED_VALUE"""),0.4563)</f>
        <v>0.4563</v>
      </c>
      <c r="D1959" s="2">
        <f>IFERROR(__xludf.DUMMYFUNCTION("""COMPUTED_VALUE"""),0.0017824074074074075)</f>
        <v>0.001782407407</v>
      </c>
      <c r="E1959" s="1">
        <f>IFERROR(__xludf.DUMMYFUNCTION("""COMPUTED_VALUE"""),1.08)</f>
        <v>1.08</v>
      </c>
      <c r="F1959" s="1">
        <f>IFERROR(__xludf.DUMMYFUNCTION("""COMPUTED_VALUE"""),4.64)</f>
        <v>4.64</v>
      </c>
      <c r="G1959" s="5">
        <f>IFERROR(__xludf.DUMMYFUNCTION("""COMPUTED_VALUE"""),13274.0)</f>
        <v>13274</v>
      </c>
      <c r="H1959" s="5">
        <f>IFERROR(__xludf.DUMMYFUNCTION("""COMPUTED_VALUE"""),2860.0)</f>
        <v>2860</v>
      </c>
    </row>
    <row r="1960">
      <c r="A1960" s="4">
        <f>IFERROR(__xludf.DUMMYFUNCTION("""COMPUTED_VALUE"""),44328.0)</f>
        <v>44328</v>
      </c>
      <c r="B1960" s="5">
        <f>IFERROR(__xludf.DUMMYFUNCTION("""COMPUTED_VALUE"""),2569.0)</f>
        <v>2569</v>
      </c>
      <c r="C1960" s="6">
        <f>IFERROR(__xludf.DUMMYFUNCTION("""COMPUTED_VALUE"""),0.4676)</f>
        <v>0.4676</v>
      </c>
      <c r="D1960" s="2">
        <f>IFERROR(__xludf.DUMMYFUNCTION("""COMPUTED_VALUE"""),0.002627314814814815)</f>
        <v>0.002627314815</v>
      </c>
      <c r="E1960" s="1">
        <f>IFERROR(__xludf.DUMMYFUNCTION("""COMPUTED_VALUE"""),1.09)</f>
        <v>1.09</v>
      </c>
      <c r="F1960" s="1">
        <f>IFERROR(__xludf.DUMMYFUNCTION("""COMPUTED_VALUE"""),4.96)</f>
        <v>4.96</v>
      </c>
      <c r="G1960" s="5">
        <f>IFERROR(__xludf.DUMMYFUNCTION("""COMPUTED_VALUE"""),13830.0)</f>
        <v>13830</v>
      </c>
      <c r="H1960" s="5">
        <f>IFERROR(__xludf.DUMMYFUNCTION("""COMPUTED_VALUE"""),2791.0)</f>
        <v>2791</v>
      </c>
    </row>
    <row r="1961">
      <c r="A1961" s="4">
        <f>IFERROR(__xludf.DUMMYFUNCTION("""COMPUTED_VALUE"""),44329.0)</f>
        <v>44329</v>
      </c>
      <c r="B1961" s="5">
        <f>IFERROR(__xludf.DUMMYFUNCTION("""COMPUTED_VALUE"""),2180.0)</f>
        <v>2180</v>
      </c>
      <c r="C1961" s="6">
        <f>IFERROR(__xludf.DUMMYFUNCTION("""COMPUTED_VALUE"""),0.4374)</f>
        <v>0.4374</v>
      </c>
      <c r="D1961" s="2">
        <f>IFERROR(__xludf.DUMMYFUNCTION("""COMPUTED_VALUE"""),0.0021180555555555558)</f>
        <v>0.002118055556</v>
      </c>
      <c r="E1961" s="1">
        <f>IFERROR(__xludf.DUMMYFUNCTION("""COMPUTED_VALUE"""),1.12)</f>
        <v>1.12</v>
      </c>
      <c r="F1961" s="1">
        <f>IFERROR(__xludf.DUMMYFUNCTION("""COMPUTED_VALUE"""),4.16)</f>
        <v>4.16</v>
      </c>
      <c r="G1961" s="5">
        <f>IFERROR(__xludf.DUMMYFUNCTION("""COMPUTED_VALUE"""),10178.0)</f>
        <v>10178</v>
      </c>
      <c r="H1961" s="5">
        <f>IFERROR(__xludf.DUMMYFUNCTION("""COMPUTED_VALUE"""),2444.0)</f>
        <v>2444</v>
      </c>
    </row>
    <row r="1962">
      <c r="A1962" s="4">
        <f>IFERROR(__xludf.DUMMYFUNCTION("""COMPUTED_VALUE"""),44330.0)</f>
        <v>44330</v>
      </c>
      <c r="B1962" s="5">
        <f>IFERROR(__xludf.DUMMYFUNCTION("""COMPUTED_VALUE"""),2083.0)</f>
        <v>2083</v>
      </c>
      <c r="C1962" s="6">
        <f>IFERROR(__xludf.DUMMYFUNCTION("""COMPUTED_VALUE"""),0.4656)</f>
        <v>0.4656</v>
      </c>
      <c r="D1962" s="2">
        <f>IFERROR(__xludf.DUMMYFUNCTION("""COMPUTED_VALUE"""),0.0021527777777777778)</f>
        <v>0.002152777778</v>
      </c>
      <c r="E1962" s="1">
        <f>IFERROR(__xludf.DUMMYFUNCTION("""COMPUTED_VALUE"""),1.07)</f>
        <v>1.07</v>
      </c>
      <c r="F1962" s="1">
        <f>IFERROR(__xludf.DUMMYFUNCTION("""COMPUTED_VALUE"""),5.32)</f>
        <v>5.32</v>
      </c>
      <c r="G1962" s="5">
        <f>IFERROR(__xludf.DUMMYFUNCTION("""COMPUTED_VALUE"""),11900.0)</f>
        <v>11900</v>
      </c>
      <c r="H1962" s="5">
        <f>IFERROR(__xludf.DUMMYFUNCTION("""COMPUTED_VALUE"""),2236.0)</f>
        <v>2236</v>
      </c>
    </row>
    <row r="1963">
      <c r="A1963" s="4">
        <f>IFERROR(__xludf.DUMMYFUNCTION("""COMPUTED_VALUE"""),44331.0)</f>
        <v>44331</v>
      </c>
      <c r="B1963" s="5">
        <f>IFERROR(__xludf.DUMMYFUNCTION("""COMPUTED_VALUE"""),1486.0)</f>
        <v>1486</v>
      </c>
      <c r="C1963" s="6">
        <f>IFERROR(__xludf.DUMMYFUNCTION("""COMPUTED_VALUE"""),0.5838)</f>
        <v>0.5838</v>
      </c>
      <c r="D1963" s="2">
        <f>IFERROR(__xludf.DUMMYFUNCTION("""COMPUTED_VALUE"""),0.0016435185185185185)</f>
        <v>0.001643518519</v>
      </c>
      <c r="E1963" s="1">
        <f>IFERROR(__xludf.DUMMYFUNCTION("""COMPUTED_VALUE"""),1.06)</f>
        <v>1.06</v>
      </c>
      <c r="F1963" s="1">
        <f>IFERROR(__xludf.DUMMYFUNCTION("""COMPUTED_VALUE"""),4.04)</f>
        <v>4.04</v>
      </c>
      <c r="G1963" s="5">
        <f>IFERROR(__xludf.DUMMYFUNCTION("""COMPUTED_VALUE"""),6332.0)</f>
        <v>6332</v>
      </c>
      <c r="H1963" s="5">
        <f>IFERROR(__xludf.DUMMYFUNCTION("""COMPUTED_VALUE"""),1569.0)</f>
        <v>1569</v>
      </c>
    </row>
    <row r="1964">
      <c r="A1964" s="4">
        <f>IFERROR(__xludf.DUMMYFUNCTION("""COMPUTED_VALUE"""),44332.0)</f>
        <v>44332</v>
      </c>
      <c r="B1964" s="5">
        <f>IFERROR(__xludf.DUMMYFUNCTION("""COMPUTED_VALUE"""),1652.0)</f>
        <v>1652</v>
      </c>
      <c r="C1964" s="6">
        <f>IFERROR(__xludf.DUMMYFUNCTION("""COMPUTED_VALUE"""),0.5271)</f>
        <v>0.5271</v>
      </c>
      <c r="D1964" s="2">
        <f>IFERROR(__xludf.DUMMYFUNCTION("""COMPUTED_VALUE"""),0.001724537037037037)</f>
        <v>0.001724537037</v>
      </c>
      <c r="E1964" s="1">
        <f>IFERROR(__xludf.DUMMYFUNCTION("""COMPUTED_VALUE"""),1.08)</f>
        <v>1.08</v>
      </c>
      <c r="F1964" s="1">
        <f>IFERROR(__xludf.DUMMYFUNCTION("""COMPUTED_VALUE"""),3.61)</f>
        <v>3.61</v>
      </c>
      <c r="G1964" s="5">
        <f>IFERROR(__xludf.DUMMYFUNCTION("""COMPUTED_VALUE"""),6471.0)</f>
        <v>6471</v>
      </c>
      <c r="H1964" s="5">
        <f>IFERROR(__xludf.DUMMYFUNCTION("""COMPUTED_VALUE"""),1791.0)</f>
        <v>1791</v>
      </c>
    </row>
    <row r="1965">
      <c r="A1965" s="4">
        <f>IFERROR(__xludf.DUMMYFUNCTION("""COMPUTED_VALUE"""),44333.0)</f>
        <v>44333</v>
      </c>
      <c r="B1965" s="5">
        <f>IFERROR(__xludf.DUMMYFUNCTION("""COMPUTED_VALUE"""),2388.0)</f>
        <v>2388</v>
      </c>
      <c r="C1965" s="6">
        <f>IFERROR(__xludf.DUMMYFUNCTION("""COMPUTED_VALUE"""),0.4234)</f>
        <v>0.4234</v>
      </c>
      <c r="D1965" s="2">
        <f>IFERROR(__xludf.DUMMYFUNCTION("""COMPUTED_VALUE"""),0.0028472222222222223)</f>
        <v>0.002847222222</v>
      </c>
      <c r="E1965" s="1">
        <f>IFERROR(__xludf.DUMMYFUNCTION("""COMPUTED_VALUE"""),1.1)</f>
        <v>1.1</v>
      </c>
      <c r="F1965" s="1">
        <f>IFERROR(__xludf.DUMMYFUNCTION("""COMPUTED_VALUE"""),6.36)</f>
        <v>6.36</v>
      </c>
      <c r="G1965" s="5">
        <f>IFERROR(__xludf.DUMMYFUNCTION("""COMPUTED_VALUE"""),16676.0)</f>
        <v>16676</v>
      </c>
      <c r="H1965" s="5">
        <f>IFERROR(__xludf.DUMMYFUNCTION("""COMPUTED_VALUE"""),2624.0)</f>
        <v>2624</v>
      </c>
    </row>
    <row r="1966">
      <c r="A1966" s="4">
        <f>IFERROR(__xludf.DUMMYFUNCTION("""COMPUTED_VALUE"""),44334.0)</f>
        <v>44334</v>
      </c>
      <c r="B1966" s="5">
        <f>IFERROR(__xludf.DUMMYFUNCTION("""COMPUTED_VALUE"""),2624.0)</f>
        <v>2624</v>
      </c>
      <c r="C1966" s="6">
        <f>IFERROR(__xludf.DUMMYFUNCTION("""COMPUTED_VALUE"""),0.4705)</f>
        <v>0.4705</v>
      </c>
      <c r="D1966" s="2">
        <f>IFERROR(__xludf.DUMMYFUNCTION("""COMPUTED_VALUE"""),0.002534722222222222)</f>
        <v>0.002534722222</v>
      </c>
      <c r="E1966" s="1">
        <f>IFERROR(__xludf.DUMMYFUNCTION("""COMPUTED_VALUE"""),1.08)</f>
        <v>1.08</v>
      </c>
      <c r="F1966" s="1">
        <f>IFERROR(__xludf.DUMMYFUNCTION("""COMPUTED_VALUE"""),6.21)</f>
        <v>6.21</v>
      </c>
      <c r="G1966" s="5">
        <f>IFERROR(__xludf.DUMMYFUNCTION("""COMPUTED_VALUE"""),17593.0)</f>
        <v>17593</v>
      </c>
      <c r="H1966" s="5">
        <f>IFERROR(__xludf.DUMMYFUNCTION("""COMPUTED_VALUE"""),2833.0)</f>
        <v>2833</v>
      </c>
    </row>
    <row r="1967">
      <c r="A1967" s="4">
        <f>IFERROR(__xludf.DUMMYFUNCTION("""COMPUTED_VALUE"""),44335.0)</f>
        <v>44335</v>
      </c>
      <c r="B1967" s="5">
        <f>IFERROR(__xludf.DUMMYFUNCTION("""COMPUTED_VALUE"""),2416.0)</f>
        <v>2416</v>
      </c>
      <c r="C1967" s="6">
        <f>IFERROR(__xludf.DUMMYFUNCTION("""COMPUTED_VALUE"""),0.4664)</f>
        <v>0.4664</v>
      </c>
      <c r="D1967" s="2">
        <f>IFERROR(__xludf.DUMMYFUNCTION("""COMPUTED_VALUE"""),0.0023032407407407407)</f>
        <v>0.002303240741</v>
      </c>
      <c r="E1967" s="1">
        <f>IFERROR(__xludf.DUMMYFUNCTION("""COMPUTED_VALUE"""),1.11)</f>
        <v>1.11</v>
      </c>
      <c r="F1967" s="1">
        <f>IFERROR(__xludf.DUMMYFUNCTION("""COMPUTED_VALUE"""),5.18)</f>
        <v>5.18</v>
      </c>
      <c r="G1967" s="5">
        <f>IFERROR(__xludf.DUMMYFUNCTION("""COMPUTED_VALUE"""),13871.0)</f>
        <v>13871</v>
      </c>
      <c r="H1967" s="5">
        <f>IFERROR(__xludf.DUMMYFUNCTION("""COMPUTED_VALUE"""),2680.0)</f>
        <v>2680</v>
      </c>
    </row>
    <row r="1968">
      <c r="A1968" s="4">
        <f>IFERROR(__xludf.DUMMYFUNCTION("""COMPUTED_VALUE"""),44336.0)</f>
        <v>44336</v>
      </c>
      <c r="B1968" s="5">
        <f>IFERROR(__xludf.DUMMYFUNCTION("""COMPUTED_VALUE"""),2555.0)</f>
        <v>2555</v>
      </c>
      <c r="C1968" s="6">
        <f>IFERROR(__xludf.DUMMYFUNCTION("""COMPUTED_VALUE"""),0.4341)</f>
        <v>0.4341</v>
      </c>
      <c r="D1968" s="2">
        <f>IFERROR(__xludf.DUMMYFUNCTION("""COMPUTED_VALUE"""),0.002777777777777778)</f>
        <v>0.002777777778</v>
      </c>
      <c r="E1968" s="1">
        <f>IFERROR(__xludf.DUMMYFUNCTION("""COMPUTED_VALUE"""),1.11)</f>
        <v>1.11</v>
      </c>
      <c r="F1968" s="1">
        <f>IFERROR(__xludf.DUMMYFUNCTION("""COMPUTED_VALUE"""),6.32)</f>
        <v>6.32</v>
      </c>
      <c r="G1968" s="5">
        <f>IFERROR(__xludf.DUMMYFUNCTION("""COMPUTED_VALUE"""),17995.0)</f>
        <v>17995</v>
      </c>
      <c r="H1968" s="5">
        <f>IFERROR(__xludf.DUMMYFUNCTION("""COMPUTED_VALUE"""),2847.0)</f>
        <v>2847</v>
      </c>
    </row>
    <row r="1969">
      <c r="A1969" s="4">
        <f>IFERROR(__xludf.DUMMYFUNCTION("""COMPUTED_VALUE"""),44337.0)</f>
        <v>44337</v>
      </c>
      <c r="B1969" s="5">
        <f>IFERROR(__xludf.DUMMYFUNCTION("""COMPUTED_VALUE"""),2138.0)</f>
        <v>2138</v>
      </c>
      <c r="C1969" s="6">
        <f>IFERROR(__xludf.DUMMYFUNCTION("""COMPUTED_VALUE"""),0.4334)</f>
        <v>0.4334</v>
      </c>
      <c r="D1969" s="2">
        <f>IFERROR(__xludf.DUMMYFUNCTION("""COMPUTED_VALUE"""),0.0026967592592592594)</f>
        <v>0.002696759259</v>
      </c>
      <c r="E1969" s="1">
        <f>IFERROR(__xludf.DUMMYFUNCTION("""COMPUTED_VALUE"""),1.12)</f>
        <v>1.12</v>
      </c>
      <c r="F1969" s="1">
        <f>IFERROR(__xludf.DUMMYFUNCTION("""COMPUTED_VALUE"""),5.9)</f>
        <v>5.9</v>
      </c>
      <c r="G1969" s="5">
        <f>IFERROR(__xludf.DUMMYFUNCTION("""COMPUTED_VALUE"""),14177.0)</f>
        <v>14177</v>
      </c>
      <c r="H1969" s="5">
        <f>IFERROR(__xludf.DUMMYFUNCTION("""COMPUTED_VALUE"""),2402.0)</f>
        <v>2402</v>
      </c>
    </row>
    <row r="1970">
      <c r="A1970" s="4">
        <f>IFERROR(__xludf.DUMMYFUNCTION("""COMPUTED_VALUE"""),44338.0)</f>
        <v>44338</v>
      </c>
      <c r="B1970" s="5">
        <f>IFERROR(__xludf.DUMMYFUNCTION("""COMPUTED_VALUE"""),1305.0)</f>
        <v>1305</v>
      </c>
      <c r="C1970" s="6">
        <f>IFERROR(__xludf.DUMMYFUNCTION("""COMPUTED_VALUE"""),0.606)</f>
        <v>0.606</v>
      </c>
      <c r="D1970" s="2">
        <f>IFERROR(__xludf.DUMMYFUNCTION("""COMPUTED_VALUE"""),0.0013078703703703703)</f>
        <v>0.00130787037</v>
      </c>
      <c r="E1970" s="1">
        <f>IFERROR(__xludf.DUMMYFUNCTION("""COMPUTED_VALUE"""),1.11)</f>
        <v>1.11</v>
      </c>
      <c r="F1970" s="1">
        <f>IFERROR(__xludf.DUMMYFUNCTION("""COMPUTED_VALUE"""),3.6)</f>
        <v>3.6</v>
      </c>
      <c r="G1970" s="5">
        <f>IFERROR(__xludf.DUMMYFUNCTION("""COMPUTED_VALUE"""),5193.0)</f>
        <v>5193</v>
      </c>
      <c r="H1970" s="5">
        <f>IFERROR(__xludf.DUMMYFUNCTION("""COMPUTED_VALUE"""),1444.0)</f>
        <v>1444</v>
      </c>
    </row>
    <row r="1971">
      <c r="A1971" s="4">
        <f>IFERROR(__xludf.DUMMYFUNCTION("""COMPUTED_VALUE"""),44339.0)</f>
        <v>44339</v>
      </c>
      <c r="B1971" s="5">
        <f>IFERROR(__xludf.DUMMYFUNCTION("""COMPUTED_VALUE"""),1500.0)</f>
        <v>1500</v>
      </c>
      <c r="C1971" s="6">
        <f>IFERROR(__xludf.DUMMYFUNCTION("""COMPUTED_VALUE"""),0.5391)</f>
        <v>0.5391</v>
      </c>
      <c r="D1971" s="2">
        <f>IFERROR(__xludf.DUMMYFUNCTION("""COMPUTED_VALUE"""),0.0015162037037037036)</f>
        <v>0.001516203704</v>
      </c>
      <c r="E1971" s="1">
        <f>IFERROR(__xludf.DUMMYFUNCTION("""COMPUTED_VALUE"""),1.06)</f>
        <v>1.06</v>
      </c>
      <c r="F1971" s="1">
        <f>IFERROR(__xludf.DUMMYFUNCTION("""COMPUTED_VALUE"""),4.0)</f>
        <v>4</v>
      </c>
      <c r="G1971" s="5">
        <f>IFERROR(__xludf.DUMMYFUNCTION("""COMPUTED_VALUE"""),6387.0)</f>
        <v>6387</v>
      </c>
      <c r="H1971" s="5">
        <f>IFERROR(__xludf.DUMMYFUNCTION("""COMPUTED_VALUE"""),1597.0)</f>
        <v>1597</v>
      </c>
    </row>
    <row r="1972">
      <c r="A1972" s="4">
        <f>IFERROR(__xludf.DUMMYFUNCTION("""COMPUTED_VALUE"""),44340.0)</f>
        <v>44340</v>
      </c>
      <c r="B1972" s="5">
        <f>IFERROR(__xludf.DUMMYFUNCTION("""COMPUTED_VALUE"""),2236.0)</f>
        <v>2236</v>
      </c>
      <c r="C1972" s="6">
        <f>IFERROR(__xludf.DUMMYFUNCTION("""COMPUTED_VALUE"""),0.4971)</f>
        <v>0.4971</v>
      </c>
      <c r="D1972" s="2">
        <f>IFERROR(__xludf.DUMMYFUNCTION("""COMPUTED_VALUE"""),0.0023032407407407407)</f>
        <v>0.002303240741</v>
      </c>
      <c r="E1972" s="1">
        <f>IFERROR(__xludf.DUMMYFUNCTION("""COMPUTED_VALUE"""),1.07)</f>
        <v>1.07</v>
      </c>
      <c r="F1972" s="1">
        <f>IFERROR(__xludf.DUMMYFUNCTION("""COMPUTED_VALUE"""),4.6)</f>
        <v>4.6</v>
      </c>
      <c r="G1972" s="5">
        <f>IFERROR(__xludf.DUMMYFUNCTION("""COMPUTED_VALUE"""),11053.0)</f>
        <v>11053</v>
      </c>
      <c r="H1972" s="5">
        <f>IFERROR(__xludf.DUMMYFUNCTION("""COMPUTED_VALUE"""),2402.0)</f>
        <v>2402</v>
      </c>
    </row>
    <row r="1973">
      <c r="A1973" s="4">
        <f>IFERROR(__xludf.DUMMYFUNCTION("""COMPUTED_VALUE"""),44341.0)</f>
        <v>44341</v>
      </c>
      <c r="B1973" s="5">
        <f>IFERROR(__xludf.DUMMYFUNCTION("""COMPUTED_VALUE"""),2638.0)</f>
        <v>2638</v>
      </c>
      <c r="C1973" s="6">
        <f>IFERROR(__xludf.DUMMYFUNCTION("""COMPUTED_VALUE"""),0.3817)</f>
        <v>0.3817</v>
      </c>
      <c r="D1973" s="2">
        <f>IFERROR(__xludf.DUMMYFUNCTION("""COMPUTED_VALUE"""),0.0027199074074074074)</f>
        <v>0.002719907407</v>
      </c>
      <c r="E1973" s="1">
        <f>IFERROR(__xludf.DUMMYFUNCTION("""COMPUTED_VALUE"""),1.09)</f>
        <v>1.09</v>
      </c>
      <c r="F1973" s="1">
        <f>IFERROR(__xludf.DUMMYFUNCTION("""COMPUTED_VALUE"""),5.6)</f>
        <v>5.6</v>
      </c>
      <c r="G1973" s="5">
        <f>IFERROR(__xludf.DUMMYFUNCTION("""COMPUTED_VALUE"""),16107.0)</f>
        <v>16107</v>
      </c>
      <c r="H1973" s="5">
        <f>IFERROR(__xludf.DUMMYFUNCTION("""COMPUTED_VALUE"""),2874.0)</f>
        <v>2874</v>
      </c>
    </row>
    <row r="1974">
      <c r="A1974" s="4">
        <f>IFERROR(__xludf.DUMMYFUNCTION("""COMPUTED_VALUE"""),44342.0)</f>
        <v>44342</v>
      </c>
      <c r="B1974" s="5">
        <f>IFERROR(__xludf.DUMMYFUNCTION("""COMPUTED_VALUE"""),2555.0)</f>
        <v>2555</v>
      </c>
      <c r="C1974" s="6">
        <f>IFERROR(__xludf.DUMMYFUNCTION("""COMPUTED_VALUE"""),0.4672)</f>
        <v>0.4672</v>
      </c>
      <c r="D1974" s="2">
        <f>IFERROR(__xludf.DUMMYFUNCTION("""COMPUTED_VALUE"""),0.0023032407407407407)</f>
        <v>0.002303240741</v>
      </c>
      <c r="E1974" s="1">
        <f>IFERROR(__xludf.DUMMYFUNCTION("""COMPUTED_VALUE"""),1.08)</f>
        <v>1.08</v>
      </c>
      <c r="F1974" s="1">
        <f>IFERROR(__xludf.DUMMYFUNCTION("""COMPUTED_VALUE"""),5.27)</f>
        <v>5.27</v>
      </c>
      <c r="G1974" s="5">
        <f>IFERROR(__xludf.DUMMYFUNCTION("""COMPUTED_VALUE"""),14552.0)</f>
        <v>14552</v>
      </c>
      <c r="H1974" s="5">
        <f>IFERROR(__xludf.DUMMYFUNCTION("""COMPUTED_VALUE"""),2763.0)</f>
        <v>2763</v>
      </c>
    </row>
    <row r="1975">
      <c r="A1975" s="4">
        <f>IFERROR(__xludf.DUMMYFUNCTION("""COMPUTED_VALUE"""),44343.0)</f>
        <v>44343</v>
      </c>
      <c r="B1975" s="5">
        <f>IFERROR(__xludf.DUMMYFUNCTION("""COMPUTED_VALUE"""),2319.0)</f>
        <v>2319</v>
      </c>
      <c r="C1975" s="6">
        <f>IFERROR(__xludf.DUMMYFUNCTION("""COMPUTED_VALUE"""),0.4513)</f>
        <v>0.4513</v>
      </c>
      <c r="D1975" s="2">
        <f>IFERROR(__xludf.DUMMYFUNCTION("""COMPUTED_VALUE"""),0.0020949074074074073)</f>
        <v>0.002094907407</v>
      </c>
      <c r="E1975" s="1">
        <f>IFERROR(__xludf.DUMMYFUNCTION("""COMPUTED_VALUE"""),1.17)</f>
        <v>1.17</v>
      </c>
      <c r="F1975" s="1">
        <f>IFERROR(__xludf.DUMMYFUNCTION("""COMPUTED_VALUE"""),4.27)</f>
        <v>4.27</v>
      </c>
      <c r="G1975" s="5">
        <f>IFERROR(__xludf.DUMMYFUNCTION("""COMPUTED_VALUE"""),11567.0)</f>
        <v>11567</v>
      </c>
      <c r="H1975" s="5">
        <f>IFERROR(__xludf.DUMMYFUNCTION("""COMPUTED_VALUE"""),2708.0)</f>
        <v>2708</v>
      </c>
    </row>
    <row r="1976">
      <c r="A1976" s="4">
        <f>IFERROR(__xludf.DUMMYFUNCTION("""COMPUTED_VALUE"""),44344.0)</f>
        <v>44344</v>
      </c>
      <c r="B1976" s="5">
        <f>IFERROR(__xludf.DUMMYFUNCTION("""COMPUTED_VALUE"""),1625.0)</f>
        <v>1625</v>
      </c>
      <c r="C1976" s="6">
        <f>IFERROR(__xludf.DUMMYFUNCTION("""COMPUTED_VALUE"""),0.4729)</f>
        <v>0.4729</v>
      </c>
      <c r="D1976" s="2">
        <f>IFERROR(__xludf.DUMMYFUNCTION("""COMPUTED_VALUE"""),0.0021296296296296298)</f>
        <v>0.00212962963</v>
      </c>
      <c r="E1976" s="1">
        <f>IFERROR(__xludf.DUMMYFUNCTION("""COMPUTED_VALUE"""),1.1)</f>
        <v>1.1</v>
      </c>
      <c r="F1976" s="1">
        <f>IFERROR(__xludf.DUMMYFUNCTION("""COMPUTED_VALUE"""),3.71)</f>
        <v>3.71</v>
      </c>
      <c r="G1976" s="5">
        <f>IFERROR(__xludf.DUMMYFUNCTION("""COMPUTED_VALUE"""),6651.0)</f>
        <v>6651</v>
      </c>
      <c r="H1976" s="5">
        <f>IFERROR(__xludf.DUMMYFUNCTION("""COMPUTED_VALUE"""),1791.0)</f>
        <v>1791</v>
      </c>
    </row>
    <row r="1977">
      <c r="A1977" s="4">
        <f>IFERROR(__xludf.DUMMYFUNCTION("""COMPUTED_VALUE"""),44345.0)</f>
        <v>44345</v>
      </c>
      <c r="B1977" s="5">
        <f>IFERROR(__xludf.DUMMYFUNCTION("""COMPUTED_VALUE"""),1416.0)</f>
        <v>1416</v>
      </c>
      <c r="C1977" s="6">
        <f>IFERROR(__xludf.DUMMYFUNCTION("""COMPUTED_VALUE"""),0.5521)</f>
        <v>0.5521</v>
      </c>
      <c r="D1977" s="2">
        <f>IFERROR(__xludf.DUMMYFUNCTION("""COMPUTED_VALUE"""),0.0026157407407407405)</f>
        <v>0.002615740741</v>
      </c>
      <c r="E1977" s="1">
        <f>IFERROR(__xludf.DUMMYFUNCTION("""COMPUTED_VALUE"""),1.03)</f>
        <v>1.03</v>
      </c>
      <c r="F1977" s="1">
        <f>IFERROR(__xludf.DUMMYFUNCTION("""COMPUTED_VALUE"""),5.15)</f>
        <v>5.15</v>
      </c>
      <c r="G1977" s="5">
        <f>IFERROR(__xludf.DUMMYFUNCTION("""COMPUTED_VALUE"""),7512.0)</f>
        <v>7512</v>
      </c>
      <c r="H1977" s="5">
        <f>IFERROR(__xludf.DUMMYFUNCTION("""COMPUTED_VALUE"""),1458.0)</f>
        <v>1458</v>
      </c>
    </row>
    <row r="1978">
      <c r="A1978" s="4">
        <f>IFERROR(__xludf.DUMMYFUNCTION("""COMPUTED_VALUE"""),44346.0)</f>
        <v>44346</v>
      </c>
      <c r="B1978" s="5">
        <f>IFERROR(__xludf.DUMMYFUNCTION("""COMPUTED_VALUE"""),1375.0)</f>
        <v>1375</v>
      </c>
      <c r="C1978" s="6">
        <f>IFERROR(__xludf.DUMMYFUNCTION("""COMPUTED_VALUE"""),0.482)</f>
        <v>0.482</v>
      </c>
      <c r="D1978" s="2">
        <f>IFERROR(__xludf.DUMMYFUNCTION("""COMPUTED_VALUE"""),0.0022453703703703702)</f>
        <v>0.00224537037</v>
      </c>
      <c r="E1978" s="1">
        <f>IFERROR(__xludf.DUMMYFUNCTION("""COMPUTED_VALUE"""),1.11)</f>
        <v>1.11</v>
      </c>
      <c r="F1978" s="1">
        <f>IFERROR(__xludf.DUMMYFUNCTION("""COMPUTED_VALUE"""),5.55)</f>
        <v>5.55</v>
      </c>
      <c r="G1978" s="5">
        <f>IFERROR(__xludf.DUMMYFUNCTION("""COMPUTED_VALUE"""),8470.0)</f>
        <v>8470</v>
      </c>
      <c r="H1978" s="5">
        <f>IFERROR(__xludf.DUMMYFUNCTION("""COMPUTED_VALUE"""),1527.0)</f>
        <v>1527</v>
      </c>
    </row>
    <row r="1979">
      <c r="A1979" s="4">
        <f>IFERROR(__xludf.DUMMYFUNCTION("""COMPUTED_VALUE"""),44347.0)</f>
        <v>44347</v>
      </c>
      <c r="B1979" s="5">
        <f>IFERROR(__xludf.DUMMYFUNCTION("""COMPUTED_VALUE"""),1652.0)</f>
        <v>1652</v>
      </c>
      <c r="C1979" s="6">
        <f>IFERROR(__xludf.DUMMYFUNCTION("""COMPUTED_VALUE"""),0.4573)</f>
        <v>0.4573</v>
      </c>
      <c r="D1979" s="2">
        <f>IFERROR(__xludf.DUMMYFUNCTION("""COMPUTED_VALUE"""),0.0027083333333333334)</f>
        <v>0.002708333333</v>
      </c>
      <c r="E1979" s="1">
        <f>IFERROR(__xludf.DUMMYFUNCTION("""COMPUTED_VALUE"""),1.08)</f>
        <v>1.08</v>
      </c>
      <c r="F1979" s="1">
        <f>IFERROR(__xludf.DUMMYFUNCTION("""COMPUTED_VALUE"""),5.7)</f>
        <v>5.7</v>
      </c>
      <c r="G1979" s="5">
        <f>IFERROR(__xludf.DUMMYFUNCTION("""COMPUTED_VALUE"""),10206.0)</f>
        <v>10206</v>
      </c>
      <c r="H1979" s="5">
        <f>IFERROR(__xludf.DUMMYFUNCTION("""COMPUTED_VALUE"""),1791.0)</f>
        <v>1791</v>
      </c>
    </row>
    <row r="1980">
      <c r="A1980" s="4">
        <f>IFERROR(__xludf.DUMMYFUNCTION("""COMPUTED_VALUE"""),44348.0)</f>
        <v>44348</v>
      </c>
      <c r="B1980" s="5">
        <f>IFERROR(__xludf.DUMMYFUNCTION("""COMPUTED_VALUE"""),2416.0)</f>
        <v>2416</v>
      </c>
      <c r="C1980" s="6">
        <f>IFERROR(__xludf.DUMMYFUNCTION("""COMPUTED_VALUE"""),0.4622)</f>
        <v>0.4622</v>
      </c>
      <c r="D1980" s="2">
        <f>IFERROR(__xludf.DUMMYFUNCTION("""COMPUTED_VALUE"""),0.002638888888888889)</f>
        <v>0.002638888889</v>
      </c>
      <c r="E1980" s="1">
        <f>IFERROR(__xludf.DUMMYFUNCTION("""COMPUTED_VALUE"""),1.13)</f>
        <v>1.13</v>
      </c>
      <c r="F1980" s="1">
        <f>IFERROR(__xludf.DUMMYFUNCTION("""COMPUTED_VALUE"""),6.57)</f>
        <v>6.57</v>
      </c>
      <c r="G1980" s="5">
        <f>IFERROR(__xludf.DUMMYFUNCTION("""COMPUTED_VALUE"""),17982.0)</f>
        <v>17982</v>
      </c>
      <c r="H1980" s="5">
        <f>IFERROR(__xludf.DUMMYFUNCTION("""COMPUTED_VALUE"""),2735.0)</f>
        <v>2735</v>
      </c>
    </row>
    <row r="1981">
      <c r="A1981" s="4">
        <f>IFERROR(__xludf.DUMMYFUNCTION("""COMPUTED_VALUE"""),44349.0)</f>
        <v>44349</v>
      </c>
      <c r="B1981" s="5">
        <f>IFERROR(__xludf.DUMMYFUNCTION("""COMPUTED_VALUE"""),2277.0)</f>
        <v>2277</v>
      </c>
      <c r="C1981" s="6">
        <f>IFERROR(__xludf.DUMMYFUNCTION("""COMPUTED_VALUE"""),0.4116)</f>
        <v>0.4116</v>
      </c>
      <c r="D1981" s="2">
        <f>IFERROR(__xludf.DUMMYFUNCTION("""COMPUTED_VALUE"""),0.002013888888888889)</f>
        <v>0.002013888889</v>
      </c>
      <c r="E1981" s="1">
        <f>IFERROR(__xludf.DUMMYFUNCTION("""COMPUTED_VALUE"""),1.14)</f>
        <v>1.14</v>
      </c>
      <c r="F1981" s="1">
        <f>IFERROR(__xludf.DUMMYFUNCTION("""COMPUTED_VALUE"""),4.28)</f>
        <v>4.28</v>
      </c>
      <c r="G1981" s="5">
        <f>IFERROR(__xludf.DUMMYFUNCTION("""COMPUTED_VALUE"""),11108.0)</f>
        <v>11108</v>
      </c>
      <c r="H1981" s="5">
        <f>IFERROR(__xludf.DUMMYFUNCTION("""COMPUTED_VALUE"""),2597.0)</f>
        <v>2597</v>
      </c>
    </row>
    <row r="1982">
      <c r="A1982" s="4">
        <f>IFERROR(__xludf.DUMMYFUNCTION("""COMPUTED_VALUE"""),44350.0)</f>
        <v>44350</v>
      </c>
      <c r="B1982" s="5">
        <f>IFERROR(__xludf.DUMMYFUNCTION("""COMPUTED_VALUE"""),2708.0)</f>
        <v>2708</v>
      </c>
      <c r="C1982" s="6">
        <f>IFERROR(__xludf.DUMMYFUNCTION("""COMPUTED_VALUE"""),0.4882)</f>
        <v>0.4882</v>
      </c>
      <c r="D1982" s="2">
        <f>IFERROR(__xludf.DUMMYFUNCTION("""COMPUTED_VALUE"""),0.0018402777777777777)</f>
        <v>0.001840277778</v>
      </c>
      <c r="E1982" s="1">
        <f>IFERROR(__xludf.DUMMYFUNCTION("""COMPUTED_VALUE"""),1.09)</f>
        <v>1.09</v>
      </c>
      <c r="F1982" s="1">
        <f>IFERROR(__xludf.DUMMYFUNCTION("""COMPUTED_VALUE"""),4.16)</f>
        <v>4.16</v>
      </c>
      <c r="G1982" s="5">
        <f>IFERROR(__xludf.DUMMYFUNCTION("""COMPUTED_VALUE"""),12316.0)</f>
        <v>12316</v>
      </c>
      <c r="H1982" s="5">
        <f>IFERROR(__xludf.DUMMYFUNCTION("""COMPUTED_VALUE"""),2958.0)</f>
        <v>2958</v>
      </c>
    </row>
    <row r="1983">
      <c r="A1983" s="4">
        <f>IFERROR(__xludf.DUMMYFUNCTION("""COMPUTED_VALUE"""),44351.0)</f>
        <v>44351</v>
      </c>
      <c r="B1983" s="5">
        <f>IFERROR(__xludf.DUMMYFUNCTION("""COMPUTED_VALUE"""),2222.0)</f>
        <v>2222</v>
      </c>
      <c r="C1983" s="6">
        <f>IFERROR(__xludf.DUMMYFUNCTION("""COMPUTED_VALUE"""),0.4741)</f>
        <v>0.4741</v>
      </c>
      <c r="D1983" s="2">
        <f>IFERROR(__xludf.DUMMYFUNCTION("""COMPUTED_VALUE"""),0.0032523148148148147)</f>
        <v>0.003252314815</v>
      </c>
      <c r="E1983" s="1">
        <f>IFERROR(__xludf.DUMMYFUNCTION("""COMPUTED_VALUE"""),1.09)</f>
        <v>1.09</v>
      </c>
      <c r="F1983" s="1">
        <f>IFERROR(__xludf.DUMMYFUNCTION("""COMPUTED_VALUE"""),5.81)</f>
        <v>5.81</v>
      </c>
      <c r="G1983" s="5">
        <f>IFERROR(__xludf.DUMMYFUNCTION("""COMPUTED_VALUE"""),14121.0)</f>
        <v>14121</v>
      </c>
      <c r="H1983" s="5">
        <f>IFERROR(__xludf.DUMMYFUNCTION("""COMPUTED_VALUE"""),2430.0)</f>
        <v>2430</v>
      </c>
    </row>
    <row r="1984">
      <c r="A1984" s="4">
        <f>IFERROR(__xludf.DUMMYFUNCTION("""COMPUTED_VALUE"""),44352.0)</f>
        <v>44352</v>
      </c>
      <c r="B1984" s="5">
        <f>IFERROR(__xludf.DUMMYFUNCTION("""COMPUTED_VALUE"""),1430.0)</f>
        <v>1430</v>
      </c>
      <c r="C1984" s="6">
        <f>IFERROR(__xludf.DUMMYFUNCTION("""COMPUTED_VALUE"""),0.5087)</f>
        <v>0.5087</v>
      </c>
      <c r="D1984" s="2">
        <f>IFERROR(__xludf.DUMMYFUNCTION("""COMPUTED_VALUE"""),0.0017013888888888888)</f>
        <v>0.001701388889</v>
      </c>
      <c r="E1984" s="1">
        <f>IFERROR(__xludf.DUMMYFUNCTION("""COMPUTED_VALUE"""),1.09)</f>
        <v>1.09</v>
      </c>
      <c r="F1984" s="1">
        <f>IFERROR(__xludf.DUMMYFUNCTION("""COMPUTED_VALUE"""),4.85)</f>
        <v>4.85</v>
      </c>
      <c r="G1984" s="5">
        <f>IFERROR(__xludf.DUMMYFUNCTION("""COMPUTED_VALUE"""),7540.0)</f>
        <v>7540</v>
      </c>
      <c r="H1984" s="5">
        <f>IFERROR(__xludf.DUMMYFUNCTION("""COMPUTED_VALUE"""),1555.0)</f>
        <v>1555</v>
      </c>
    </row>
    <row r="1985">
      <c r="A1985" s="4">
        <f>IFERROR(__xludf.DUMMYFUNCTION("""COMPUTED_VALUE"""),44353.0)</f>
        <v>44353</v>
      </c>
      <c r="B1985" s="5">
        <f>IFERROR(__xludf.DUMMYFUNCTION("""COMPUTED_VALUE"""),1583.0)</f>
        <v>1583</v>
      </c>
      <c r="C1985" s="6">
        <f>IFERROR(__xludf.DUMMYFUNCTION("""COMPUTED_VALUE"""),0.5452)</f>
        <v>0.5452</v>
      </c>
      <c r="D1985" s="2">
        <f>IFERROR(__xludf.DUMMYFUNCTION("""COMPUTED_VALUE"""),0.0018981481481481482)</f>
        <v>0.001898148148</v>
      </c>
      <c r="E1985" s="1">
        <f>IFERROR(__xludf.DUMMYFUNCTION("""COMPUTED_VALUE"""),1.06)</f>
        <v>1.06</v>
      </c>
      <c r="F1985" s="1">
        <f>IFERROR(__xludf.DUMMYFUNCTION("""COMPUTED_VALUE"""),4.52)</f>
        <v>4.52</v>
      </c>
      <c r="G1985" s="5">
        <f>IFERROR(__xludf.DUMMYFUNCTION("""COMPUTED_VALUE"""),7595.0)</f>
        <v>7595</v>
      </c>
      <c r="H1985" s="5">
        <f>IFERROR(__xludf.DUMMYFUNCTION("""COMPUTED_VALUE"""),1680.0)</f>
        <v>1680</v>
      </c>
    </row>
    <row r="1986">
      <c r="A1986" s="4">
        <f>IFERROR(__xludf.DUMMYFUNCTION("""COMPUTED_VALUE"""),44354.0)</f>
        <v>44354</v>
      </c>
      <c r="B1986" s="5">
        <f>IFERROR(__xludf.DUMMYFUNCTION("""COMPUTED_VALUE"""),2430.0)</f>
        <v>2430</v>
      </c>
      <c r="C1986" s="6">
        <f>IFERROR(__xludf.DUMMYFUNCTION("""COMPUTED_VALUE"""),0.492)</f>
        <v>0.492</v>
      </c>
      <c r="D1986" s="2">
        <f>IFERROR(__xludf.DUMMYFUNCTION("""COMPUTED_VALUE"""),0.001724537037037037)</f>
        <v>0.001724537037</v>
      </c>
      <c r="E1986" s="1">
        <f>IFERROR(__xludf.DUMMYFUNCTION("""COMPUTED_VALUE"""),1.08)</f>
        <v>1.08</v>
      </c>
      <c r="F1986" s="1">
        <f>IFERROR(__xludf.DUMMYFUNCTION("""COMPUTED_VALUE"""),4.79)</f>
        <v>4.79</v>
      </c>
      <c r="G1986" s="5">
        <f>IFERROR(__xludf.DUMMYFUNCTION("""COMPUTED_VALUE"""),12566.0)</f>
        <v>12566</v>
      </c>
      <c r="H1986" s="5">
        <f>IFERROR(__xludf.DUMMYFUNCTION("""COMPUTED_VALUE"""),2624.0)</f>
        <v>2624</v>
      </c>
    </row>
    <row r="1987">
      <c r="A1987" s="4">
        <f>IFERROR(__xludf.DUMMYFUNCTION("""COMPUTED_VALUE"""),44355.0)</f>
        <v>44355</v>
      </c>
      <c r="B1987" s="5">
        <f>IFERROR(__xludf.DUMMYFUNCTION("""COMPUTED_VALUE"""),2583.0)</f>
        <v>2583</v>
      </c>
      <c r="C1987" s="6">
        <f>IFERROR(__xludf.DUMMYFUNCTION("""COMPUTED_VALUE"""),0.4759)</f>
        <v>0.4759</v>
      </c>
      <c r="D1987" s="2">
        <f>IFERROR(__xludf.DUMMYFUNCTION("""COMPUTED_VALUE"""),0.002777777777777778)</f>
        <v>0.002777777778</v>
      </c>
      <c r="E1987" s="1">
        <f>IFERROR(__xludf.DUMMYFUNCTION("""COMPUTED_VALUE"""),1.11)</f>
        <v>1.11</v>
      </c>
      <c r="F1987" s="1">
        <f>IFERROR(__xludf.DUMMYFUNCTION("""COMPUTED_VALUE"""),5.14)</f>
        <v>5.14</v>
      </c>
      <c r="G1987" s="5">
        <f>IFERROR(__xludf.DUMMYFUNCTION("""COMPUTED_VALUE"""),14705.0)</f>
        <v>14705</v>
      </c>
      <c r="H1987" s="5">
        <f>IFERROR(__xludf.DUMMYFUNCTION("""COMPUTED_VALUE"""),2860.0)</f>
        <v>2860</v>
      </c>
    </row>
    <row r="1988">
      <c r="A1988" s="4">
        <f>IFERROR(__xludf.DUMMYFUNCTION("""COMPUTED_VALUE"""),44356.0)</f>
        <v>44356</v>
      </c>
      <c r="B1988" s="5">
        <f>IFERROR(__xludf.DUMMYFUNCTION("""COMPUTED_VALUE"""),2361.0)</f>
        <v>2361</v>
      </c>
      <c r="C1988" s="6">
        <f>IFERROR(__xludf.DUMMYFUNCTION("""COMPUTED_VALUE"""),0.4096)</f>
        <v>0.4096</v>
      </c>
      <c r="D1988" s="2">
        <f>IFERROR(__xludf.DUMMYFUNCTION("""COMPUTED_VALUE"""),0.0022800925925925927)</f>
        <v>0.002280092593</v>
      </c>
      <c r="E1988" s="1">
        <f>IFERROR(__xludf.DUMMYFUNCTION("""COMPUTED_VALUE"""),1.11)</f>
        <v>1.11</v>
      </c>
      <c r="F1988" s="1">
        <f>IFERROR(__xludf.DUMMYFUNCTION("""COMPUTED_VALUE"""),4.24)</f>
        <v>4.24</v>
      </c>
      <c r="G1988" s="5">
        <f>IFERROR(__xludf.DUMMYFUNCTION("""COMPUTED_VALUE"""),11067.0)</f>
        <v>11067</v>
      </c>
      <c r="H1988" s="5">
        <f>IFERROR(__xludf.DUMMYFUNCTION("""COMPUTED_VALUE"""),2610.0)</f>
        <v>2610</v>
      </c>
    </row>
    <row r="1989">
      <c r="A1989" s="4">
        <f>IFERROR(__xludf.DUMMYFUNCTION("""COMPUTED_VALUE"""),44357.0)</f>
        <v>44357</v>
      </c>
      <c r="B1989" s="5">
        <f>IFERROR(__xludf.DUMMYFUNCTION("""COMPUTED_VALUE"""),2249.0)</f>
        <v>2249</v>
      </c>
      <c r="C1989" s="6">
        <f>IFERROR(__xludf.DUMMYFUNCTION("""COMPUTED_VALUE"""),0.4161)</f>
        <v>0.4161</v>
      </c>
      <c r="D1989" s="2">
        <f>IFERROR(__xludf.DUMMYFUNCTION("""COMPUTED_VALUE"""),0.0028125)</f>
        <v>0.0028125</v>
      </c>
      <c r="E1989" s="1">
        <f>IFERROR(__xludf.DUMMYFUNCTION("""COMPUTED_VALUE"""),1.14)</f>
        <v>1.14</v>
      </c>
      <c r="F1989" s="1">
        <f>IFERROR(__xludf.DUMMYFUNCTION("""COMPUTED_VALUE"""),5.15)</f>
        <v>5.15</v>
      </c>
      <c r="G1989" s="5">
        <f>IFERROR(__xludf.DUMMYFUNCTION("""COMPUTED_VALUE"""),13233.0)</f>
        <v>13233</v>
      </c>
      <c r="H1989" s="5">
        <f>IFERROR(__xludf.DUMMYFUNCTION("""COMPUTED_VALUE"""),2569.0)</f>
        <v>2569</v>
      </c>
    </row>
    <row r="1990">
      <c r="A1990" s="4">
        <f>IFERROR(__xludf.DUMMYFUNCTION("""COMPUTED_VALUE"""),44358.0)</f>
        <v>44358</v>
      </c>
      <c r="B1990" s="5">
        <f>IFERROR(__xludf.DUMMYFUNCTION("""COMPUTED_VALUE"""),1972.0)</f>
        <v>1972</v>
      </c>
      <c r="C1990" s="6">
        <f>IFERROR(__xludf.DUMMYFUNCTION("""COMPUTED_VALUE"""),0.5096)</f>
        <v>0.5096</v>
      </c>
      <c r="D1990" s="2">
        <f>IFERROR(__xludf.DUMMYFUNCTION("""COMPUTED_VALUE"""),0.002013888888888889)</f>
        <v>0.002013888889</v>
      </c>
      <c r="E1990" s="1">
        <f>IFERROR(__xludf.DUMMYFUNCTION("""COMPUTED_VALUE"""),1.11)</f>
        <v>1.11</v>
      </c>
      <c r="F1990" s="1">
        <f>IFERROR(__xludf.DUMMYFUNCTION("""COMPUTED_VALUE"""),4.75)</f>
        <v>4.75</v>
      </c>
      <c r="G1990" s="5">
        <f>IFERROR(__xludf.DUMMYFUNCTION("""COMPUTED_VALUE"""),10358.0)</f>
        <v>10358</v>
      </c>
      <c r="H1990" s="5">
        <f>IFERROR(__xludf.DUMMYFUNCTION("""COMPUTED_VALUE"""),2180.0)</f>
        <v>2180</v>
      </c>
    </row>
    <row r="1991">
      <c r="A1991" s="4">
        <f>IFERROR(__xludf.DUMMYFUNCTION("""COMPUTED_VALUE"""),44359.0)</f>
        <v>44359</v>
      </c>
      <c r="B1991" s="5">
        <f>IFERROR(__xludf.DUMMYFUNCTION("""COMPUTED_VALUE"""),1361.0)</f>
        <v>1361</v>
      </c>
      <c r="C1991" s="6">
        <f>IFERROR(__xludf.DUMMYFUNCTION("""COMPUTED_VALUE"""),0.5)</f>
        <v>0.5</v>
      </c>
      <c r="D1991" s="2">
        <f>IFERROR(__xludf.DUMMYFUNCTION("""COMPUTED_VALUE"""),0.0014583333333333334)</f>
        <v>0.001458333333</v>
      </c>
      <c r="E1991" s="1">
        <f>IFERROR(__xludf.DUMMYFUNCTION("""COMPUTED_VALUE"""),1.08)</f>
        <v>1.08</v>
      </c>
      <c r="F1991" s="1">
        <f>IFERROR(__xludf.DUMMYFUNCTION("""COMPUTED_VALUE"""),4.92)</f>
        <v>4.92</v>
      </c>
      <c r="G1991" s="5">
        <f>IFERROR(__xludf.DUMMYFUNCTION("""COMPUTED_VALUE"""),7248.0)</f>
        <v>7248</v>
      </c>
      <c r="H1991" s="5">
        <f>IFERROR(__xludf.DUMMYFUNCTION("""COMPUTED_VALUE"""),1472.0)</f>
        <v>1472</v>
      </c>
    </row>
    <row r="1992">
      <c r="A1992" s="4">
        <f>IFERROR(__xludf.DUMMYFUNCTION("""COMPUTED_VALUE"""),44360.0)</f>
        <v>44360</v>
      </c>
      <c r="B1992" s="5">
        <f>IFERROR(__xludf.DUMMYFUNCTION("""COMPUTED_VALUE"""),1527.0)</f>
        <v>1527</v>
      </c>
      <c r="C1992" s="6">
        <f>IFERROR(__xludf.DUMMYFUNCTION("""COMPUTED_VALUE"""),0.5723)</f>
        <v>0.5723</v>
      </c>
      <c r="D1992" s="2">
        <f>IFERROR(__xludf.DUMMYFUNCTION("""COMPUTED_VALUE"""),0.001238425925925926)</f>
        <v>0.001238425926</v>
      </c>
      <c r="E1992" s="1">
        <f>IFERROR(__xludf.DUMMYFUNCTION("""COMPUTED_VALUE"""),1.06)</f>
        <v>1.06</v>
      </c>
      <c r="F1992" s="1">
        <f>IFERROR(__xludf.DUMMYFUNCTION("""COMPUTED_VALUE"""),3.25)</f>
        <v>3.25</v>
      </c>
      <c r="G1992" s="5">
        <f>IFERROR(__xludf.DUMMYFUNCTION("""COMPUTED_VALUE"""),5276.0)</f>
        <v>5276</v>
      </c>
      <c r="H1992" s="5">
        <f>IFERROR(__xludf.DUMMYFUNCTION("""COMPUTED_VALUE"""),1625.0)</f>
        <v>1625</v>
      </c>
    </row>
    <row r="1993">
      <c r="A1993" s="4">
        <f>IFERROR(__xludf.DUMMYFUNCTION("""COMPUTED_VALUE"""),44361.0)</f>
        <v>44361</v>
      </c>
      <c r="B1993" s="5">
        <f>IFERROR(__xludf.DUMMYFUNCTION("""COMPUTED_VALUE"""),2305.0)</f>
        <v>2305</v>
      </c>
      <c r="C1993" s="6">
        <f>IFERROR(__xludf.DUMMYFUNCTION("""COMPUTED_VALUE"""),0.466)</f>
        <v>0.466</v>
      </c>
      <c r="D1993" s="2">
        <f>IFERROR(__xludf.DUMMYFUNCTION("""COMPUTED_VALUE"""),0.001736111111111111)</f>
        <v>0.001736111111</v>
      </c>
      <c r="E1993" s="1">
        <f>IFERROR(__xludf.DUMMYFUNCTION("""COMPUTED_VALUE"""),1.07)</f>
        <v>1.07</v>
      </c>
      <c r="F1993" s="1">
        <f>IFERROR(__xludf.DUMMYFUNCTION("""COMPUTED_VALUE"""),4.67)</f>
        <v>4.67</v>
      </c>
      <c r="G1993" s="5">
        <f>IFERROR(__xludf.DUMMYFUNCTION("""COMPUTED_VALUE"""),11553.0)</f>
        <v>11553</v>
      </c>
      <c r="H1993" s="5">
        <f>IFERROR(__xludf.DUMMYFUNCTION("""COMPUTED_VALUE"""),2472.0)</f>
        <v>2472</v>
      </c>
    </row>
    <row r="1994">
      <c r="A1994" s="4">
        <f>IFERROR(__xludf.DUMMYFUNCTION("""COMPUTED_VALUE"""),44362.0)</f>
        <v>44362</v>
      </c>
      <c r="B1994" s="5">
        <f>IFERROR(__xludf.DUMMYFUNCTION("""COMPUTED_VALUE"""),2527.0)</f>
        <v>2527</v>
      </c>
      <c r="C1994" s="6">
        <f>IFERROR(__xludf.DUMMYFUNCTION("""COMPUTED_VALUE"""),0.4926)</f>
        <v>0.4926</v>
      </c>
      <c r="D1994" s="2">
        <f>IFERROR(__xludf.DUMMYFUNCTION("""COMPUTED_VALUE"""),0.0015509259259259259)</f>
        <v>0.001550925926</v>
      </c>
      <c r="E1994" s="1">
        <f>IFERROR(__xludf.DUMMYFUNCTION("""COMPUTED_VALUE"""),1.09)</f>
        <v>1.09</v>
      </c>
      <c r="F1994" s="1">
        <f>IFERROR(__xludf.DUMMYFUNCTION("""COMPUTED_VALUE"""),4.26)</f>
        <v>4.26</v>
      </c>
      <c r="G1994" s="5">
        <f>IFERROR(__xludf.DUMMYFUNCTION("""COMPUTED_VALUE"""),11761.0)</f>
        <v>11761</v>
      </c>
      <c r="H1994" s="5">
        <f>IFERROR(__xludf.DUMMYFUNCTION("""COMPUTED_VALUE"""),2763.0)</f>
        <v>2763</v>
      </c>
    </row>
    <row r="1995">
      <c r="A1995" s="4">
        <f>IFERROR(__xludf.DUMMYFUNCTION("""COMPUTED_VALUE"""),44363.0)</f>
        <v>44363</v>
      </c>
      <c r="B1995" s="5">
        <f>IFERROR(__xludf.DUMMYFUNCTION("""COMPUTED_VALUE"""),2472.0)</f>
        <v>2472</v>
      </c>
      <c r="C1995" s="6">
        <f>IFERROR(__xludf.DUMMYFUNCTION("""COMPUTED_VALUE"""),0.5)</f>
        <v>0.5</v>
      </c>
      <c r="D1995" s="2">
        <f>IFERROR(__xludf.DUMMYFUNCTION("""COMPUTED_VALUE"""),0.001979166666666667)</f>
        <v>0.001979166667</v>
      </c>
      <c r="E1995" s="1">
        <f>IFERROR(__xludf.DUMMYFUNCTION("""COMPUTED_VALUE"""),1.07)</f>
        <v>1.07</v>
      </c>
      <c r="F1995" s="1">
        <f>IFERROR(__xludf.DUMMYFUNCTION("""COMPUTED_VALUE"""),5.0)</f>
        <v>5</v>
      </c>
      <c r="G1995" s="5">
        <f>IFERROR(__xludf.DUMMYFUNCTION("""COMPUTED_VALUE"""),13191.0)</f>
        <v>13191</v>
      </c>
      <c r="H1995" s="5">
        <f>IFERROR(__xludf.DUMMYFUNCTION("""COMPUTED_VALUE"""),2638.0)</f>
        <v>2638</v>
      </c>
    </row>
    <row r="1996">
      <c r="A1996" s="4">
        <f>IFERROR(__xludf.DUMMYFUNCTION("""COMPUTED_VALUE"""),44364.0)</f>
        <v>44364</v>
      </c>
      <c r="B1996" s="5">
        <f>IFERROR(__xludf.DUMMYFUNCTION("""COMPUTED_VALUE"""),2485.0)</f>
        <v>2485</v>
      </c>
      <c r="C1996" s="6">
        <f>IFERROR(__xludf.DUMMYFUNCTION("""COMPUTED_VALUE"""),0.4372)</f>
        <v>0.4372</v>
      </c>
      <c r="D1996" s="2">
        <f>IFERROR(__xludf.DUMMYFUNCTION("""COMPUTED_VALUE"""),0.002638888888888889)</f>
        <v>0.002638888889</v>
      </c>
      <c r="E1996" s="1">
        <f>IFERROR(__xludf.DUMMYFUNCTION("""COMPUTED_VALUE"""),1.11)</f>
        <v>1.11</v>
      </c>
      <c r="F1996" s="1">
        <f>IFERROR(__xludf.DUMMYFUNCTION("""COMPUTED_VALUE"""),5.38)</f>
        <v>5.38</v>
      </c>
      <c r="G1996" s="5">
        <f>IFERROR(__xludf.DUMMYFUNCTION("""COMPUTED_VALUE"""),14857.0)</f>
        <v>14857</v>
      </c>
      <c r="H1996" s="5">
        <f>IFERROR(__xludf.DUMMYFUNCTION("""COMPUTED_VALUE"""),2763.0)</f>
        <v>2763</v>
      </c>
    </row>
    <row r="1997">
      <c r="A1997" s="4">
        <f>IFERROR(__xludf.DUMMYFUNCTION("""COMPUTED_VALUE"""),44365.0)</f>
        <v>44365</v>
      </c>
      <c r="B1997" s="5">
        <f>IFERROR(__xludf.DUMMYFUNCTION("""COMPUTED_VALUE"""),1930.0)</f>
        <v>1930</v>
      </c>
      <c r="C1997" s="6">
        <f>IFERROR(__xludf.DUMMYFUNCTION("""COMPUTED_VALUE"""),0.4901)</f>
        <v>0.4901</v>
      </c>
      <c r="D1997" s="2">
        <f>IFERROR(__xludf.DUMMYFUNCTION("""COMPUTED_VALUE"""),0.0013310185185185185)</f>
        <v>0.001331018519</v>
      </c>
      <c r="E1997" s="1">
        <f>IFERROR(__xludf.DUMMYFUNCTION("""COMPUTED_VALUE"""),1.07)</f>
        <v>1.07</v>
      </c>
      <c r="F1997" s="1">
        <f>IFERROR(__xludf.DUMMYFUNCTION("""COMPUTED_VALUE"""),4.01)</f>
        <v>4.01</v>
      </c>
      <c r="G1997" s="5">
        <f>IFERROR(__xludf.DUMMYFUNCTION("""COMPUTED_VALUE"""),8303.0)</f>
        <v>8303</v>
      </c>
      <c r="H1997" s="5">
        <f>IFERROR(__xludf.DUMMYFUNCTION("""COMPUTED_VALUE"""),2069.0)</f>
        <v>2069</v>
      </c>
    </row>
    <row r="1998">
      <c r="A1998" s="4">
        <f>IFERROR(__xludf.DUMMYFUNCTION("""COMPUTED_VALUE"""),44366.0)</f>
        <v>44366</v>
      </c>
      <c r="B1998" s="5">
        <f>IFERROR(__xludf.DUMMYFUNCTION("""COMPUTED_VALUE"""),1319.0)</f>
        <v>1319</v>
      </c>
      <c r="C1998" s="6">
        <f>IFERROR(__xludf.DUMMYFUNCTION("""COMPUTED_VALUE"""),0.4657)</f>
        <v>0.4657</v>
      </c>
      <c r="D1998" s="2">
        <f>IFERROR(__xludf.DUMMYFUNCTION("""COMPUTED_VALUE"""),0.002916666666666667)</f>
        <v>0.002916666667</v>
      </c>
      <c r="E1998" s="1">
        <f>IFERROR(__xludf.DUMMYFUNCTION("""COMPUTED_VALUE"""),1.08)</f>
        <v>1.08</v>
      </c>
      <c r="F1998" s="1">
        <f>IFERROR(__xludf.DUMMYFUNCTION("""COMPUTED_VALUE"""),5.4)</f>
        <v>5.4</v>
      </c>
      <c r="G1998" s="5">
        <f>IFERROR(__xludf.DUMMYFUNCTION("""COMPUTED_VALUE"""),7720.0)</f>
        <v>7720</v>
      </c>
      <c r="H1998" s="5">
        <f>IFERROR(__xludf.DUMMYFUNCTION("""COMPUTED_VALUE"""),1430.0)</f>
        <v>1430</v>
      </c>
    </row>
    <row r="1999">
      <c r="A1999" s="4">
        <f>IFERROR(__xludf.DUMMYFUNCTION("""COMPUTED_VALUE"""),44367.0)</f>
        <v>44367</v>
      </c>
      <c r="B1999" s="5">
        <f>IFERROR(__xludf.DUMMYFUNCTION("""COMPUTED_VALUE"""),1500.0)</f>
        <v>1500</v>
      </c>
      <c r="C1999" s="6">
        <f>IFERROR(__xludf.DUMMYFUNCTION("""COMPUTED_VALUE"""),0.5592)</f>
        <v>0.5592</v>
      </c>
      <c r="D1999" s="2">
        <f>IFERROR(__xludf.DUMMYFUNCTION("""COMPUTED_VALUE"""),0.0010300925925925926)</f>
        <v>0.001030092593</v>
      </c>
      <c r="E1999" s="1">
        <f>IFERROR(__xludf.DUMMYFUNCTION("""COMPUTED_VALUE"""),1.09)</f>
        <v>1.09</v>
      </c>
      <c r="F1999" s="1">
        <f>IFERROR(__xludf.DUMMYFUNCTION("""COMPUTED_VALUE"""),5.15)</f>
        <v>5.15</v>
      </c>
      <c r="G1999" s="5">
        <f>IFERROR(__xludf.DUMMYFUNCTION("""COMPUTED_VALUE"""),8442.0)</f>
        <v>8442</v>
      </c>
      <c r="H1999" s="5">
        <f>IFERROR(__xludf.DUMMYFUNCTION("""COMPUTED_VALUE"""),1638.0)</f>
        <v>1638</v>
      </c>
    </row>
    <row r="2000">
      <c r="A2000" s="4">
        <f>IFERROR(__xludf.DUMMYFUNCTION("""COMPUTED_VALUE"""),44368.0)</f>
        <v>44368</v>
      </c>
      <c r="B2000" s="5">
        <f>IFERROR(__xludf.DUMMYFUNCTION("""COMPUTED_VALUE"""),2347.0)</f>
        <v>2347</v>
      </c>
      <c r="C2000" s="6">
        <f>IFERROR(__xludf.DUMMYFUNCTION("""COMPUTED_VALUE"""),0.4348)</f>
        <v>0.4348</v>
      </c>
      <c r="D2000" s="2">
        <f>IFERROR(__xludf.DUMMYFUNCTION("""COMPUTED_VALUE"""),0.002534722222222222)</f>
        <v>0.002534722222</v>
      </c>
      <c r="E2000" s="1">
        <f>IFERROR(__xludf.DUMMYFUNCTION("""COMPUTED_VALUE"""),1.09)</f>
        <v>1.09</v>
      </c>
      <c r="F2000" s="1">
        <f>IFERROR(__xludf.DUMMYFUNCTION("""COMPUTED_VALUE"""),5.86)</f>
        <v>5.86</v>
      </c>
      <c r="G2000" s="5">
        <f>IFERROR(__xludf.DUMMYFUNCTION("""COMPUTED_VALUE"""),14982.0)</f>
        <v>14982</v>
      </c>
      <c r="H2000" s="5">
        <f>IFERROR(__xludf.DUMMYFUNCTION("""COMPUTED_VALUE"""),2555.0)</f>
        <v>2555</v>
      </c>
    </row>
    <row r="2001">
      <c r="A2001" s="4">
        <f>IFERROR(__xludf.DUMMYFUNCTION("""COMPUTED_VALUE"""),44369.0)</f>
        <v>44369</v>
      </c>
      <c r="B2001" s="5">
        <f>IFERROR(__xludf.DUMMYFUNCTION("""COMPUTED_VALUE"""),2333.0)</f>
        <v>2333</v>
      </c>
      <c r="C2001" s="6">
        <f>IFERROR(__xludf.DUMMYFUNCTION("""COMPUTED_VALUE"""),0.503)</f>
        <v>0.503</v>
      </c>
      <c r="D2001" s="2">
        <f>IFERROR(__xludf.DUMMYFUNCTION("""COMPUTED_VALUE"""),0.0024189814814814816)</f>
        <v>0.002418981481</v>
      </c>
      <c r="E2001" s="1">
        <f>IFERROR(__xludf.DUMMYFUNCTION("""COMPUTED_VALUE"""),1.07)</f>
        <v>1.07</v>
      </c>
      <c r="F2001" s="1">
        <f>IFERROR(__xludf.DUMMYFUNCTION("""COMPUTED_VALUE"""),5.03)</f>
        <v>5.03</v>
      </c>
      <c r="G2001" s="5">
        <f>IFERROR(__xludf.DUMMYFUNCTION("""COMPUTED_VALUE"""),12511.0)</f>
        <v>12511</v>
      </c>
      <c r="H2001" s="5">
        <f>IFERROR(__xludf.DUMMYFUNCTION("""COMPUTED_VALUE"""),2485.0)</f>
        <v>2485</v>
      </c>
    </row>
    <row r="2002">
      <c r="A2002" s="4">
        <f>IFERROR(__xludf.DUMMYFUNCTION("""COMPUTED_VALUE"""),44370.0)</f>
        <v>44370</v>
      </c>
      <c r="B2002" s="5">
        <f>IFERROR(__xludf.DUMMYFUNCTION("""COMPUTED_VALUE"""),2277.0)</f>
        <v>2277</v>
      </c>
      <c r="C2002" s="6">
        <f>IFERROR(__xludf.DUMMYFUNCTION("""COMPUTED_VALUE"""),0.449)</f>
        <v>0.449</v>
      </c>
      <c r="D2002" s="2">
        <f>IFERROR(__xludf.DUMMYFUNCTION("""COMPUTED_VALUE"""),0.0022337962962962962)</f>
        <v>0.002233796296</v>
      </c>
      <c r="E2002" s="1">
        <f>IFERROR(__xludf.DUMMYFUNCTION("""COMPUTED_VALUE"""),1.14)</f>
        <v>1.14</v>
      </c>
      <c r="F2002" s="1">
        <f>IFERROR(__xludf.DUMMYFUNCTION("""COMPUTED_VALUE"""),4.73)</f>
        <v>4.73</v>
      </c>
      <c r="G2002" s="5">
        <f>IFERROR(__xludf.DUMMYFUNCTION("""COMPUTED_VALUE"""),12275.0)</f>
        <v>12275</v>
      </c>
      <c r="H2002" s="5">
        <f>IFERROR(__xludf.DUMMYFUNCTION("""COMPUTED_VALUE"""),2597.0)</f>
        <v>2597</v>
      </c>
    </row>
    <row r="2003">
      <c r="A2003" s="4">
        <f>IFERROR(__xludf.DUMMYFUNCTION("""COMPUTED_VALUE"""),44371.0)</f>
        <v>44371</v>
      </c>
      <c r="B2003" s="5">
        <f>IFERROR(__xludf.DUMMYFUNCTION("""COMPUTED_VALUE"""),2097.0)</f>
        <v>2097</v>
      </c>
      <c r="C2003" s="6">
        <f>IFERROR(__xludf.DUMMYFUNCTION("""COMPUTED_VALUE"""),0.5225)</f>
        <v>0.5225</v>
      </c>
      <c r="D2003" s="2">
        <f>IFERROR(__xludf.DUMMYFUNCTION("""COMPUTED_VALUE"""),0.0019212962962962964)</f>
        <v>0.001921296296</v>
      </c>
      <c r="E2003" s="1">
        <f>IFERROR(__xludf.DUMMYFUNCTION("""COMPUTED_VALUE"""),1.17)</f>
        <v>1.17</v>
      </c>
      <c r="F2003" s="1">
        <f>IFERROR(__xludf.DUMMYFUNCTION("""COMPUTED_VALUE"""),4.56)</f>
        <v>4.56</v>
      </c>
      <c r="G2003" s="5">
        <f>IFERROR(__xludf.DUMMYFUNCTION("""COMPUTED_VALUE"""),11136.0)</f>
        <v>11136</v>
      </c>
      <c r="H2003" s="5">
        <f>IFERROR(__xludf.DUMMYFUNCTION("""COMPUTED_VALUE"""),2444.0)</f>
        <v>2444</v>
      </c>
    </row>
    <row r="2004">
      <c r="A2004" s="4">
        <f>IFERROR(__xludf.DUMMYFUNCTION("""COMPUTED_VALUE"""),44372.0)</f>
        <v>44372</v>
      </c>
      <c r="B2004" s="5">
        <f>IFERROR(__xludf.DUMMYFUNCTION("""COMPUTED_VALUE"""),1861.0)</f>
        <v>1861</v>
      </c>
      <c r="C2004" s="6">
        <f>IFERROR(__xludf.DUMMYFUNCTION("""COMPUTED_VALUE"""),0.3988)</f>
        <v>0.3988</v>
      </c>
      <c r="D2004" s="2">
        <f>IFERROR(__xludf.DUMMYFUNCTION("""COMPUTED_VALUE"""),0.0029861111111111113)</f>
        <v>0.002986111111</v>
      </c>
      <c r="E2004" s="1">
        <f>IFERROR(__xludf.DUMMYFUNCTION("""COMPUTED_VALUE"""),1.14)</f>
        <v>1.14</v>
      </c>
      <c r="F2004" s="1">
        <f>IFERROR(__xludf.DUMMYFUNCTION("""COMPUTED_VALUE"""),6.41)</f>
        <v>6.41</v>
      </c>
      <c r="G2004" s="5">
        <f>IFERROR(__xludf.DUMMYFUNCTION("""COMPUTED_VALUE"""),13608.0)</f>
        <v>13608</v>
      </c>
      <c r="H2004" s="5">
        <f>IFERROR(__xludf.DUMMYFUNCTION("""COMPUTED_VALUE"""),2124.0)</f>
        <v>2124</v>
      </c>
    </row>
    <row r="2005">
      <c r="A2005" s="4">
        <f>IFERROR(__xludf.DUMMYFUNCTION("""COMPUTED_VALUE"""),44373.0)</f>
        <v>44373</v>
      </c>
      <c r="B2005" s="5">
        <f>IFERROR(__xludf.DUMMYFUNCTION("""COMPUTED_VALUE"""),1375.0)</f>
        <v>1375</v>
      </c>
      <c r="C2005" s="6">
        <f>IFERROR(__xludf.DUMMYFUNCTION("""COMPUTED_VALUE"""),0.6097)</f>
        <v>0.6097</v>
      </c>
      <c r="D2005" s="2">
        <f>IFERROR(__xludf.DUMMYFUNCTION("""COMPUTED_VALUE"""),0.0025578703703703705)</f>
        <v>0.00255787037</v>
      </c>
      <c r="E2005" s="1">
        <f>IFERROR(__xludf.DUMMYFUNCTION("""COMPUTED_VALUE"""),1.06)</f>
        <v>1.06</v>
      </c>
      <c r="F2005" s="1">
        <f>IFERROR(__xludf.DUMMYFUNCTION("""COMPUTED_VALUE"""),4.0)</f>
        <v>4</v>
      </c>
      <c r="G2005" s="5">
        <f>IFERROR(__xludf.DUMMYFUNCTION("""COMPUTED_VALUE"""),5832.0)</f>
        <v>5832</v>
      </c>
      <c r="H2005" s="5">
        <f>IFERROR(__xludf.DUMMYFUNCTION("""COMPUTED_VALUE"""),1458.0)</f>
        <v>1458</v>
      </c>
    </row>
    <row r="2006">
      <c r="A2006" s="4">
        <f>IFERROR(__xludf.DUMMYFUNCTION("""COMPUTED_VALUE"""),44374.0)</f>
        <v>44374</v>
      </c>
      <c r="B2006" s="5">
        <f>IFERROR(__xludf.DUMMYFUNCTION("""COMPUTED_VALUE"""),1402.0)</f>
        <v>1402</v>
      </c>
      <c r="C2006" s="6">
        <f>IFERROR(__xludf.DUMMYFUNCTION("""COMPUTED_VALUE"""),0.5647)</f>
        <v>0.5647</v>
      </c>
      <c r="D2006" s="2">
        <f>IFERROR(__xludf.DUMMYFUNCTION("""COMPUTED_VALUE"""),0.0015393518518518519)</f>
        <v>0.001539351852</v>
      </c>
      <c r="E2006" s="1">
        <f>IFERROR(__xludf.DUMMYFUNCTION("""COMPUTED_VALUE"""),1.07)</f>
        <v>1.07</v>
      </c>
      <c r="F2006" s="1">
        <f>IFERROR(__xludf.DUMMYFUNCTION("""COMPUTED_VALUE"""),3.99)</f>
        <v>3.99</v>
      </c>
      <c r="G2006" s="5">
        <f>IFERROR(__xludf.DUMMYFUNCTION("""COMPUTED_VALUE"""),5985.0)</f>
        <v>5985</v>
      </c>
      <c r="H2006" s="5">
        <f>IFERROR(__xludf.DUMMYFUNCTION("""COMPUTED_VALUE"""),1500.0)</f>
        <v>1500</v>
      </c>
    </row>
    <row r="2007">
      <c r="A2007" s="4">
        <f>IFERROR(__xludf.DUMMYFUNCTION("""COMPUTED_VALUE"""),44375.0)</f>
        <v>44375</v>
      </c>
      <c r="B2007" s="5">
        <f>IFERROR(__xludf.DUMMYFUNCTION("""COMPUTED_VALUE"""),2263.0)</f>
        <v>2263</v>
      </c>
      <c r="C2007" s="6">
        <f>IFERROR(__xludf.DUMMYFUNCTION("""COMPUTED_VALUE"""),0.4702)</f>
        <v>0.4702</v>
      </c>
      <c r="D2007" s="2">
        <f>IFERROR(__xludf.DUMMYFUNCTION("""COMPUTED_VALUE"""),0.0027314814814814814)</f>
        <v>0.002731481481</v>
      </c>
      <c r="E2007" s="1">
        <f>IFERROR(__xludf.DUMMYFUNCTION("""COMPUTED_VALUE"""),1.14)</f>
        <v>1.14</v>
      </c>
      <c r="F2007" s="1">
        <f>IFERROR(__xludf.DUMMYFUNCTION("""COMPUTED_VALUE"""),5.35)</f>
        <v>5.35</v>
      </c>
      <c r="G2007" s="5">
        <f>IFERROR(__xludf.DUMMYFUNCTION("""COMPUTED_VALUE"""),13733.0)</f>
        <v>13733</v>
      </c>
      <c r="H2007" s="5">
        <f>IFERROR(__xludf.DUMMYFUNCTION("""COMPUTED_VALUE"""),2569.0)</f>
        <v>2569</v>
      </c>
    </row>
    <row r="2008">
      <c r="A2008" s="4">
        <f>IFERROR(__xludf.DUMMYFUNCTION("""COMPUTED_VALUE"""),44376.0)</f>
        <v>44376</v>
      </c>
      <c r="B2008" s="5">
        <f>IFERROR(__xludf.DUMMYFUNCTION("""COMPUTED_VALUE"""),2624.0)</f>
        <v>2624</v>
      </c>
      <c r="C2008" s="6">
        <f>IFERROR(__xludf.DUMMYFUNCTION("""COMPUTED_VALUE"""),0.4107)</f>
        <v>0.4107</v>
      </c>
      <c r="D2008" s="2">
        <f>IFERROR(__xludf.DUMMYFUNCTION("""COMPUTED_VALUE"""),0.0018171296296296297)</f>
        <v>0.00181712963</v>
      </c>
      <c r="E2008" s="1">
        <f>IFERROR(__xludf.DUMMYFUNCTION("""COMPUTED_VALUE"""),1.07)</f>
        <v>1.07</v>
      </c>
      <c r="F2008" s="1">
        <f>IFERROR(__xludf.DUMMYFUNCTION("""COMPUTED_VALUE"""),4.39)</f>
        <v>4.39</v>
      </c>
      <c r="G2008" s="5">
        <f>IFERROR(__xludf.DUMMYFUNCTION("""COMPUTED_VALUE"""),12302.0)</f>
        <v>12302</v>
      </c>
      <c r="H2008" s="5">
        <f>IFERROR(__xludf.DUMMYFUNCTION("""COMPUTED_VALUE"""),2805.0)</f>
        <v>2805</v>
      </c>
    </row>
    <row r="2009">
      <c r="A2009" s="4">
        <f>IFERROR(__xludf.DUMMYFUNCTION("""COMPUTED_VALUE"""),44377.0)</f>
        <v>44377</v>
      </c>
      <c r="B2009" s="5">
        <f>IFERROR(__xludf.DUMMYFUNCTION("""COMPUTED_VALUE"""),2208.0)</f>
        <v>2208</v>
      </c>
      <c r="C2009" s="6">
        <f>IFERROR(__xludf.DUMMYFUNCTION("""COMPUTED_VALUE"""),0.4514)</f>
        <v>0.4514</v>
      </c>
      <c r="D2009" s="2">
        <f>IFERROR(__xludf.DUMMYFUNCTION("""COMPUTED_VALUE"""),0.002384259259259259)</f>
        <v>0.002384259259</v>
      </c>
      <c r="E2009" s="1">
        <f>IFERROR(__xludf.DUMMYFUNCTION("""COMPUTED_VALUE"""),1.1)</f>
        <v>1.1</v>
      </c>
      <c r="F2009" s="1">
        <f>IFERROR(__xludf.DUMMYFUNCTION("""COMPUTED_VALUE"""),5.7)</f>
        <v>5.7</v>
      </c>
      <c r="G2009" s="5">
        <f>IFERROR(__xludf.DUMMYFUNCTION("""COMPUTED_VALUE"""),13858.0)</f>
        <v>13858</v>
      </c>
      <c r="H2009" s="5">
        <f>IFERROR(__xludf.DUMMYFUNCTION("""COMPUTED_VALUE"""),2430.0)</f>
        <v>2430</v>
      </c>
    </row>
    <row r="2010">
      <c r="A2010" s="4">
        <f>IFERROR(__xludf.DUMMYFUNCTION("""COMPUTED_VALUE"""),44378.0)</f>
        <v>44378</v>
      </c>
      <c r="B2010" s="5">
        <f>IFERROR(__xludf.DUMMYFUNCTION("""COMPUTED_VALUE"""),2111.0)</f>
        <v>2111</v>
      </c>
      <c r="C2010" s="6">
        <f>IFERROR(__xludf.DUMMYFUNCTION("""COMPUTED_VALUE"""),0.4756)</f>
        <v>0.4756</v>
      </c>
      <c r="D2010" s="2">
        <f>IFERROR(__xludf.DUMMYFUNCTION("""COMPUTED_VALUE"""),0.0023263888888888887)</f>
        <v>0.002326388889</v>
      </c>
      <c r="E2010" s="1">
        <f>IFERROR(__xludf.DUMMYFUNCTION("""COMPUTED_VALUE"""),1.08)</f>
        <v>1.08</v>
      </c>
      <c r="F2010" s="1">
        <f>IFERROR(__xludf.DUMMYFUNCTION("""COMPUTED_VALUE"""),4.19)</f>
        <v>4.19</v>
      </c>
      <c r="G2010" s="5">
        <f>IFERROR(__xludf.DUMMYFUNCTION("""COMPUTED_VALUE"""),9539.0)</f>
        <v>9539</v>
      </c>
      <c r="H2010" s="5">
        <f>IFERROR(__xludf.DUMMYFUNCTION("""COMPUTED_VALUE"""),2277.0)</f>
        <v>2277</v>
      </c>
    </row>
    <row r="2011">
      <c r="A2011" s="4">
        <f>IFERROR(__xludf.DUMMYFUNCTION("""COMPUTED_VALUE"""),44379.0)</f>
        <v>44379</v>
      </c>
      <c r="B2011" s="5">
        <f>IFERROR(__xludf.DUMMYFUNCTION("""COMPUTED_VALUE"""),1861.0)</f>
        <v>1861</v>
      </c>
      <c r="C2011" s="6">
        <f>IFERROR(__xludf.DUMMYFUNCTION("""COMPUTED_VALUE"""),0.469)</f>
        <v>0.469</v>
      </c>
      <c r="D2011" s="2">
        <f>IFERROR(__xludf.DUMMYFUNCTION("""COMPUTED_VALUE"""),0.0023032407407407407)</f>
        <v>0.002303240741</v>
      </c>
      <c r="E2011" s="1">
        <f>IFERROR(__xludf.DUMMYFUNCTION("""COMPUTED_VALUE"""),1.08)</f>
        <v>1.08</v>
      </c>
      <c r="F2011" s="1">
        <f>IFERROR(__xludf.DUMMYFUNCTION("""COMPUTED_VALUE"""),4.51)</f>
        <v>4.51</v>
      </c>
      <c r="G2011" s="5">
        <f>IFERROR(__xludf.DUMMYFUNCTION("""COMPUTED_VALUE"""),9081.0)</f>
        <v>9081</v>
      </c>
      <c r="H2011" s="5">
        <f>IFERROR(__xludf.DUMMYFUNCTION("""COMPUTED_VALUE"""),2013.0)</f>
        <v>2013</v>
      </c>
    </row>
    <row r="2012">
      <c r="A2012" s="4">
        <f>IFERROR(__xludf.DUMMYFUNCTION("""COMPUTED_VALUE"""),44380.0)</f>
        <v>44380</v>
      </c>
      <c r="B2012" s="5">
        <f>IFERROR(__xludf.DUMMYFUNCTION("""COMPUTED_VALUE"""),1180.0)</f>
        <v>1180</v>
      </c>
      <c r="C2012" s="6">
        <f>IFERROR(__xludf.DUMMYFUNCTION("""COMPUTED_VALUE"""),0.5502)</f>
        <v>0.5502</v>
      </c>
      <c r="D2012" s="2">
        <f>IFERROR(__xludf.DUMMYFUNCTION("""COMPUTED_VALUE"""),0.0014236111111111112)</f>
        <v>0.001423611111</v>
      </c>
      <c r="E2012" s="1">
        <f>IFERROR(__xludf.DUMMYFUNCTION("""COMPUTED_VALUE"""),1.05)</f>
        <v>1.05</v>
      </c>
      <c r="F2012" s="1">
        <f>IFERROR(__xludf.DUMMYFUNCTION("""COMPUTED_VALUE"""),6.25)</f>
        <v>6.25</v>
      </c>
      <c r="G2012" s="5">
        <f>IFERROR(__xludf.DUMMYFUNCTION("""COMPUTED_VALUE"""),7720.0)</f>
        <v>7720</v>
      </c>
      <c r="H2012" s="5">
        <f>IFERROR(__xludf.DUMMYFUNCTION("""COMPUTED_VALUE"""),1236.0)</f>
        <v>1236</v>
      </c>
    </row>
    <row r="2013">
      <c r="A2013" s="4">
        <f>IFERROR(__xludf.DUMMYFUNCTION("""COMPUTED_VALUE"""),44381.0)</f>
        <v>44381</v>
      </c>
      <c r="B2013" s="5">
        <f>IFERROR(__xludf.DUMMYFUNCTION("""COMPUTED_VALUE"""),1347.0)</f>
        <v>1347</v>
      </c>
      <c r="C2013" s="6">
        <f>IFERROR(__xludf.DUMMYFUNCTION("""COMPUTED_VALUE"""),0.5469)</f>
        <v>0.5469</v>
      </c>
      <c r="D2013" s="2">
        <f>IFERROR(__xludf.DUMMYFUNCTION("""COMPUTED_VALUE"""),0.0022453703703703702)</f>
        <v>0.00224537037</v>
      </c>
      <c r="E2013" s="1">
        <f>IFERROR(__xludf.DUMMYFUNCTION("""COMPUTED_VALUE"""),1.09)</f>
        <v>1.09</v>
      </c>
      <c r="F2013" s="1">
        <f>IFERROR(__xludf.DUMMYFUNCTION("""COMPUTED_VALUE"""),4.1)</f>
        <v>4.1</v>
      </c>
      <c r="G2013" s="5">
        <f>IFERROR(__xludf.DUMMYFUNCTION("""COMPUTED_VALUE"""),6040.0)</f>
        <v>6040</v>
      </c>
      <c r="H2013" s="5">
        <f>IFERROR(__xludf.DUMMYFUNCTION("""COMPUTED_VALUE"""),1472.0)</f>
        <v>1472</v>
      </c>
    </row>
    <row r="2014">
      <c r="A2014" s="4">
        <f>IFERROR(__xludf.DUMMYFUNCTION("""COMPUTED_VALUE"""),44382.0)</f>
        <v>44382</v>
      </c>
      <c r="B2014" s="5">
        <f>IFERROR(__xludf.DUMMYFUNCTION("""COMPUTED_VALUE"""),1625.0)</f>
        <v>1625</v>
      </c>
      <c r="C2014" s="6">
        <f>IFERROR(__xludf.DUMMYFUNCTION("""COMPUTED_VALUE"""),0.5583)</f>
        <v>0.5583</v>
      </c>
      <c r="D2014" s="2">
        <f>IFERROR(__xludf.DUMMYFUNCTION("""COMPUTED_VALUE"""),0.0019097222222222222)</f>
        <v>0.001909722222</v>
      </c>
      <c r="E2014" s="1">
        <f>IFERROR(__xludf.DUMMYFUNCTION("""COMPUTED_VALUE"""),1.1)</f>
        <v>1.1</v>
      </c>
      <c r="F2014" s="1">
        <f>IFERROR(__xludf.DUMMYFUNCTION("""COMPUTED_VALUE"""),5.82)</f>
        <v>5.82</v>
      </c>
      <c r="G2014" s="5">
        <f>IFERROR(__xludf.DUMMYFUNCTION("""COMPUTED_VALUE"""),10428.0)</f>
        <v>10428</v>
      </c>
      <c r="H2014" s="5">
        <f>IFERROR(__xludf.DUMMYFUNCTION("""COMPUTED_VALUE"""),1791.0)</f>
        <v>1791</v>
      </c>
    </row>
    <row r="2015">
      <c r="A2015" s="4">
        <f>IFERROR(__xludf.DUMMYFUNCTION("""COMPUTED_VALUE"""),44383.0)</f>
        <v>44383</v>
      </c>
      <c r="B2015" s="5">
        <f>IFERROR(__xludf.DUMMYFUNCTION("""COMPUTED_VALUE"""),1791.0)</f>
        <v>1791</v>
      </c>
      <c r="C2015" s="6">
        <f>IFERROR(__xludf.DUMMYFUNCTION("""COMPUTED_VALUE"""),0.5106)</f>
        <v>0.5106</v>
      </c>
      <c r="D2015" s="2">
        <f>IFERROR(__xludf.DUMMYFUNCTION("""COMPUTED_VALUE"""),0.0021064814814814813)</f>
        <v>0.002106481481</v>
      </c>
      <c r="E2015" s="1">
        <f>IFERROR(__xludf.DUMMYFUNCTION("""COMPUTED_VALUE"""),1.11)</f>
        <v>1.11</v>
      </c>
      <c r="F2015" s="1">
        <f>IFERROR(__xludf.DUMMYFUNCTION("""COMPUTED_VALUE"""),4.66)</f>
        <v>4.66</v>
      </c>
      <c r="G2015" s="5">
        <f>IFERROR(__xludf.DUMMYFUNCTION("""COMPUTED_VALUE"""),9248.0)</f>
        <v>9248</v>
      </c>
      <c r="H2015" s="5">
        <f>IFERROR(__xludf.DUMMYFUNCTION("""COMPUTED_VALUE"""),1986.0)</f>
        <v>1986</v>
      </c>
    </row>
    <row r="2016">
      <c r="A2016" s="4">
        <f>IFERROR(__xludf.DUMMYFUNCTION("""COMPUTED_VALUE"""),44384.0)</f>
        <v>44384</v>
      </c>
      <c r="B2016" s="5">
        <f>IFERROR(__xludf.DUMMYFUNCTION("""COMPUTED_VALUE"""),2152.0)</f>
        <v>2152</v>
      </c>
      <c r="C2016" s="6">
        <f>IFERROR(__xludf.DUMMYFUNCTION("""COMPUTED_VALUE"""),0.4522)</f>
        <v>0.4522</v>
      </c>
      <c r="D2016" s="2">
        <f>IFERROR(__xludf.DUMMYFUNCTION("""COMPUTED_VALUE"""),0.002395833333333333)</f>
        <v>0.002395833333</v>
      </c>
      <c r="E2016" s="1">
        <f>IFERROR(__xludf.DUMMYFUNCTION("""COMPUTED_VALUE"""),1.08)</f>
        <v>1.08</v>
      </c>
      <c r="F2016" s="1">
        <f>IFERROR(__xludf.DUMMYFUNCTION("""COMPUTED_VALUE"""),5.2)</f>
        <v>5.2</v>
      </c>
      <c r="G2016" s="5">
        <f>IFERROR(__xludf.DUMMYFUNCTION("""COMPUTED_VALUE"""),12122.0)</f>
        <v>12122</v>
      </c>
      <c r="H2016" s="5">
        <f>IFERROR(__xludf.DUMMYFUNCTION("""COMPUTED_VALUE"""),2333.0)</f>
        <v>2333</v>
      </c>
    </row>
    <row r="2017">
      <c r="A2017" s="4">
        <f>IFERROR(__xludf.DUMMYFUNCTION("""COMPUTED_VALUE"""),44385.0)</f>
        <v>44385</v>
      </c>
      <c r="B2017" s="5">
        <f>IFERROR(__xludf.DUMMYFUNCTION("""COMPUTED_VALUE"""),2666.0)</f>
        <v>2666</v>
      </c>
      <c r="C2017" s="6">
        <f>IFERROR(__xludf.DUMMYFUNCTION("""COMPUTED_VALUE"""),0.4037)</f>
        <v>0.4037</v>
      </c>
      <c r="D2017" s="2">
        <f>IFERROR(__xludf.DUMMYFUNCTION("""COMPUTED_VALUE"""),0.0038078703703703703)</f>
        <v>0.00380787037</v>
      </c>
      <c r="E2017" s="1">
        <f>IFERROR(__xludf.DUMMYFUNCTION("""COMPUTED_VALUE"""),1.11)</f>
        <v>1.11</v>
      </c>
      <c r="F2017" s="1">
        <f>IFERROR(__xludf.DUMMYFUNCTION("""COMPUTED_VALUE"""),6.82)</f>
        <v>6.82</v>
      </c>
      <c r="G2017" s="5">
        <f>IFERROR(__xludf.DUMMYFUNCTION("""COMPUTED_VALUE"""),20175.0)</f>
        <v>20175</v>
      </c>
      <c r="H2017" s="5">
        <f>IFERROR(__xludf.DUMMYFUNCTION("""COMPUTED_VALUE"""),2958.0)</f>
        <v>2958</v>
      </c>
    </row>
    <row r="2018">
      <c r="A2018" s="4">
        <f>IFERROR(__xludf.DUMMYFUNCTION("""COMPUTED_VALUE"""),44386.0)</f>
        <v>44386</v>
      </c>
      <c r="B2018" s="5">
        <f>IFERROR(__xludf.DUMMYFUNCTION("""COMPUTED_VALUE"""),2069.0)</f>
        <v>2069</v>
      </c>
      <c r="C2018" s="6">
        <f>IFERROR(__xludf.DUMMYFUNCTION("""COMPUTED_VALUE"""),0.4078)</f>
        <v>0.4078</v>
      </c>
      <c r="D2018" s="2">
        <f>IFERROR(__xludf.DUMMYFUNCTION("""COMPUTED_VALUE"""),0.0028819444444444444)</f>
        <v>0.002881944444</v>
      </c>
      <c r="E2018" s="1">
        <f>IFERROR(__xludf.DUMMYFUNCTION("""COMPUTED_VALUE"""),1.05)</f>
        <v>1.05</v>
      </c>
      <c r="F2018" s="1">
        <f>IFERROR(__xludf.DUMMYFUNCTION("""COMPUTED_VALUE"""),6.71)</f>
        <v>6.71</v>
      </c>
      <c r="G2018" s="5">
        <f>IFERROR(__xludf.DUMMYFUNCTION("""COMPUTED_VALUE"""),14621.0)</f>
        <v>14621</v>
      </c>
      <c r="H2018" s="5">
        <f>IFERROR(__xludf.DUMMYFUNCTION("""COMPUTED_VALUE"""),2180.0)</f>
        <v>2180</v>
      </c>
    </row>
    <row r="2019">
      <c r="A2019" s="4">
        <f>IFERROR(__xludf.DUMMYFUNCTION("""COMPUTED_VALUE"""),44387.0)</f>
        <v>44387</v>
      </c>
      <c r="B2019" s="5">
        <f>IFERROR(__xludf.DUMMYFUNCTION("""COMPUTED_VALUE"""),1180.0)</f>
        <v>1180</v>
      </c>
      <c r="C2019" s="6">
        <f>IFERROR(__xludf.DUMMYFUNCTION("""COMPUTED_VALUE"""),0.5784)</f>
        <v>0.5784</v>
      </c>
      <c r="D2019" s="2">
        <f>IFERROR(__xludf.DUMMYFUNCTION("""COMPUTED_VALUE"""),0.0014699074074074074)</f>
        <v>0.001469907407</v>
      </c>
      <c r="E2019" s="1">
        <f>IFERROR(__xludf.DUMMYFUNCTION("""COMPUTED_VALUE"""),1.2)</f>
        <v>1.2</v>
      </c>
      <c r="F2019" s="1">
        <f>IFERROR(__xludf.DUMMYFUNCTION("""COMPUTED_VALUE"""),3.56)</f>
        <v>3.56</v>
      </c>
      <c r="G2019" s="5">
        <f>IFERROR(__xludf.DUMMYFUNCTION("""COMPUTED_VALUE"""),5040.0)</f>
        <v>5040</v>
      </c>
      <c r="H2019" s="5">
        <f>IFERROR(__xludf.DUMMYFUNCTION("""COMPUTED_VALUE"""),1416.0)</f>
        <v>1416</v>
      </c>
    </row>
    <row r="2020">
      <c r="A2020" s="4">
        <f>IFERROR(__xludf.DUMMYFUNCTION("""COMPUTED_VALUE"""),44388.0)</f>
        <v>44388</v>
      </c>
      <c r="B2020" s="5">
        <f>IFERROR(__xludf.DUMMYFUNCTION("""COMPUTED_VALUE"""),1416.0)</f>
        <v>1416</v>
      </c>
      <c r="C2020" s="6">
        <f>IFERROR(__xludf.DUMMYFUNCTION("""COMPUTED_VALUE"""),0.524)</f>
        <v>0.524</v>
      </c>
      <c r="D2020" s="2">
        <f>IFERROR(__xludf.DUMMYFUNCTION("""COMPUTED_VALUE"""),0.0018055555555555555)</f>
        <v>0.001805555556</v>
      </c>
      <c r="E2020" s="1">
        <f>IFERROR(__xludf.DUMMYFUNCTION("""COMPUTED_VALUE"""),1.03)</f>
        <v>1.03</v>
      </c>
      <c r="F2020" s="1">
        <f>IFERROR(__xludf.DUMMYFUNCTION("""COMPUTED_VALUE"""),4.41)</f>
        <v>4.41</v>
      </c>
      <c r="G2020" s="5">
        <f>IFERROR(__xludf.DUMMYFUNCTION("""COMPUTED_VALUE"""),6429.0)</f>
        <v>6429</v>
      </c>
      <c r="H2020" s="5">
        <f>IFERROR(__xludf.DUMMYFUNCTION("""COMPUTED_VALUE"""),1458.0)</f>
        <v>1458</v>
      </c>
    </row>
    <row r="2021">
      <c r="A2021" s="4">
        <f>IFERROR(__xludf.DUMMYFUNCTION("""COMPUTED_VALUE"""),44389.0)</f>
        <v>44389</v>
      </c>
      <c r="B2021" s="5">
        <f>IFERROR(__xludf.DUMMYFUNCTION("""COMPUTED_VALUE"""),2277.0)</f>
        <v>2277</v>
      </c>
      <c r="C2021" s="6">
        <f>IFERROR(__xludf.DUMMYFUNCTION("""COMPUTED_VALUE"""),0.4309)</f>
        <v>0.4309</v>
      </c>
      <c r="D2021" s="2">
        <f>IFERROR(__xludf.DUMMYFUNCTION("""COMPUTED_VALUE"""),0.0027546296296296294)</f>
        <v>0.00275462963</v>
      </c>
      <c r="E2021" s="1">
        <f>IFERROR(__xludf.DUMMYFUNCTION("""COMPUTED_VALUE"""),1.06)</f>
        <v>1.06</v>
      </c>
      <c r="F2021" s="1">
        <f>IFERROR(__xludf.DUMMYFUNCTION("""COMPUTED_VALUE"""),4.88)</f>
        <v>4.88</v>
      </c>
      <c r="G2021" s="5">
        <f>IFERROR(__xludf.DUMMYFUNCTION("""COMPUTED_VALUE"""),11789.0)</f>
        <v>11789</v>
      </c>
      <c r="H2021" s="5">
        <f>IFERROR(__xludf.DUMMYFUNCTION("""COMPUTED_VALUE"""),2416.0)</f>
        <v>2416</v>
      </c>
    </row>
    <row r="2022">
      <c r="A2022" s="4">
        <f>IFERROR(__xludf.DUMMYFUNCTION("""COMPUTED_VALUE"""),44390.0)</f>
        <v>44390</v>
      </c>
      <c r="B2022" s="5">
        <f>IFERROR(__xludf.DUMMYFUNCTION("""COMPUTED_VALUE"""),2458.0)</f>
        <v>2458</v>
      </c>
      <c r="C2022" s="6">
        <f>IFERROR(__xludf.DUMMYFUNCTION("""COMPUTED_VALUE"""),0.4682)</f>
        <v>0.4682</v>
      </c>
      <c r="D2022" s="2">
        <f>IFERROR(__xludf.DUMMYFUNCTION("""COMPUTED_VALUE"""),0.0023032407407407407)</f>
        <v>0.002303240741</v>
      </c>
      <c r="E2022" s="1">
        <f>IFERROR(__xludf.DUMMYFUNCTION("""COMPUTED_VALUE"""),1.06)</f>
        <v>1.06</v>
      </c>
      <c r="F2022" s="1">
        <f>IFERROR(__xludf.DUMMYFUNCTION("""COMPUTED_VALUE"""),4.77)</f>
        <v>4.77</v>
      </c>
      <c r="G2022" s="5">
        <f>IFERROR(__xludf.DUMMYFUNCTION("""COMPUTED_VALUE"""),12455.0)</f>
        <v>12455</v>
      </c>
      <c r="H2022" s="5">
        <f>IFERROR(__xludf.DUMMYFUNCTION("""COMPUTED_VALUE"""),2610.0)</f>
        <v>2610</v>
      </c>
    </row>
    <row r="2023">
      <c r="A2023" s="4">
        <f>IFERROR(__xludf.DUMMYFUNCTION("""COMPUTED_VALUE"""),44391.0)</f>
        <v>44391</v>
      </c>
      <c r="B2023" s="5">
        <f>IFERROR(__xludf.DUMMYFUNCTION("""COMPUTED_VALUE"""),2444.0)</f>
        <v>2444</v>
      </c>
      <c r="C2023" s="6">
        <f>IFERROR(__xludf.DUMMYFUNCTION("""COMPUTED_VALUE"""),0.4785)</f>
        <v>0.4785</v>
      </c>
      <c r="D2023" s="2">
        <f>IFERROR(__xludf.DUMMYFUNCTION("""COMPUTED_VALUE"""),0.0015162037037037036)</f>
        <v>0.001516203704</v>
      </c>
      <c r="E2023" s="1">
        <f>IFERROR(__xludf.DUMMYFUNCTION("""COMPUTED_VALUE"""),1.06)</f>
        <v>1.06</v>
      </c>
      <c r="F2023" s="1">
        <f>IFERROR(__xludf.DUMMYFUNCTION("""COMPUTED_VALUE"""),4.15)</f>
        <v>4.15</v>
      </c>
      <c r="G2023" s="5">
        <f>IFERROR(__xludf.DUMMYFUNCTION("""COMPUTED_VALUE"""),10720.0)</f>
        <v>10720</v>
      </c>
      <c r="H2023" s="5">
        <f>IFERROR(__xludf.DUMMYFUNCTION("""COMPUTED_VALUE"""),2583.0)</f>
        <v>2583</v>
      </c>
    </row>
    <row r="2024">
      <c r="A2024" s="4">
        <f>IFERROR(__xludf.DUMMYFUNCTION("""COMPUTED_VALUE"""),44392.0)</f>
        <v>44392</v>
      </c>
      <c r="B2024" s="5">
        <f>IFERROR(__xludf.DUMMYFUNCTION("""COMPUTED_VALUE"""),3402.0)</f>
        <v>3402</v>
      </c>
      <c r="C2024" s="6">
        <f>IFERROR(__xludf.DUMMYFUNCTION("""COMPUTED_VALUE"""),0.4069)</f>
        <v>0.4069</v>
      </c>
      <c r="D2024" s="2">
        <f>IFERROR(__xludf.DUMMYFUNCTION("""COMPUTED_VALUE"""),0.0025925925925925925)</f>
        <v>0.002592592593</v>
      </c>
      <c r="E2024" s="1">
        <f>IFERROR(__xludf.DUMMYFUNCTION("""COMPUTED_VALUE"""),1.09)</f>
        <v>1.09</v>
      </c>
      <c r="F2024" s="1">
        <f>IFERROR(__xludf.DUMMYFUNCTION("""COMPUTED_VALUE"""),6.08)</f>
        <v>6.08</v>
      </c>
      <c r="G2024" s="5">
        <f>IFERROR(__xludf.DUMMYFUNCTION("""COMPUTED_VALUE"""),22633.0)</f>
        <v>22633</v>
      </c>
      <c r="H2024" s="5">
        <f>IFERROR(__xludf.DUMMYFUNCTION("""COMPUTED_VALUE"""),3721.0)</f>
        <v>3721</v>
      </c>
    </row>
    <row r="2025">
      <c r="A2025" s="4">
        <f>IFERROR(__xludf.DUMMYFUNCTION("""COMPUTED_VALUE"""),44393.0)</f>
        <v>44393</v>
      </c>
      <c r="B2025" s="5">
        <f>IFERROR(__xludf.DUMMYFUNCTION("""COMPUTED_VALUE"""),2555.0)</f>
        <v>2555</v>
      </c>
      <c r="C2025" s="6">
        <f>IFERROR(__xludf.DUMMYFUNCTION("""COMPUTED_VALUE"""),0.4484)</f>
        <v>0.4484</v>
      </c>
      <c r="D2025" s="2">
        <f>IFERROR(__xludf.DUMMYFUNCTION("""COMPUTED_VALUE"""),0.0021875)</f>
        <v>0.0021875</v>
      </c>
      <c r="E2025" s="1">
        <f>IFERROR(__xludf.DUMMYFUNCTION("""COMPUTED_VALUE"""),1.1)</f>
        <v>1.1</v>
      </c>
      <c r="F2025" s="1">
        <f>IFERROR(__xludf.DUMMYFUNCTION("""COMPUTED_VALUE"""),5.22)</f>
        <v>5.22</v>
      </c>
      <c r="G2025" s="5">
        <f>IFERROR(__xludf.DUMMYFUNCTION("""COMPUTED_VALUE"""),14705.0)</f>
        <v>14705</v>
      </c>
      <c r="H2025" s="5">
        <f>IFERROR(__xludf.DUMMYFUNCTION("""COMPUTED_VALUE"""),2819.0)</f>
        <v>2819</v>
      </c>
    </row>
    <row r="2026">
      <c r="A2026" s="4">
        <f>IFERROR(__xludf.DUMMYFUNCTION("""COMPUTED_VALUE"""),44394.0)</f>
        <v>44394</v>
      </c>
      <c r="B2026" s="5">
        <f>IFERROR(__xludf.DUMMYFUNCTION("""COMPUTED_VALUE"""),1458.0)</f>
        <v>1458</v>
      </c>
      <c r="C2026" s="6">
        <f>IFERROR(__xludf.DUMMYFUNCTION("""COMPUTED_VALUE"""),0.5398)</f>
        <v>0.5398</v>
      </c>
      <c r="D2026" s="2">
        <f>IFERROR(__xludf.DUMMYFUNCTION("""COMPUTED_VALUE"""),0.0025578703703703705)</f>
        <v>0.00255787037</v>
      </c>
      <c r="E2026" s="1">
        <f>IFERROR(__xludf.DUMMYFUNCTION("""COMPUTED_VALUE"""),1.08)</f>
        <v>1.08</v>
      </c>
      <c r="F2026" s="1">
        <f>IFERROR(__xludf.DUMMYFUNCTION("""COMPUTED_VALUE"""),4.35)</f>
        <v>4.35</v>
      </c>
      <c r="G2026" s="5">
        <f>IFERROR(__xludf.DUMMYFUNCTION("""COMPUTED_VALUE"""),6832.0)</f>
        <v>6832</v>
      </c>
      <c r="H2026" s="5">
        <f>IFERROR(__xludf.DUMMYFUNCTION("""COMPUTED_VALUE"""),1569.0)</f>
        <v>1569</v>
      </c>
    </row>
    <row r="2027">
      <c r="A2027" s="4">
        <f>IFERROR(__xludf.DUMMYFUNCTION("""COMPUTED_VALUE"""),44395.0)</f>
        <v>44395</v>
      </c>
      <c r="B2027" s="5">
        <f>IFERROR(__xludf.DUMMYFUNCTION("""COMPUTED_VALUE"""),1472.0)</f>
        <v>1472</v>
      </c>
      <c r="C2027" s="6">
        <f>IFERROR(__xludf.DUMMYFUNCTION("""COMPUTED_VALUE"""),0.454)</f>
        <v>0.454</v>
      </c>
      <c r="D2027" s="2">
        <f>IFERROR(__xludf.DUMMYFUNCTION("""COMPUTED_VALUE"""),0.0030092592592592593)</f>
        <v>0.003009259259</v>
      </c>
      <c r="E2027" s="1">
        <f>IFERROR(__xludf.DUMMYFUNCTION("""COMPUTED_VALUE"""),1.12)</f>
        <v>1.12</v>
      </c>
      <c r="F2027" s="1">
        <f>IFERROR(__xludf.DUMMYFUNCTION("""COMPUTED_VALUE"""),5.77)</f>
        <v>5.77</v>
      </c>
      <c r="G2027" s="5">
        <f>IFERROR(__xludf.DUMMYFUNCTION("""COMPUTED_VALUE"""),9539.0)</f>
        <v>9539</v>
      </c>
      <c r="H2027" s="5">
        <f>IFERROR(__xludf.DUMMYFUNCTION("""COMPUTED_VALUE"""),1652.0)</f>
        <v>1652</v>
      </c>
    </row>
    <row r="2028">
      <c r="A2028" s="4">
        <f>IFERROR(__xludf.DUMMYFUNCTION("""COMPUTED_VALUE"""),44396.0)</f>
        <v>44396</v>
      </c>
      <c r="B2028" s="5">
        <f>IFERROR(__xludf.DUMMYFUNCTION("""COMPUTED_VALUE"""),4138.0)</f>
        <v>4138</v>
      </c>
      <c r="C2028" s="6">
        <f>IFERROR(__xludf.DUMMYFUNCTION("""COMPUTED_VALUE"""),0.4243)</f>
        <v>0.4243</v>
      </c>
      <c r="D2028" s="2">
        <f>IFERROR(__xludf.DUMMYFUNCTION("""COMPUTED_VALUE"""),0.0017592592592592592)</f>
        <v>0.001759259259</v>
      </c>
      <c r="E2028" s="1">
        <f>IFERROR(__xludf.DUMMYFUNCTION("""COMPUTED_VALUE"""),1.11)</f>
        <v>1.11</v>
      </c>
      <c r="F2028" s="1">
        <f>IFERROR(__xludf.DUMMYFUNCTION("""COMPUTED_VALUE"""),5.17)</f>
        <v>5.17</v>
      </c>
      <c r="G2028" s="5">
        <f>IFERROR(__xludf.DUMMYFUNCTION("""COMPUTED_VALUE"""),23675.0)</f>
        <v>23675</v>
      </c>
      <c r="H2028" s="5">
        <f>IFERROR(__xludf.DUMMYFUNCTION("""COMPUTED_VALUE"""),4582.0)</f>
        <v>4582</v>
      </c>
    </row>
    <row r="2029">
      <c r="A2029" s="4">
        <f>IFERROR(__xludf.DUMMYFUNCTION("""COMPUTED_VALUE"""),44397.0)</f>
        <v>44397</v>
      </c>
      <c r="B2029" s="5">
        <f>IFERROR(__xludf.DUMMYFUNCTION("""COMPUTED_VALUE"""),3416.0)</f>
        <v>3416</v>
      </c>
      <c r="C2029" s="6">
        <f>IFERROR(__xludf.DUMMYFUNCTION("""COMPUTED_VALUE"""),0.4126)</f>
        <v>0.4126</v>
      </c>
      <c r="D2029" s="2">
        <f>IFERROR(__xludf.DUMMYFUNCTION("""COMPUTED_VALUE"""),0.0025694444444444445)</f>
        <v>0.002569444444</v>
      </c>
      <c r="E2029" s="1">
        <f>IFERROR(__xludf.DUMMYFUNCTION("""COMPUTED_VALUE"""),1.09)</f>
        <v>1.09</v>
      </c>
      <c r="F2029" s="1">
        <f>IFERROR(__xludf.DUMMYFUNCTION("""COMPUTED_VALUE"""),5.85)</f>
        <v>5.85</v>
      </c>
      <c r="G2029" s="5">
        <f>IFERROR(__xludf.DUMMYFUNCTION("""COMPUTED_VALUE"""),21842.0)</f>
        <v>21842</v>
      </c>
      <c r="H2029" s="5">
        <f>IFERROR(__xludf.DUMMYFUNCTION("""COMPUTED_VALUE"""),3735.0)</f>
        <v>3735</v>
      </c>
    </row>
    <row r="2030">
      <c r="A2030" s="4">
        <f>IFERROR(__xludf.DUMMYFUNCTION("""COMPUTED_VALUE"""),44398.0)</f>
        <v>44398</v>
      </c>
      <c r="B2030" s="5">
        <f>IFERROR(__xludf.DUMMYFUNCTION("""COMPUTED_VALUE"""),3152.0)</f>
        <v>3152</v>
      </c>
      <c r="C2030" s="6">
        <f>IFERROR(__xludf.DUMMYFUNCTION("""COMPUTED_VALUE"""),0.3755)</f>
        <v>0.3755</v>
      </c>
      <c r="D2030" s="2">
        <f>IFERROR(__xludf.DUMMYFUNCTION("""COMPUTED_VALUE"""),0.0030671296296296297)</f>
        <v>0.00306712963</v>
      </c>
      <c r="E2030" s="1">
        <f>IFERROR(__xludf.DUMMYFUNCTION("""COMPUTED_VALUE"""),1.11)</f>
        <v>1.11</v>
      </c>
      <c r="F2030" s="1">
        <f>IFERROR(__xludf.DUMMYFUNCTION("""COMPUTED_VALUE"""),6.98)</f>
        <v>6.98</v>
      </c>
      <c r="G2030" s="5">
        <f>IFERROR(__xludf.DUMMYFUNCTION("""COMPUTED_VALUE"""),24508.0)</f>
        <v>24508</v>
      </c>
      <c r="H2030" s="5">
        <f>IFERROR(__xludf.DUMMYFUNCTION("""COMPUTED_VALUE"""),3513.0)</f>
        <v>3513</v>
      </c>
    </row>
    <row r="2031">
      <c r="A2031" s="4">
        <f>IFERROR(__xludf.DUMMYFUNCTION("""COMPUTED_VALUE"""),44399.0)</f>
        <v>44399</v>
      </c>
      <c r="B2031" s="5">
        <f>IFERROR(__xludf.DUMMYFUNCTION("""COMPUTED_VALUE"""),3402.0)</f>
        <v>3402</v>
      </c>
      <c r="C2031" s="6">
        <f>IFERROR(__xludf.DUMMYFUNCTION("""COMPUTED_VALUE"""),0.4961)</f>
        <v>0.4961</v>
      </c>
      <c r="D2031" s="2">
        <f>IFERROR(__xludf.DUMMYFUNCTION("""COMPUTED_VALUE"""),0.0016203703703703703)</f>
        <v>0.00162037037</v>
      </c>
      <c r="E2031" s="1">
        <f>IFERROR(__xludf.DUMMYFUNCTION("""COMPUTED_VALUE"""),1.05)</f>
        <v>1.05</v>
      </c>
      <c r="F2031" s="1">
        <f>IFERROR(__xludf.DUMMYFUNCTION("""COMPUTED_VALUE"""),4.3)</f>
        <v>4.3</v>
      </c>
      <c r="G2031" s="5">
        <f>IFERROR(__xludf.DUMMYFUNCTION("""COMPUTED_VALUE"""),15413.0)</f>
        <v>15413</v>
      </c>
      <c r="H2031" s="5">
        <f>IFERROR(__xludf.DUMMYFUNCTION("""COMPUTED_VALUE"""),3582.0)</f>
        <v>3582</v>
      </c>
    </row>
    <row r="2032">
      <c r="A2032" s="4">
        <f>IFERROR(__xludf.DUMMYFUNCTION("""COMPUTED_VALUE"""),44400.0)</f>
        <v>44400</v>
      </c>
      <c r="B2032" s="5">
        <f>IFERROR(__xludf.DUMMYFUNCTION("""COMPUTED_VALUE"""),2027.0)</f>
        <v>2027</v>
      </c>
      <c r="C2032" s="6">
        <f>IFERROR(__xludf.DUMMYFUNCTION("""COMPUTED_VALUE"""),0.441)</f>
        <v>0.441</v>
      </c>
      <c r="D2032" s="2">
        <f>IFERROR(__xludf.DUMMYFUNCTION("""COMPUTED_VALUE"""),0.0023148148148148147)</f>
        <v>0.002314814815</v>
      </c>
      <c r="E2032" s="1">
        <f>IFERROR(__xludf.DUMMYFUNCTION("""COMPUTED_VALUE"""),1.1)</f>
        <v>1.1</v>
      </c>
      <c r="F2032" s="1">
        <f>IFERROR(__xludf.DUMMYFUNCTION("""COMPUTED_VALUE"""),6.1)</f>
        <v>6.1</v>
      </c>
      <c r="G2032" s="5">
        <f>IFERROR(__xludf.DUMMYFUNCTION("""COMPUTED_VALUE"""),13649.0)</f>
        <v>13649</v>
      </c>
      <c r="H2032" s="5">
        <f>IFERROR(__xludf.DUMMYFUNCTION("""COMPUTED_VALUE"""),2236.0)</f>
        <v>2236</v>
      </c>
    </row>
    <row r="2033">
      <c r="A2033" s="4">
        <f>IFERROR(__xludf.DUMMYFUNCTION("""COMPUTED_VALUE"""),44401.0)</f>
        <v>44401</v>
      </c>
      <c r="B2033" s="5">
        <f>IFERROR(__xludf.DUMMYFUNCTION("""COMPUTED_VALUE"""),1375.0)</f>
        <v>1375</v>
      </c>
      <c r="C2033" s="6">
        <f>IFERROR(__xludf.DUMMYFUNCTION("""COMPUTED_VALUE"""),0.5144)</f>
        <v>0.5144</v>
      </c>
      <c r="D2033" s="2">
        <f>IFERROR(__xludf.DUMMYFUNCTION("""COMPUTED_VALUE"""),0.0011226851851851851)</f>
        <v>0.001122685185</v>
      </c>
      <c r="E2033" s="1">
        <f>IFERROR(__xludf.DUMMYFUNCTION("""COMPUTED_VALUE"""),1.06)</f>
        <v>1.06</v>
      </c>
      <c r="F2033" s="1">
        <f>IFERROR(__xludf.DUMMYFUNCTION("""COMPUTED_VALUE"""),4.28)</f>
        <v>4.28</v>
      </c>
      <c r="G2033" s="5">
        <f>IFERROR(__xludf.DUMMYFUNCTION("""COMPUTED_VALUE"""),6235.0)</f>
        <v>6235</v>
      </c>
      <c r="H2033" s="5">
        <f>IFERROR(__xludf.DUMMYFUNCTION("""COMPUTED_VALUE"""),1458.0)</f>
        <v>1458</v>
      </c>
    </row>
    <row r="2034">
      <c r="A2034" s="4">
        <f>IFERROR(__xludf.DUMMYFUNCTION("""COMPUTED_VALUE"""),44402.0)</f>
        <v>44402</v>
      </c>
      <c r="B2034" s="5">
        <f>IFERROR(__xludf.DUMMYFUNCTION("""COMPUTED_VALUE"""),1389.0)</f>
        <v>1389</v>
      </c>
      <c r="C2034" s="6">
        <f>IFERROR(__xludf.DUMMYFUNCTION("""COMPUTED_VALUE"""),0.5553)</f>
        <v>0.5553</v>
      </c>
      <c r="D2034" s="2">
        <f>IFERROR(__xludf.DUMMYFUNCTION("""COMPUTED_VALUE"""),0.0018055555555555555)</f>
        <v>0.001805555556</v>
      </c>
      <c r="E2034" s="1">
        <f>IFERROR(__xludf.DUMMYFUNCTION("""COMPUTED_VALUE"""),1.08)</f>
        <v>1.08</v>
      </c>
      <c r="F2034" s="1">
        <f>IFERROR(__xludf.DUMMYFUNCTION("""COMPUTED_VALUE"""),4.22)</f>
        <v>4.22</v>
      </c>
      <c r="G2034" s="5">
        <f>IFERROR(__xludf.DUMMYFUNCTION("""COMPUTED_VALUE"""),6332.0)</f>
        <v>6332</v>
      </c>
      <c r="H2034" s="5">
        <f>IFERROR(__xludf.DUMMYFUNCTION("""COMPUTED_VALUE"""),1500.0)</f>
        <v>1500</v>
      </c>
    </row>
    <row r="2035">
      <c r="A2035" s="4">
        <f>IFERROR(__xludf.DUMMYFUNCTION("""COMPUTED_VALUE"""),44403.0)</f>
        <v>44403</v>
      </c>
      <c r="B2035" s="5">
        <f>IFERROR(__xludf.DUMMYFUNCTION("""COMPUTED_VALUE"""),2888.0)</f>
        <v>2888</v>
      </c>
      <c r="C2035" s="6">
        <f>IFERROR(__xludf.DUMMYFUNCTION("""COMPUTED_VALUE"""),0.3659)</f>
        <v>0.3659</v>
      </c>
      <c r="D2035" s="2">
        <f>IFERROR(__xludf.DUMMYFUNCTION("""COMPUTED_VALUE"""),0.002384259259259259)</f>
        <v>0.002384259259</v>
      </c>
      <c r="E2035" s="1">
        <f>IFERROR(__xludf.DUMMYFUNCTION("""COMPUTED_VALUE"""),1.13)</f>
        <v>1.13</v>
      </c>
      <c r="F2035" s="1">
        <f>IFERROR(__xludf.DUMMYFUNCTION("""COMPUTED_VALUE"""),5.31)</f>
        <v>5.31</v>
      </c>
      <c r="G2035" s="5">
        <f>IFERROR(__xludf.DUMMYFUNCTION("""COMPUTED_VALUE"""),17315.0)</f>
        <v>17315</v>
      </c>
      <c r="H2035" s="5">
        <f>IFERROR(__xludf.DUMMYFUNCTION("""COMPUTED_VALUE"""),3263.0)</f>
        <v>3263</v>
      </c>
    </row>
    <row r="2036">
      <c r="A2036" s="4">
        <f>IFERROR(__xludf.DUMMYFUNCTION("""COMPUTED_VALUE"""),44404.0)</f>
        <v>44404</v>
      </c>
      <c r="B2036" s="5">
        <f>IFERROR(__xludf.DUMMYFUNCTION("""COMPUTED_VALUE"""),2388.0)</f>
        <v>2388</v>
      </c>
      <c r="C2036" s="6">
        <f>IFERROR(__xludf.DUMMYFUNCTION("""COMPUTED_VALUE"""),0.4484)</f>
        <v>0.4484</v>
      </c>
      <c r="D2036" s="2">
        <f>IFERROR(__xludf.DUMMYFUNCTION("""COMPUTED_VALUE"""),0.0030555555555555557)</f>
        <v>0.003055555556</v>
      </c>
      <c r="E2036" s="1">
        <f>IFERROR(__xludf.DUMMYFUNCTION("""COMPUTED_VALUE"""),1.13)</f>
        <v>1.13</v>
      </c>
      <c r="F2036" s="1">
        <f>IFERROR(__xludf.DUMMYFUNCTION("""COMPUTED_VALUE"""),6.93)</f>
        <v>6.93</v>
      </c>
      <c r="G2036" s="5">
        <f>IFERROR(__xludf.DUMMYFUNCTION("""COMPUTED_VALUE"""),18662.0)</f>
        <v>18662</v>
      </c>
      <c r="H2036" s="5">
        <f>IFERROR(__xludf.DUMMYFUNCTION("""COMPUTED_VALUE"""),2694.0)</f>
        <v>2694</v>
      </c>
    </row>
    <row r="2037">
      <c r="A2037" s="4">
        <f>IFERROR(__xludf.DUMMYFUNCTION("""COMPUTED_VALUE"""),44405.0)</f>
        <v>44405</v>
      </c>
      <c r="B2037" s="5">
        <f>IFERROR(__xludf.DUMMYFUNCTION("""COMPUTED_VALUE"""),2416.0)</f>
        <v>2416</v>
      </c>
      <c r="C2037" s="6">
        <f>IFERROR(__xludf.DUMMYFUNCTION("""COMPUTED_VALUE"""),0.4685)</f>
        <v>0.4685</v>
      </c>
      <c r="D2037" s="2">
        <f>IFERROR(__xludf.DUMMYFUNCTION("""COMPUTED_VALUE"""),0.0016550925925925926)</f>
        <v>0.001655092593</v>
      </c>
      <c r="E2037" s="1">
        <f>IFERROR(__xludf.DUMMYFUNCTION("""COMPUTED_VALUE"""),1.09)</f>
        <v>1.09</v>
      </c>
      <c r="F2037" s="1">
        <f>IFERROR(__xludf.DUMMYFUNCTION("""COMPUTED_VALUE"""),4.45)</f>
        <v>4.45</v>
      </c>
      <c r="G2037" s="5">
        <f>IFERROR(__xludf.DUMMYFUNCTION("""COMPUTED_VALUE"""),11747.0)</f>
        <v>11747</v>
      </c>
      <c r="H2037" s="5">
        <f>IFERROR(__xludf.DUMMYFUNCTION("""COMPUTED_VALUE"""),2638.0)</f>
        <v>2638</v>
      </c>
    </row>
    <row r="2038">
      <c r="A2038" s="4">
        <f>IFERROR(__xludf.DUMMYFUNCTION("""COMPUTED_VALUE"""),44406.0)</f>
        <v>44406</v>
      </c>
      <c r="B2038" s="5">
        <f>IFERROR(__xludf.DUMMYFUNCTION("""COMPUTED_VALUE"""),2361.0)</f>
        <v>2361</v>
      </c>
      <c r="C2038" s="6">
        <f>IFERROR(__xludf.DUMMYFUNCTION("""COMPUTED_VALUE"""),0.4379)</f>
        <v>0.4379</v>
      </c>
      <c r="D2038" s="2">
        <f>IFERROR(__xludf.DUMMYFUNCTION("""COMPUTED_VALUE"""),0.0024652777777777776)</f>
        <v>0.002465277778</v>
      </c>
      <c r="E2038" s="1">
        <f>IFERROR(__xludf.DUMMYFUNCTION("""COMPUTED_VALUE"""),1.09)</f>
        <v>1.09</v>
      </c>
      <c r="F2038" s="1">
        <f>IFERROR(__xludf.DUMMYFUNCTION("""COMPUTED_VALUE"""),5.91)</f>
        <v>5.91</v>
      </c>
      <c r="G2038" s="5">
        <f>IFERROR(__xludf.DUMMYFUNCTION("""COMPUTED_VALUE"""),15191.0)</f>
        <v>15191</v>
      </c>
      <c r="H2038" s="5">
        <f>IFERROR(__xludf.DUMMYFUNCTION("""COMPUTED_VALUE"""),2569.0)</f>
        <v>2569</v>
      </c>
    </row>
    <row r="2039">
      <c r="A2039" s="4">
        <f>IFERROR(__xludf.DUMMYFUNCTION("""COMPUTED_VALUE"""),44407.0)</f>
        <v>44407</v>
      </c>
      <c r="B2039" s="5">
        <f>IFERROR(__xludf.DUMMYFUNCTION("""COMPUTED_VALUE"""),1819.0)</f>
        <v>1819</v>
      </c>
      <c r="C2039" s="6">
        <f>IFERROR(__xludf.DUMMYFUNCTION("""COMPUTED_VALUE"""),0.5136)</f>
        <v>0.5136</v>
      </c>
      <c r="D2039" s="2">
        <f>IFERROR(__xludf.DUMMYFUNCTION("""COMPUTED_VALUE"""),0.002511574074074074)</f>
        <v>0.002511574074</v>
      </c>
      <c r="E2039" s="1">
        <f>IFERROR(__xludf.DUMMYFUNCTION("""COMPUTED_VALUE"""),1.11)</f>
        <v>1.11</v>
      </c>
      <c r="F2039" s="1">
        <f>IFERROR(__xludf.DUMMYFUNCTION("""COMPUTED_VALUE"""),5.21)</f>
        <v>5.21</v>
      </c>
      <c r="G2039" s="5">
        <f>IFERROR(__xludf.DUMMYFUNCTION("""COMPUTED_VALUE"""),10553.0)</f>
        <v>10553</v>
      </c>
      <c r="H2039" s="5">
        <f>IFERROR(__xludf.DUMMYFUNCTION("""COMPUTED_VALUE"""),2027.0)</f>
        <v>2027</v>
      </c>
    </row>
    <row r="2040">
      <c r="A2040" s="4">
        <f>IFERROR(__xludf.DUMMYFUNCTION("""COMPUTED_VALUE"""),44408.0)</f>
        <v>44408</v>
      </c>
      <c r="B2040" s="5">
        <f>IFERROR(__xludf.DUMMYFUNCTION("""COMPUTED_VALUE"""),1097.0)</f>
        <v>1097</v>
      </c>
      <c r="C2040" s="6">
        <f>IFERROR(__xludf.DUMMYFUNCTION("""COMPUTED_VALUE"""),0.5955)</f>
        <v>0.5955</v>
      </c>
      <c r="D2040" s="2">
        <f>IFERROR(__xludf.DUMMYFUNCTION("""COMPUTED_VALUE"""),0.0018055555555555555)</f>
        <v>0.001805555556</v>
      </c>
      <c r="E2040" s="1">
        <f>IFERROR(__xludf.DUMMYFUNCTION("""COMPUTED_VALUE"""),1.13)</f>
        <v>1.13</v>
      </c>
      <c r="F2040" s="1">
        <f>IFERROR(__xludf.DUMMYFUNCTION("""COMPUTED_VALUE"""),3.49)</f>
        <v>3.49</v>
      </c>
      <c r="G2040" s="5">
        <f>IFERROR(__xludf.DUMMYFUNCTION("""COMPUTED_VALUE"""),4318.0)</f>
        <v>4318</v>
      </c>
      <c r="H2040" s="5">
        <f>IFERROR(__xludf.DUMMYFUNCTION("""COMPUTED_VALUE"""),1236.0)</f>
        <v>1236</v>
      </c>
    </row>
    <row r="2041">
      <c r="A2041" s="4">
        <f>IFERROR(__xludf.DUMMYFUNCTION("""COMPUTED_VALUE"""),44409.0)</f>
        <v>44409</v>
      </c>
      <c r="B2041" s="5">
        <f>IFERROR(__xludf.DUMMYFUNCTION("""COMPUTED_VALUE"""),1402.0)</f>
        <v>1402</v>
      </c>
      <c r="C2041" s="6">
        <f>IFERROR(__xludf.DUMMYFUNCTION("""COMPUTED_VALUE"""),0.5315)</f>
        <v>0.5315</v>
      </c>
      <c r="D2041" s="2">
        <f>IFERROR(__xludf.DUMMYFUNCTION("""COMPUTED_VALUE"""),0.0015046296296296296)</f>
        <v>0.00150462963</v>
      </c>
      <c r="E2041" s="1">
        <f>IFERROR(__xludf.DUMMYFUNCTION("""COMPUTED_VALUE"""),1.1)</f>
        <v>1.1</v>
      </c>
      <c r="F2041" s="1">
        <f>IFERROR(__xludf.DUMMYFUNCTION("""COMPUTED_VALUE"""),4.07)</f>
        <v>4.07</v>
      </c>
      <c r="G2041" s="5">
        <f>IFERROR(__xludf.DUMMYFUNCTION("""COMPUTED_VALUE"""),6276.0)</f>
        <v>6276</v>
      </c>
      <c r="H2041" s="5">
        <f>IFERROR(__xludf.DUMMYFUNCTION("""COMPUTED_VALUE"""),1541.0)</f>
        <v>1541</v>
      </c>
    </row>
    <row r="2042">
      <c r="A2042" s="4">
        <f>IFERROR(__xludf.DUMMYFUNCTION("""COMPUTED_VALUE"""),44410.0)</f>
        <v>44410</v>
      </c>
      <c r="B2042" s="5">
        <f>IFERROR(__xludf.DUMMYFUNCTION("""COMPUTED_VALUE"""),2388.0)</f>
        <v>2388</v>
      </c>
      <c r="C2042" s="6">
        <f>IFERROR(__xludf.DUMMYFUNCTION("""COMPUTED_VALUE"""),0.4501)</f>
        <v>0.4501</v>
      </c>
      <c r="D2042" s="2">
        <f>IFERROR(__xludf.DUMMYFUNCTION("""COMPUTED_VALUE"""),0.002025462962962963)</f>
        <v>0.002025462963</v>
      </c>
      <c r="E2042" s="1">
        <f>IFERROR(__xludf.DUMMYFUNCTION("""COMPUTED_VALUE"""),1.16)</f>
        <v>1.16</v>
      </c>
      <c r="F2042" s="1">
        <f>IFERROR(__xludf.DUMMYFUNCTION("""COMPUTED_VALUE"""),5.6)</f>
        <v>5.6</v>
      </c>
      <c r="G2042" s="5">
        <f>IFERROR(__xludf.DUMMYFUNCTION("""COMPUTED_VALUE"""),15538.0)</f>
        <v>15538</v>
      </c>
      <c r="H2042" s="5">
        <f>IFERROR(__xludf.DUMMYFUNCTION("""COMPUTED_VALUE"""),2777.0)</f>
        <v>2777</v>
      </c>
    </row>
    <row r="2043">
      <c r="A2043" s="4">
        <f>IFERROR(__xludf.DUMMYFUNCTION("""COMPUTED_VALUE"""),44411.0)</f>
        <v>44411</v>
      </c>
      <c r="B2043" s="5">
        <f>IFERROR(__xludf.DUMMYFUNCTION("""COMPUTED_VALUE"""),2597.0)</f>
        <v>2597</v>
      </c>
      <c r="C2043" s="6">
        <f>IFERROR(__xludf.DUMMYFUNCTION("""COMPUTED_VALUE"""),0.4434)</f>
        <v>0.4434</v>
      </c>
      <c r="D2043" s="2">
        <f>IFERROR(__xludf.DUMMYFUNCTION("""COMPUTED_VALUE"""),0.0024537037037037036)</f>
        <v>0.002453703704</v>
      </c>
      <c r="E2043" s="1">
        <f>IFERROR(__xludf.DUMMYFUNCTION("""COMPUTED_VALUE"""),1.09)</f>
        <v>1.09</v>
      </c>
      <c r="F2043" s="1">
        <f>IFERROR(__xludf.DUMMYFUNCTION("""COMPUTED_VALUE"""),5.57)</f>
        <v>5.57</v>
      </c>
      <c r="G2043" s="5">
        <f>IFERROR(__xludf.DUMMYFUNCTION("""COMPUTED_VALUE"""),15690.0)</f>
        <v>15690</v>
      </c>
      <c r="H2043" s="5">
        <f>IFERROR(__xludf.DUMMYFUNCTION("""COMPUTED_VALUE"""),2819.0)</f>
        <v>2819</v>
      </c>
    </row>
    <row r="2044">
      <c r="A2044" s="4">
        <f>IFERROR(__xludf.DUMMYFUNCTION("""COMPUTED_VALUE"""),44412.0)</f>
        <v>44412</v>
      </c>
      <c r="B2044" s="5">
        <f>IFERROR(__xludf.DUMMYFUNCTION("""COMPUTED_VALUE"""),2402.0)</f>
        <v>2402</v>
      </c>
      <c r="C2044" s="6">
        <f>IFERROR(__xludf.DUMMYFUNCTION("""COMPUTED_VALUE"""),0.4087)</f>
        <v>0.4087</v>
      </c>
      <c r="D2044" s="2">
        <f>IFERROR(__xludf.DUMMYFUNCTION("""COMPUTED_VALUE"""),0.0030555555555555557)</f>
        <v>0.003055555556</v>
      </c>
      <c r="E2044" s="1">
        <f>IFERROR(__xludf.DUMMYFUNCTION("""COMPUTED_VALUE"""),1.17)</f>
        <v>1.17</v>
      </c>
      <c r="F2044" s="1">
        <f>IFERROR(__xludf.DUMMYFUNCTION("""COMPUTED_VALUE"""),7.04)</f>
        <v>7.04</v>
      </c>
      <c r="G2044" s="5">
        <f>IFERROR(__xludf.DUMMYFUNCTION("""COMPUTED_VALUE"""),19856.0)</f>
        <v>19856</v>
      </c>
      <c r="H2044" s="5">
        <f>IFERROR(__xludf.DUMMYFUNCTION("""COMPUTED_VALUE"""),2819.0)</f>
        <v>2819</v>
      </c>
    </row>
    <row r="2045">
      <c r="A2045" s="4">
        <f>IFERROR(__xludf.DUMMYFUNCTION("""COMPUTED_VALUE"""),44413.0)</f>
        <v>44413</v>
      </c>
      <c r="B2045" s="5">
        <f>IFERROR(__xludf.DUMMYFUNCTION("""COMPUTED_VALUE"""),2513.0)</f>
        <v>2513</v>
      </c>
      <c r="C2045" s="6">
        <f>IFERROR(__xludf.DUMMYFUNCTION("""COMPUTED_VALUE"""),0.4606)</f>
        <v>0.4606</v>
      </c>
      <c r="D2045" s="2">
        <f>IFERROR(__xludf.DUMMYFUNCTION("""COMPUTED_VALUE"""),0.0023148148148148147)</f>
        <v>0.002314814815</v>
      </c>
      <c r="E2045" s="1">
        <f>IFERROR(__xludf.DUMMYFUNCTION("""COMPUTED_VALUE"""),1.13)</f>
        <v>1.13</v>
      </c>
      <c r="F2045" s="1">
        <f>IFERROR(__xludf.DUMMYFUNCTION("""COMPUTED_VALUE"""),4.75)</f>
        <v>4.75</v>
      </c>
      <c r="G2045" s="5">
        <f>IFERROR(__xludf.DUMMYFUNCTION("""COMPUTED_VALUE"""),13455.0)</f>
        <v>13455</v>
      </c>
      <c r="H2045" s="5">
        <f>IFERROR(__xludf.DUMMYFUNCTION("""COMPUTED_VALUE"""),2833.0)</f>
        <v>2833</v>
      </c>
    </row>
    <row r="2046">
      <c r="A2046" s="4">
        <f>IFERROR(__xludf.DUMMYFUNCTION("""COMPUTED_VALUE"""),44414.0)</f>
        <v>44414</v>
      </c>
      <c r="B2046" s="5">
        <f>IFERROR(__xludf.DUMMYFUNCTION("""COMPUTED_VALUE"""),2041.0)</f>
        <v>2041</v>
      </c>
      <c r="C2046" s="6">
        <f>IFERROR(__xludf.DUMMYFUNCTION("""COMPUTED_VALUE"""),0.518)</f>
        <v>0.518</v>
      </c>
      <c r="D2046" s="2">
        <f>IFERROR(__xludf.DUMMYFUNCTION("""COMPUTED_VALUE"""),0.002905092592592593)</f>
        <v>0.002905092593</v>
      </c>
      <c r="E2046" s="1">
        <f>IFERROR(__xludf.DUMMYFUNCTION("""COMPUTED_VALUE"""),1.13)</f>
        <v>1.13</v>
      </c>
      <c r="F2046" s="1">
        <f>IFERROR(__xludf.DUMMYFUNCTION("""COMPUTED_VALUE"""),6.1)</f>
        <v>6.1</v>
      </c>
      <c r="G2046" s="5">
        <f>IFERROR(__xludf.DUMMYFUNCTION("""COMPUTED_VALUE"""),14052.0)</f>
        <v>14052</v>
      </c>
      <c r="H2046" s="5">
        <f>IFERROR(__xludf.DUMMYFUNCTION("""COMPUTED_VALUE"""),2305.0)</f>
        <v>2305</v>
      </c>
    </row>
    <row r="2047">
      <c r="A2047" s="4">
        <f>IFERROR(__xludf.DUMMYFUNCTION("""COMPUTED_VALUE"""),44415.0)</f>
        <v>44415</v>
      </c>
      <c r="B2047" s="5">
        <f>IFERROR(__xludf.DUMMYFUNCTION("""COMPUTED_VALUE"""),1319.0)</f>
        <v>1319</v>
      </c>
      <c r="C2047" s="6">
        <f>IFERROR(__xludf.DUMMYFUNCTION("""COMPUTED_VALUE"""),0.5942)</f>
        <v>0.5942</v>
      </c>
      <c r="D2047" s="2">
        <f>IFERROR(__xludf.DUMMYFUNCTION("""COMPUTED_VALUE"""),0.0021759259259259258)</f>
        <v>0.002175925926</v>
      </c>
      <c r="E2047" s="1">
        <f>IFERROR(__xludf.DUMMYFUNCTION("""COMPUTED_VALUE"""),1.06)</f>
        <v>1.06</v>
      </c>
      <c r="F2047" s="1">
        <f>IFERROR(__xludf.DUMMYFUNCTION("""COMPUTED_VALUE"""),3.83)</f>
        <v>3.83</v>
      </c>
      <c r="G2047" s="5">
        <f>IFERROR(__xludf.DUMMYFUNCTION("""COMPUTED_VALUE"""),5374.0)</f>
        <v>5374</v>
      </c>
      <c r="H2047" s="5">
        <f>IFERROR(__xludf.DUMMYFUNCTION("""COMPUTED_VALUE"""),1402.0)</f>
        <v>1402</v>
      </c>
    </row>
    <row r="2048">
      <c r="A2048" s="4">
        <f>IFERROR(__xludf.DUMMYFUNCTION("""COMPUTED_VALUE"""),44416.0)</f>
        <v>44416</v>
      </c>
      <c r="B2048" s="5">
        <f>IFERROR(__xludf.DUMMYFUNCTION("""COMPUTED_VALUE"""),1402.0)</f>
        <v>1402</v>
      </c>
      <c r="C2048" s="6">
        <f>IFERROR(__xludf.DUMMYFUNCTION("""COMPUTED_VALUE"""),0.4813)</f>
        <v>0.4813</v>
      </c>
      <c r="D2048" s="2">
        <f>IFERROR(__xludf.DUMMYFUNCTION("""COMPUTED_VALUE"""),0.002361111111111111)</f>
        <v>0.002361111111</v>
      </c>
      <c r="E2048" s="1">
        <f>IFERROR(__xludf.DUMMYFUNCTION("""COMPUTED_VALUE"""),1.07)</f>
        <v>1.07</v>
      </c>
      <c r="F2048" s="1">
        <f>IFERROR(__xludf.DUMMYFUNCTION("""COMPUTED_VALUE"""),6.29)</f>
        <v>6.29</v>
      </c>
      <c r="G2048" s="5">
        <f>IFERROR(__xludf.DUMMYFUNCTION("""COMPUTED_VALUE"""),9428.0)</f>
        <v>9428</v>
      </c>
      <c r="H2048" s="5">
        <f>IFERROR(__xludf.DUMMYFUNCTION("""COMPUTED_VALUE"""),1500.0)</f>
        <v>1500</v>
      </c>
    </row>
    <row r="2049">
      <c r="A2049" s="4">
        <f>IFERROR(__xludf.DUMMYFUNCTION("""COMPUTED_VALUE"""),44417.0)</f>
        <v>44417</v>
      </c>
      <c r="B2049" s="5">
        <f>IFERROR(__xludf.DUMMYFUNCTION("""COMPUTED_VALUE"""),2402.0)</f>
        <v>2402</v>
      </c>
      <c r="C2049" s="6">
        <f>IFERROR(__xludf.DUMMYFUNCTION("""COMPUTED_VALUE"""),0.4074)</f>
        <v>0.4074</v>
      </c>
      <c r="D2049" s="2">
        <f>IFERROR(__xludf.DUMMYFUNCTION("""COMPUTED_VALUE"""),0.0022685185185185187)</f>
        <v>0.002268518519</v>
      </c>
      <c r="E2049" s="1">
        <f>IFERROR(__xludf.DUMMYFUNCTION("""COMPUTED_VALUE"""),1.09)</f>
        <v>1.09</v>
      </c>
      <c r="F2049" s="1">
        <f>IFERROR(__xludf.DUMMYFUNCTION("""COMPUTED_VALUE"""),6.04)</f>
        <v>6.04</v>
      </c>
      <c r="G2049" s="5">
        <f>IFERROR(__xludf.DUMMYFUNCTION("""COMPUTED_VALUE"""),15843.0)</f>
        <v>15843</v>
      </c>
      <c r="H2049" s="5">
        <f>IFERROR(__xludf.DUMMYFUNCTION("""COMPUTED_VALUE"""),2624.0)</f>
        <v>2624</v>
      </c>
    </row>
    <row r="2050">
      <c r="A2050" s="4">
        <f>IFERROR(__xludf.DUMMYFUNCTION("""COMPUTED_VALUE"""),44418.0)</f>
        <v>44418</v>
      </c>
      <c r="B2050" s="5">
        <f>IFERROR(__xludf.DUMMYFUNCTION("""COMPUTED_VALUE"""),2430.0)</f>
        <v>2430</v>
      </c>
      <c r="C2050" s="6">
        <f>IFERROR(__xludf.DUMMYFUNCTION("""COMPUTED_VALUE"""),0.4477)</f>
        <v>0.4477</v>
      </c>
      <c r="D2050" s="2">
        <f>IFERROR(__xludf.DUMMYFUNCTION("""COMPUTED_VALUE"""),0.002013888888888889)</f>
        <v>0.002013888889</v>
      </c>
      <c r="E2050" s="1">
        <f>IFERROR(__xludf.DUMMYFUNCTION("""COMPUTED_VALUE"""),1.03)</f>
        <v>1.03</v>
      </c>
      <c r="F2050" s="1">
        <f>IFERROR(__xludf.DUMMYFUNCTION("""COMPUTED_VALUE"""),5.63)</f>
        <v>5.63</v>
      </c>
      <c r="G2050" s="5">
        <f>IFERROR(__xludf.DUMMYFUNCTION("""COMPUTED_VALUE"""),14149.0)</f>
        <v>14149</v>
      </c>
      <c r="H2050" s="5">
        <f>IFERROR(__xludf.DUMMYFUNCTION("""COMPUTED_VALUE"""),2513.0)</f>
        <v>2513</v>
      </c>
    </row>
    <row r="2051">
      <c r="A2051" s="4">
        <f>IFERROR(__xludf.DUMMYFUNCTION("""COMPUTED_VALUE"""),44419.0)</f>
        <v>44419</v>
      </c>
      <c r="B2051" s="5">
        <f>IFERROR(__xludf.DUMMYFUNCTION("""COMPUTED_VALUE"""),2069.0)</f>
        <v>2069</v>
      </c>
      <c r="C2051" s="6">
        <f>IFERROR(__xludf.DUMMYFUNCTION("""COMPUTED_VALUE"""),0.4489)</f>
        <v>0.4489</v>
      </c>
      <c r="D2051" s="2">
        <f>IFERROR(__xludf.DUMMYFUNCTION("""COMPUTED_VALUE"""),0.0022569444444444442)</f>
        <v>0.002256944444</v>
      </c>
      <c r="E2051" s="1">
        <f>IFERROR(__xludf.DUMMYFUNCTION("""COMPUTED_VALUE"""),1.12)</f>
        <v>1.12</v>
      </c>
      <c r="F2051" s="1">
        <f>IFERROR(__xludf.DUMMYFUNCTION("""COMPUTED_VALUE"""),5.54)</f>
        <v>5.54</v>
      </c>
      <c r="G2051" s="5">
        <f>IFERROR(__xludf.DUMMYFUNCTION("""COMPUTED_VALUE"""),12844.0)</f>
        <v>12844</v>
      </c>
      <c r="H2051" s="5">
        <f>IFERROR(__xludf.DUMMYFUNCTION("""COMPUTED_VALUE"""),2319.0)</f>
        <v>2319</v>
      </c>
    </row>
    <row r="2052">
      <c r="A2052" s="4">
        <f>IFERROR(__xludf.DUMMYFUNCTION("""COMPUTED_VALUE"""),44420.0)</f>
        <v>44420</v>
      </c>
      <c r="B2052" s="5">
        <f>IFERROR(__xludf.DUMMYFUNCTION("""COMPUTED_VALUE"""),2166.0)</f>
        <v>2166</v>
      </c>
      <c r="C2052" s="6">
        <f>IFERROR(__xludf.DUMMYFUNCTION("""COMPUTED_VALUE"""),0.432)</f>
        <v>0.432</v>
      </c>
      <c r="D2052" s="2">
        <f>IFERROR(__xludf.DUMMYFUNCTION("""COMPUTED_VALUE"""),0.002939814814814815)</f>
        <v>0.002939814815</v>
      </c>
      <c r="E2052" s="1">
        <f>IFERROR(__xludf.DUMMYFUNCTION("""COMPUTED_VALUE"""),1.08)</f>
        <v>1.08</v>
      </c>
      <c r="F2052" s="1">
        <f>IFERROR(__xludf.DUMMYFUNCTION("""COMPUTED_VALUE"""),6.36)</f>
        <v>6.36</v>
      </c>
      <c r="G2052" s="5">
        <f>IFERROR(__xludf.DUMMYFUNCTION("""COMPUTED_VALUE"""),14927.0)</f>
        <v>14927</v>
      </c>
      <c r="H2052" s="5">
        <f>IFERROR(__xludf.DUMMYFUNCTION("""COMPUTED_VALUE"""),2347.0)</f>
        <v>2347</v>
      </c>
    </row>
    <row r="2053">
      <c r="A2053" s="4">
        <f>IFERROR(__xludf.DUMMYFUNCTION("""COMPUTED_VALUE"""),44421.0)</f>
        <v>44421</v>
      </c>
      <c r="B2053" s="5">
        <f>IFERROR(__xludf.DUMMYFUNCTION("""COMPUTED_VALUE"""),1777.0)</f>
        <v>1777</v>
      </c>
      <c r="C2053" s="6">
        <f>IFERROR(__xludf.DUMMYFUNCTION("""COMPUTED_VALUE"""),0.4081)</f>
        <v>0.4081</v>
      </c>
      <c r="D2053" s="2">
        <f>IFERROR(__xludf.DUMMYFUNCTION("""COMPUTED_VALUE"""),0.0025578703703703705)</f>
        <v>0.00255787037</v>
      </c>
      <c r="E2053" s="1">
        <f>IFERROR(__xludf.DUMMYFUNCTION("""COMPUTED_VALUE"""),1.15)</f>
        <v>1.15</v>
      </c>
      <c r="F2053" s="1">
        <f>IFERROR(__xludf.DUMMYFUNCTION("""COMPUTED_VALUE"""),7.31)</f>
        <v>7.31</v>
      </c>
      <c r="G2053" s="5">
        <f>IFERROR(__xludf.DUMMYFUNCTION("""COMPUTED_VALUE"""),14927.0)</f>
        <v>14927</v>
      </c>
      <c r="H2053" s="5">
        <f>IFERROR(__xludf.DUMMYFUNCTION("""COMPUTED_VALUE"""),2041.0)</f>
        <v>2041</v>
      </c>
    </row>
    <row r="2054">
      <c r="A2054" s="4">
        <f>IFERROR(__xludf.DUMMYFUNCTION("""COMPUTED_VALUE"""),44422.0)</f>
        <v>44422</v>
      </c>
      <c r="B2054" s="5">
        <f>IFERROR(__xludf.DUMMYFUNCTION("""COMPUTED_VALUE"""),1180.0)</f>
        <v>1180</v>
      </c>
      <c r="C2054" s="6">
        <f>IFERROR(__xludf.DUMMYFUNCTION("""COMPUTED_VALUE"""),0.4897)</f>
        <v>0.4897</v>
      </c>
      <c r="D2054" s="2">
        <f>IFERROR(__xludf.DUMMYFUNCTION("""COMPUTED_VALUE"""),0.002824074074074074)</f>
        <v>0.002824074074</v>
      </c>
      <c r="E2054" s="1">
        <f>IFERROR(__xludf.DUMMYFUNCTION("""COMPUTED_VALUE"""),1.11)</f>
        <v>1.11</v>
      </c>
      <c r="F2054" s="1">
        <f>IFERROR(__xludf.DUMMYFUNCTION("""COMPUTED_VALUE"""),5.01)</f>
        <v>5.01</v>
      </c>
      <c r="G2054" s="5">
        <f>IFERROR(__xludf.DUMMYFUNCTION("""COMPUTED_VALUE"""),6540.0)</f>
        <v>6540</v>
      </c>
      <c r="H2054" s="5">
        <f>IFERROR(__xludf.DUMMYFUNCTION("""COMPUTED_VALUE"""),1305.0)</f>
        <v>1305</v>
      </c>
    </row>
    <row r="2055">
      <c r="A2055" s="4">
        <f>IFERROR(__xludf.DUMMYFUNCTION("""COMPUTED_VALUE"""),44423.0)</f>
        <v>44423</v>
      </c>
      <c r="B2055" s="5">
        <f>IFERROR(__xludf.DUMMYFUNCTION("""COMPUTED_VALUE"""),1375.0)</f>
        <v>1375</v>
      </c>
      <c r="C2055" s="6">
        <f>IFERROR(__xludf.DUMMYFUNCTION("""COMPUTED_VALUE"""),0.5273)</f>
        <v>0.5273</v>
      </c>
      <c r="D2055" s="2">
        <f>IFERROR(__xludf.DUMMYFUNCTION("""COMPUTED_VALUE"""),0.0014930555555555556)</f>
        <v>0.001493055556</v>
      </c>
      <c r="E2055" s="1">
        <f>IFERROR(__xludf.DUMMYFUNCTION("""COMPUTED_VALUE"""),1.09)</f>
        <v>1.09</v>
      </c>
      <c r="F2055" s="1">
        <f>IFERROR(__xludf.DUMMYFUNCTION("""COMPUTED_VALUE"""),3.81)</f>
        <v>3.81</v>
      </c>
      <c r="G2055" s="5">
        <f>IFERROR(__xludf.DUMMYFUNCTION("""COMPUTED_VALUE"""),5721.0)</f>
        <v>5721</v>
      </c>
      <c r="H2055" s="5">
        <f>IFERROR(__xludf.DUMMYFUNCTION("""COMPUTED_VALUE"""),1500.0)</f>
        <v>1500</v>
      </c>
    </row>
    <row r="2056">
      <c r="A2056" s="4">
        <f>IFERROR(__xludf.DUMMYFUNCTION("""COMPUTED_VALUE"""),44424.0)</f>
        <v>44424</v>
      </c>
      <c r="B2056" s="5">
        <f>IFERROR(__xludf.DUMMYFUNCTION("""COMPUTED_VALUE"""),2069.0)</f>
        <v>2069</v>
      </c>
      <c r="C2056" s="6">
        <f>IFERROR(__xludf.DUMMYFUNCTION("""COMPUTED_VALUE"""),0.4597)</f>
        <v>0.4597</v>
      </c>
      <c r="D2056" s="2">
        <f>IFERROR(__xludf.DUMMYFUNCTION("""COMPUTED_VALUE"""),0.002372685185185185)</f>
        <v>0.002372685185</v>
      </c>
      <c r="E2056" s="1">
        <f>IFERROR(__xludf.DUMMYFUNCTION("""COMPUTED_VALUE"""),1.08)</f>
        <v>1.08</v>
      </c>
      <c r="F2056" s="1">
        <f>IFERROR(__xludf.DUMMYFUNCTION("""COMPUTED_VALUE"""),5.94)</f>
        <v>5.94</v>
      </c>
      <c r="G2056" s="5">
        <f>IFERROR(__xludf.DUMMYFUNCTION("""COMPUTED_VALUE"""),13288.0)</f>
        <v>13288</v>
      </c>
      <c r="H2056" s="5">
        <f>IFERROR(__xludf.DUMMYFUNCTION("""COMPUTED_VALUE"""),2236.0)</f>
        <v>2236</v>
      </c>
    </row>
    <row r="2057">
      <c r="A2057" s="4">
        <f>IFERROR(__xludf.DUMMYFUNCTION("""COMPUTED_VALUE"""),44425.0)</f>
        <v>44425</v>
      </c>
      <c r="B2057" s="5">
        <f>IFERROR(__xludf.DUMMYFUNCTION("""COMPUTED_VALUE"""),2208.0)</f>
        <v>2208</v>
      </c>
      <c r="C2057" s="6">
        <f>IFERROR(__xludf.DUMMYFUNCTION("""COMPUTED_VALUE"""),0.433)</f>
        <v>0.433</v>
      </c>
      <c r="D2057" s="2">
        <f>IFERROR(__xludf.DUMMYFUNCTION("""COMPUTED_VALUE"""),0.002013888888888889)</f>
        <v>0.002013888889</v>
      </c>
      <c r="E2057" s="1">
        <f>IFERROR(__xludf.DUMMYFUNCTION("""COMPUTED_VALUE"""),1.08)</f>
        <v>1.08</v>
      </c>
      <c r="F2057" s="1">
        <f>IFERROR(__xludf.DUMMYFUNCTION("""COMPUTED_VALUE"""),5.69)</f>
        <v>5.69</v>
      </c>
      <c r="G2057" s="5">
        <f>IFERROR(__xludf.DUMMYFUNCTION("""COMPUTED_VALUE"""),13510.0)</f>
        <v>13510</v>
      </c>
      <c r="H2057" s="5">
        <f>IFERROR(__xludf.DUMMYFUNCTION("""COMPUTED_VALUE"""),2374.0)</f>
        <v>2374</v>
      </c>
    </row>
    <row r="2058">
      <c r="A2058" s="4">
        <f>IFERROR(__xludf.DUMMYFUNCTION("""COMPUTED_VALUE"""),44426.0)</f>
        <v>44426</v>
      </c>
      <c r="B2058" s="5">
        <f>IFERROR(__xludf.DUMMYFUNCTION("""COMPUTED_VALUE"""),2222.0)</f>
        <v>2222</v>
      </c>
      <c r="C2058" s="6">
        <f>IFERROR(__xludf.DUMMYFUNCTION("""COMPUTED_VALUE"""),0.5113)</f>
        <v>0.5113</v>
      </c>
      <c r="D2058" s="2">
        <f>IFERROR(__xludf.DUMMYFUNCTION("""COMPUTED_VALUE"""),0.0018402777777777777)</f>
        <v>0.001840277778</v>
      </c>
      <c r="E2058" s="1">
        <f>IFERROR(__xludf.DUMMYFUNCTION("""COMPUTED_VALUE"""),1.11)</f>
        <v>1.11</v>
      </c>
      <c r="F2058" s="1">
        <f>IFERROR(__xludf.DUMMYFUNCTION("""COMPUTED_VALUE"""),5.14)</f>
        <v>5.14</v>
      </c>
      <c r="G2058" s="5">
        <f>IFERROR(__xludf.DUMMYFUNCTION("""COMPUTED_VALUE"""),12705.0)</f>
        <v>12705</v>
      </c>
      <c r="H2058" s="5">
        <f>IFERROR(__xludf.DUMMYFUNCTION("""COMPUTED_VALUE"""),2472.0)</f>
        <v>2472</v>
      </c>
    </row>
    <row r="2059">
      <c r="A2059" s="4">
        <f>IFERROR(__xludf.DUMMYFUNCTION("""COMPUTED_VALUE"""),44427.0)</f>
        <v>44427</v>
      </c>
      <c r="B2059" s="5">
        <f>IFERROR(__xludf.DUMMYFUNCTION("""COMPUTED_VALUE"""),2583.0)</f>
        <v>2583</v>
      </c>
      <c r="C2059" s="6">
        <f>IFERROR(__xludf.DUMMYFUNCTION("""COMPUTED_VALUE"""),0.483)</f>
        <v>0.483</v>
      </c>
      <c r="D2059" s="2">
        <f>IFERROR(__xludf.DUMMYFUNCTION("""COMPUTED_VALUE"""),0.0026967592592592594)</f>
        <v>0.002696759259</v>
      </c>
      <c r="E2059" s="1">
        <f>IFERROR(__xludf.DUMMYFUNCTION("""COMPUTED_VALUE"""),1.1)</f>
        <v>1.1</v>
      </c>
      <c r="F2059" s="1">
        <f>IFERROR(__xludf.DUMMYFUNCTION("""COMPUTED_VALUE"""),6.8)</f>
        <v>6.8</v>
      </c>
      <c r="G2059" s="5">
        <f>IFERROR(__xludf.DUMMYFUNCTION("""COMPUTED_VALUE"""),19356.0)</f>
        <v>19356</v>
      </c>
      <c r="H2059" s="5">
        <f>IFERROR(__xludf.DUMMYFUNCTION("""COMPUTED_VALUE"""),2847.0)</f>
        <v>2847</v>
      </c>
    </row>
    <row r="2060">
      <c r="A2060" s="4">
        <f>IFERROR(__xludf.DUMMYFUNCTION("""COMPUTED_VALUE"""),44428.0)</f>
        <v>44428</v>
      </c>
      <c r="B2060" s="5">
        <f>IFERROR(__xludf.DUMMYFUNCTION("""COMPUTED_VALUE"""),1930.0)</f>
        <v>1930</v>
      </c>
      <c r="C2060" s="6">
        <f>IFERROR(__xludf.DUMMYFUNCTION("""COMPUTED_VALUE"""),0.4748)</f>
        <v>0.4748</v>
      </c>
      <c r="D2060" s="2">
        <f>IFERROR(__xludf.DUMMYFUNCTION("""COMPUTED_VALUE"""),0.002627314814814815)</f>
        <v>0.002627314815</v>
      </c>
      <c r="E2060" s="1">
        <f>IFERROR(__xludf.DUMMYFUNCTION("""COMPUTED_VALUE"""),1.15)</f>
        <v>1.15</v>
      </c>
      <c r="F2060" s="1">
        <f>IFERROR(__xludf.DUMMYFUNCTION("""COMPUTED_VALUE"""),7.21)</f>
        <v>7.21</v>
      </c>
      <c r="G2060" s="5">
        <f>IFERROR(__xludf.DUMMYFUNCTION("""COMPUTED_VALUE"""),16024.0)</f>
        <v>16024</v>
      </c>
      <c r="H2060" s="5">
        <f>IFERROR(__xludf.DUMMYFUNCTION("""COMPUTED_VALUE"""),2222.0)</f>
        <v>2222</v>
      </c>
    </row>
    <row r="2061">
      <c r="A2061" s="4">
        <f>IFERROR(__xludf.DUMMYFUNCTION("""COMPUTED_VALUE"""),44429.0)</f>
        <v>44429</v>
      </c>
      <c r="B2061" s="5">
        <f>IFERROR(__xludf.DUMMYFUNCTION("""COMPUTED_VALUE"""),1347.0)</f>
        <v>1347</v>
      </c>
      <c r="C2061" s="6">
        <f>IFERROR(__xludf.DUMMYFUNCTION("""COMPUTED_VALUE"""),0.4715)</f>
        <v>0.4715</v>
      </c>
      <c r="D2061" s="2">
        <f>IFERROR(__xludf.DUMMYFUNCTION("""COMPUTED_VALUE"""),0.0020717592592592593)</f>
        <v>0.002071759259</v>
      </c>
      <c r="E2061" s="1">
        <f>IFERROR(__xludf.DUMMYFUNCTION("""COMPUTED_VALUE"""),1.09)</f>
        <v>1.09</v>
      </c>
      <c r="F2061" s="1">
        <f>IFERROR(__xludf.DUMMYFUNCTION("""COMPUTED_VALUE"""),4.79)</f>
        <v>4.79</v>
      </c>
      <c r="G2061" s="5">
        <f>IFERROR(__xludf.DUMMYFUNCTION("""COMPUTED_VALUE"""),7054.0)</f>
        <v>7054</v>
      </c>
      <c r="H2061" s="5">
        <f>IFERROR(__xludf.DUMMYFUNCTION("""COMPUTED_VALUE"""),1472.0)</f>
        <v>1472</v>
      </c>
    </row>
    <row r="2062">
      <c r="A2062" s="4">
        <f>IFERROR(__xludf.DUMMYFUNCTION("""COMPUTED_VALUE"""),44430.0)</f>
        <v>44430</v>
      </c>
      <c r="B2062" s="5">
        <f>IFERROR(__xludf.DUMMYFUNCTION("""COMPUTED_VALUE"""),1430.0)</f>
        <v>1430</v>
      </c>
      <c r="C2062" s="6">
        <f>IFERROR(__xludf.DUMMYFUNCTION("""COMPUTED_VALUE"""),0.4685)</f>
        <v>0.4685</v>
      </c>
      <c r="D2062" s="2">
        <f>IFERROR(__xludf.DUMMYFUNCTION("""COMPUTED_VALUE"""),0.001979166666666667)</f>
        <v>0.001979166667</v>
      </c>
      <c r="E2062" s="1">
        <f>IFERROR(__xludf.DUMMYFUNCTION("""COMPUTED_VALUE"""),1.08)</f>
        <v>1.08</v>
      </c>
      <c r="F2062" s="1">
        <f>IFERROR(__xludf.DUMMYFUNCTION("""COMPUTED_VALUE"""),4.74)</f>
        <v>4.74</v>
      </c>
      <c r="G2062" s="5">
        <f>IFERROR(__xludf.DUMMYFUNCTION("""COMPUTED_VALUE"""),7304.0)</f>
        <v>7304</v>
      </c>
      <c r="H2062" s="5">
        <f>IFERROR(__xludf.DUMMYFUNCTION("""COMPUTED_VALUE"""),1541.0)</f>
        <v>1541</v>
      </c>
    </row>
    <row r="2063">
      <c r="A2063" s="4">
        <f>IFERROR(__xludf.DUMMYFUNCTION("""COMPUTED_VALUE"""),44431.0)</f>
        <v>44431</v>
      </c>
      <c r="B2063" s="5">
        <f>IFERROR(__xludf.DUMMYFUNCTION("""COMPUTED_VALUE"""),2152.0)</f>
        <v>2152</v>
      </c>
      <c r="C2063" s="6">
        <f>IFERROR(__xludf.DUMMYFUNCTION("""COMPUTED_VALUE"""),0.5)</f>
        <v>0.5</v>
      </c>
      <c r="D2063" s="2">
        <f>IFERROR(__xludf.DUMMYFUNCTION("""COMPUTED_VALUE"""),0.002337962962962963)</f>
        <v>0.002337962963</v>
      </c>
      <c r="E2063" s="1">
        <f>IFERROR(__xludf.DUMMYFUNCTION("""COMPUTED_VALUE"""),1.11)</f>
        <v>1.11</v>
      </c>
      <c r="F2063" s="1">
        <f>IFERROR(__xludf.DUMMYFUNCTION("""COMPUTED_VALUE"""),5.51)</f>
        <v>5.51</v>
      </c>
      <c r="G2063" s="5">
        <f>IFERROR(__xludf.DUMMYFUNCTION("""COMPUTED_VALUE"""),13149.0)</f>
        <v>13149</v>
      </c>
      <c r="H2063" s="5">
        <f>IFERROR(__xludf.DUMMYFUNCTION("""COMPUTED_VALUE"""),2388.0)</f>
        <v>2388</v>
      </c>
    </row>
    <row r="2064">
      <c r="A2064" s="4">
        <f>IFERROR(__xludf.DUMMYFUNCTION("""COMPUTED_VALUE"""),44432.0)</f>
        <v>44432</v>
      </c>
      <c r="B2064" s="5">
        <f>IFERROR(__xludf.DUMMYFUNCTION("""COMPUTED_VALUE"""),2388.0)</f>
        <v>2388</v>
      </c>
      <c r="C2064" s="6">
        <f>IFERROR(__xludf.DUMMYFUNCTION("""COMPUTED_VALUE"""),0.4397)</f>
        <v>0.4397</v>
      </c>
      <c r="D2064" s="2">
        <f>IFERROR(__xludf.DUMMYFUNCTION("""COMPUTED_VALUE"""),0.0016898148148148148)</f>
        <v>0.001689814815</v>
      </c>
      <c r="E2064" s="1">
        <f>IFERROR(__xludf.DUMMYFUNCTION("""COMPUTED_VALUE"""),1.06)</f>
        <v>1.06</v>
      </c>
      <c r="F2064" s="1">
        <f>IFERROR(__xludf.DUMMYFUNCTION("""COMPUTED_VALUE"""),4.25)</f>
        <v>4.25</v>
      </c>
      <c r="G2064" s="5">
        <f>IFERROR(__xludf.DUMMYFUNCTION("""COMPUTED_VALUE"""),10747.0)</f>
        <v>10747</v>
      </c>
      <c r="H2064" s="5">
        <f>IFERROR(__xludf.DUMMYFUNCTION("""COMPUTED_VALUE"""),2527.0)</f>
        <v>2527</v>
      </c>
    </row>
    <row r="2065">
      <c r="A2065" s="4">
        <f>IFERROR(__xludf.DUMMYFUNCTION("""COMPUTED_VALUE"""),44433.0)</f>
        <v>44433</v>
      </c>
      <c r="B2065" s="5">
        <f>IFERROR(__xludf.DUMMYFUNCTION("""COMPUTED_VALUE"""),2694.0)</f>
        <v>2694</v>
      </c>
      <c r="C2065" s="6">
        <f>IFERROR(__xludf.DUMMYFUNCTION("""COMPUTED_VALUE"""),0.4465)</f>
        <v>0.4465</v>
      </c>
      <c r="D2065" s="2">
        <f>IFERROR(__xludf.DUMMYFUNCTION("""COMPUTED_VALUE"""),0.0022337962962962962)</f>
        <v>0.002233796296</v>
      </c>
      <c r="E2065" s="1">
        <f>IFERROR(__xludf.DUMMYFUNCTION("""COMPUTED_VALUE"""),1.06)</f>
        <v>1.06</v>
      </c>
      <c r="F2065" s="1">
        <f>IFERROR(__xludf.DUMMYFUNCTION("""COMPUTED_VALUE"""),6.3)</f>
        <v>6.3</v>
      </c>
      <c r="G2065" s="5">
        <f>IFERROR(__xludf.DUMMYFUNCTION("""COMPUTED_VALUE"""),18009.0)</f>
        <v>18009</v>
      </c>
      <c r="H2065" s="5">
        <f>IFERROR(__xludf.DUMMYFUNCTION("""COMPUTED_VALUE"""),2860.0)</f>
        <v>2860</v>
      </c>
    </row>
    <row r="2066">
      <c r="A2066" s="4">
        <f>IFERROR(__xludf.DUMMYFUNCTION("""COMPUTED_VALUE"""),44434.0)</f>
        <v>44434</v>
      </c>
      <c r="B2066" s="5">
        <f>IFERROR(__xludf.DUMMYFUNCTION("""COMPUTED_VALUE"""),2513.0)</f>
        <v>2513</v>
      </c>
      <c r="C2066" s="6">
        <f>IFERROR(__xludf.DUMMYFUNCTION("""COMPUTED_VALUE"""),0.4343)</f>
        <v>0.4343</v>
      </c>
      <c r="D2066" s="2">
        <f>IFERROR(__xludf.DUMMYFUNCTION("""COMPUTED_VALUE"""),0.0021875)</f>
        <v>0.0021875</v>
      </c>
      <c r="E2066" s="1">
        <f>IFERROR(__xludf.DUMMYFUNCTION("""COMPUTED_VALUE"""),1.09)</f>
        <v>1.09</v>
      </c>
      <c r="F2066" s="1">
        <f>IFERROR(__xludf.DUMMYFUNCTION("""COMPUTED_VALUE"""),5.11)</f>
        <v>5.11</v>
      </c>
      <c r="G2066" s="5">
        <f>IFERROR(__xludf.DUMMYFUNCTION("""COMPUTED_VALUE"""),14052.0)</f>
        <v>14052</v>
      </c>
      <c r="H2066" s="5">
        <f>IFERROR(__xludf.DUMMYFUNCTION("""COMPUTED_VALUE"""),2749.0)</f>
        <v>2749</v>
      </c>
    </row>
    <row r="2067">
      <c r="A2067" s="4">
        <f>IFERROR(__xludf.DUMMYFUNCTION("""COMPUTED_VALUE"""),44435.0)</f>
        <v>44435</v>
      </c>
      <c r="B2067" s="5">
        <f>IFERROR(__xludf.DUMMYFUNCTION("""COMPUTED_VALUE"""),1999.0)</f>
        <v>1999</v>
      </c>
      <c r="C2067" s="6">
        <f>IFERROR(__xludf.DUMMYFUNCTION("""COMPUTED_VALUE"""),0.4968)</f>
        <v>0.4968</v>
      </c>
      <c r="D2067" s="2">
        <f>IFERROR(__xludf.DUMMYFUNCTION("""COMPUTED_VALUE"""),0.0014236111111111112)</f>
        <v>0.001423611111</v>
      </c>
      <c r="E2067" s="1">
        <f>IFERROR(__xludf.DUMMYFUNCTION("""COMPUTED_VALUE"""),1.1)</f>
        <v>1.1</v>
      </c>
      <c r="F2067" s="1">
        <f>IFERROR(__xludf.DUMMYFUNCTION("""COMPUTED_VALUE"""),4.37)</f>
        <v>4.37</v>
      </c>
      <c r="G2067" s="5">
        <f>IFERROR(__xludf.DUMMYFUNCTION("""COMPUTED_VALUE"""),9650.0)</f>
        <v>9650</v>
      </c>
      <c r="H2067" s="5">
        <f>IFERROR(__xludf.DUMMYFUNCTION("""COMPUTED_VALUE"""),2208.0)</f>
        <v>2208</v>
      </c>
    </row>
    <row r="2068">
      <c r="A2068" s="4">
        <f>IFERROR(__xludf.DUMMYFUNCTION("""COMPUTED_VALUE"""),44436.0)</f>
        <v>44436</v>
      </c>
      <c r="B2068" s="5">
        <f>IFERROR(__xludf.DUMMYFUNCTION("""COMPUTED_VALUE"""),1333.0)</f>
        <v>1333</v>
      </c>
      <c r="C2068" s="6">
        <f>IFERROR(__xludf.DUMMYFUNCTION("""COMPUTED_VALUE"""),0.5809)</f>
        <v>0.5809</v>
      </c>
      <c r="D2068" s="2">
        <f>IFERROR(__xludf.DUMMYFUNCTION("""COMPUTED_VALUE"""),0.0014583333333333334)</f>
        <v>0.001458333333</v>
      </c>
      <c r="E2068" s="1">
        <f>IFERROR(__xludf.DUMMYFUNCTION("""COMPUTED_VALUE"""),1.09)</f>
        <v>1.09</v>
      </c>
      <c r="F2068" s="1">
        <f>IFERROR(__xludf.DUMMYFUNCTION("""COMPUTED_VALUE"""),3.58)</f>
        <v>3.58</v>
      </c>
      <c r="G2068" s="5">
        <f>IFERROR(__xludf.DUMMYFUNCTION("""COMPUTED_VALUE"""),5221.0)</f>
        <v>5221</v>
      </c>
      <c r="H2068" s="5">
        <f>IFERROR(__xludf.DUMMYFUNCTION("""COMPUTED_VALUE"""),1458.0)</f>
        <v>1458</v>
      </c>
    </row>
    <row r="2069">
      <c r="A2069" s="4">
        <f>IFERROR(__xludf.DUMMYFUNCTION("""COMPUTED_VALUE"""),44437.0)</f>
        <v>44437</v>
      </c>
      <c r="B2069" s="5">
        <f>IFERROR(__xludf.DUMMYFUNCTION("""COMPUTED_VALUE"""),1361.0)</f>
        <v>1361</v>
      </c>
      <c r="C2069" s="6">
        <f>IFERROR(__xludf.DUMMYFUNCTION("""COMPUTED_VALUE"""),0.5627)</f>
        <v>0.5627</v>
      </c>
      <c r="D2069" s="2">
        <f>IFERROR(__xludf.DUMMYFUNCTION("""COMPUTED_VALUE"""),0.002210648148148148)</f>
        <v>0.002210648148</v>
      </c>
      <c r="E2069" s="1">
        <f>IFERROR(__xludf.DUMMYFUNCTION("""COMPUTED_VALUE"""),1.14)</f>
        <v>1.14</v>
      </c>
      <c r="F2069" s="1">
        <f>IFERROR(__xludf.DUMMYFUNCTION("""COMPUTED_VALUE"""),4.64)</f>
        <v>4.64</v>
      </c>
      <c r="G2069" s="5">
        <f>IFERROR(__xludf.DUMMYFUNCTION("""COMPUTED_VALUE"""),7220.0)</f>
        <v>7220</v>
      </c>
      <c r="H2069" s="5">
        <f>IFERROR(__xludf.DUMMYFUNCTION("""COMPUTED_VALUE"""),1555.0)</f>
        <v>1555</v>
      </c>
    </row>
    <row r="2070">
      <c r="A2070" s="4">
        <f>IFERROR(__xludf.DUMMYFUNCTION("""COMPUTED_VALUE"""),44438.0)</f>
        <v>44438</v>
      </c>
      <c r="B2070" s="5">
        <f>IFERROR(__xludf.DUMMYFUNCTION("""COMPUTED_VALUE"""),2138.0)</f>
        <v>2138</v>
      </c>
      <c r="C2070" s="6">
        <f>IFERROR(__xludf.DUMMYFUNCTION("""COMPUTED_VALUE"""),0.4912)</f>
        <v>0.4912</v>
      </c>
      <c r="D2070" s="2">
        <f>IFERROR(__xludf.DUMMYFUNCTION("""COMPUTED_VALUE"""),0.0020949074074074073)</f>
        <v>0.002094907407</v>
      </c>
      <c r="E2070" s="1">
        <f>IFERROR(__xludf.DUMMYFUNCTION("""COMPUTED_VALUE"""),1.11)</f>
        <v>1.11</v>
      </c>
      <c r="F2070" s="1">
        <f>IFERROR(__xludf.DUMMYFUNCTION("""COMPUTED_VALUE"""),5.65)</f>
        <v>5.65</v>
      </c>
      <c r="G2070" s="5">
        <f>IFERROR(__xludf.DUMMYFUNCTION("""COMPUTED_VALUE"""),13413.0)</f>
        <v>13413</v>
      </c>
      <c r="H2070" s="5">
        <f>IFERROR(__xludf.DUMMYFUNCTION("""COMPUTED_VALUE"""),2374.0)</f>
        <v>2374</v>
      </c>
    </row>
    <row r="2071">
      <c r="A2071" s="4">
        <f>IFERROR(__xludf.DUMMYFUNCTION("""COMPUTED_VALUE"""),44439.0)</f>
        <v>44439</v>
      </c>
      <c r="B2071" s="5">
        <f>IFERROR(__xludf.DUMMYFUNCTION("""COMPUTED_VALUE"""),2291.0)</f>
        <v>2291</v>
      </c>
      <c r="C2071" s="6">
        <f>IFERROR(__xludf.DUMMYFUNCTION("""COMPUTED_VALUE"""),0.5166)</f>
        <v>0.5166</v>
      </c>
      <c r="D2071" s="2">
        <f>IFERROR(__xludf.DUMMYFUNCTION("""COMPUTED_VALUE"""),0.0021296296296296298)</f>
        <v>0.00212962963</v>
      </c>
      <c r="E2071" s="1">
        <f>IFERROR(__xludf.DUMMYFUNCTION("""COMPUTED_VALUE"""),1.08)</f>
        <v>1.08</v>
      </c>
      <c r="F2071" s="1">
        <f>IFERROR(__xludf.DUMMYFUNCTION("""COMPUTED_VALUE"""),4.3)</f>
        <v>4.3</v>
      </c>
      <c r="G2071" s="5">
        <f>IFERROR(__xludf.DUMMYFUNCTION("""COMPUTED_VALUE"""),10622.0)</f>
        <v>10622</v>
      </c>
      <c r="H2071" s="5">
        <f>IFERROR(__xludf.DUMMYFUNCTION("""COMPUTED_VALUE"""),2472.0)</f>
        <v>2472</v>
      </c>
    </row>
    <row r="2072">
      <c r="A2072" s="4">
        <f>IFERROR(__xludf.DUMMYFUNCTION("""COMPUTED_VALUE"""),44440.0)</f>
        <v>44440</v>
      </c>
      <c r="B2072" s="5">
        <f>IFERROR(__xludf.DUMMYFUNCTION("""COMPUTED_VALUE"""),2305.0)</f>
        <v>2305</v>
      </c>
      <c r="C2072" s="6">
        <f>IFERROR(__xludf.DUMMYFUNCTION("""COMPUTED_VALUE"""),0.3665)</f>
        <v>0.3665</v>
      </c>
      <c r="D2072" s="2">
        <f>IFERROR(__xludf.DUMMYFUNCTION("""COMPUTED_VALUE"""),0.0028819444444444444)</f>
        <v>0.002881944444</v>
      </c>
      <c r="E2072" s="1">
        <f>IFERROR(__xludf.DUMMYFUNCTION("""COMPUTED_VALUE"""),1.08)</f>
        <v>1.08</v>
      </c>
      <c r="F2072" s="1">
        <f>IFERROR(__xludf.DUMMYFUNCTION("""COMPUTED_VALUE"""),6.01)</f>
        <v>6.01</v>
      </c>
      <c r="G2072" s="5">
        <f>IFERROR(__xludf.DUMMYFUNCTION("""COMPUTED_VALUE"""),15024.0)</f>
        <v>15024</v>
      </c>
      <c r="H2072" s="5">
        <f>IFERROR(__xludf.DUMMYFUNCTION("""COMPUTED_VALUE"""),2499.0)</f>
        <v>2499</v>
      </c>
    </row>
    <row r="2073">
      <c r="A2073" s="4">
        <f>IFERROR(__xludf.DUMMYFUNCTION("""COMPUTED_VALUE"""),44441.0)</f>
        <v>44441</v>
      </c>
      <c r="B2073" s="5">
        <f>IFERROR(__xludf.DUMMYFUNCTION("""COMPUTED_VALUE"""),2416.0)</f>
        <v>2416</v>
      </c>
      <c r="C2073" s="6">
        <f>IFERROR(__xludf.DUMMYFUNCTION("""COMPUTED_VALUE"""),0.4224)</f>
        <v>0.4224</v>
      </c>
      <c r="D2073" s="2">
        <f>IFERROR(__xludf.DUMMYFUNCTION("""COMPUTED_VALUE"""),0.0018171296296296297)</f>
        <v>0.00181712963</v>
      </c>
      <c r="E2073" s="1">
        <f>IFERROR(__xludf.DUMMYFUNCTION("""COMPUTED_VALUE"""),1.07)</f>
        <v>1.07</v>
      </c>
      <c r="F2073" s="1">
        <f>IFERROR(__xludf.DUMMYFUNCTION("""COMPUTED_VALUE"""),5.21)</f>
        <v>5.21</v>
      </c>
      <c r="G2073" s="5">
        <f>IFERROR(__xludf.DUMMYFUNCTION("""COMPUTED_VALUE"""),13524.0)</f>
        <v>13524</v>
      </c>
      <c r="H2073" s="5">
        <f>IFERROR(__xludf.DUMMYFUNCTION("""COMPUTED_VALUE"""),2597.0)</f>
        <v>2597</v>
      </c>
    </row>
    <row r="2074">
      <c r="A2074" s="4">
        <f>IFERROR(__xludf.DUMMYFUNCTION("""COMPUTED_VALUE"""),44442.0)</f>
        <v>44442</v>
      </c>
      <c r="B2074" s="5">
        <f>IFERROR(__xludf.DUMMYFUNCTION("""COMPUTED_VALUE"""),1902.0)</f>
        <v>1902</v>
      </c>
      <c r="C2074" s="6">
        <f>IFERROR(__xludf.DUMMYFUNCTION("""COMPUTED_VALUE"""),0.5278)</f>
        <v>0.5278</v>
      </c>
      <c r="D2074" s="2">
        <f>IFERROR(__xludf.DUMMYFUNCTION("""COMPUTED_VALUE"""),0.001851851851851852)</f>
        <v>0.001851851852</v>
      </c>
      <c r="E2074" s="1">
        <f>IFERROR(__xludf.DUMMYFUNCTION("""COMPUTED_VALUE"""),1.05)</f>
        <v>1.05</v>
      </c>
      <c r="F2074" s="1">
        <f>IFERROR(__xludf.DUMMYFUNCTION("""COMPUTED_VALUE"""),5.68)</f>
        <v>5.68</v>
      </c>
      <c r="G2074" s="5">
        <f>IFERROR(__xludf.DUMMYFUNCTION("""COMPUTED_VALUE"""),11358.0)</f>
        <v>11358</v>
      </c>
      <c r="H2074" s="5">
        <f>IFERROR(__xludf.DUMMYFUNCTION("""COMPUTED_VALUE"""),1999.0)</f>
        <v>1999</v>
      </c>
    </row>
    <row r="2075">
      <c r="A2075" s="4">
        <f>IFERROR(__xludf.DUMMYFUNCTION("""COMPUTED_VALUE"""),44443.0)</f>
        <v>44443</v>
      </c>
      <c r="B2075" s="5">
        <f>IFERROR(__xludf.DUMMYFUNCTION("""COMPUTED_VALUE"""),1264.0)</f>
        <v>1264</v>
      </c>
      <c r="C2075" s="6">
        <f>IFERROR(__xludf.DUMMYFUNCTION("""COMPUTED_VALUE"""),0.5099)</f>
        <v>0.5099</v>
      </c>
      <c r="D2075" s="2">
        <f>IFERROR(__xludf.DUMMYFUNCTION("""COMPUTED_VALUE"""),0.0013541666666666667)</f>
        <v>0.001354166667</v>
      </c>
      <c r="E2075" s="1">
        <f>IFERROR(__xludf.DUMMYFUNCTION("""COMPUTED_VALUE"""),1.08)</f>
        <v>1.08</v>
      </c>
      <c r="F2075" s="1">
        <f>IFERROR(__xludf.DUMMYFUNCTION("""COMPUTED_VALUE"""),3.39)</f>
        <v>3.39</v>
      </c>
      <c r="G2075" s="5">
        <f>IFERROR(__xludf.DUMMYFUNCTION("""COMPUTED_VALUE"""),4610.0)</f>
        <v>4610</v>
      </c>
      <c r="H2075" s="5">
        <f>IFERROR(__xludf.DUMMYFUNCTION("""COMPUTED_VALUE"""),1361.0)</f>
        <v>1361</v>
      </c>
    </row>
    <row r="2076">
      <c r="A2076" s="4">
        <f>IFERROR(__xludf.DUMMYFUNCTION("""COMPUTED_VALUE"""),44444.0)</f>
        <v>44444</v>
      </c>
      <c r="B2076" s="5">
        <f>IFERROR(__xludf.DUMMYFUNCTION("""COMPUTED_VALUE"""),1541.0)</f>
        <v>1541</v>
      </c>
      <c r="C2076" s="6">
        <f>IFERROR(__xludf.DUMMYFUNCTION("""COMPUTED_VALUE"""),0.5557)</f>
        <v>0.5557</v>
      </c>
      <c r="D2076" s="2">
        <f>IFERROR(__xludf.DUMMYFUNCTION("""COMPUTED_VALUE"""),0.001400462962962963)</f>
        <v>0.001400462963</v>
      </c>
      <c r="E2076" s="1">
        <f>IFERROR(__xludf.DUMMYFUNCTION("""COMPUTED_VALUE"""),1.05)</f>
        <v>1.05</v>
      </c>
      <c r="F2076" s="1">
        <f>IFERROR(__xludf.DUMMYFUNCTION("""COMPUTED_VALUE"""),3.37)</f>
        <v>3.37</v>
      </c>
      <c r="G2076" s="5">
        <f>IFERROR(__xludf.DUMMYFUNCTION("""COMPUTED_VALUE"""),5471.0)</f>
        <v>5471</v>
      </c>
      <c r="H2076" s="5">
        <f>IFERROR(__xludf.DUMMYFUNCTION("""COMPUTED_VALUE"""),1625.0)</f>
        <v>1625</v>
      </c>
    </row>
    <row r="2077">
      <c r="A2077" s="4">
        <f>IFERROR(__xludf.DUMMYFUNCTION("""COMPUTED_VALUE"""),44445.0)</f>
        <v>44445</v>
      </c>
      <c r="B2077" s="5">
        <f>IFERROR(__xludf.DUMMYFUNCTION("""COMPUTED_VALUE"""),1833.0)</f>
        <v>1833</v>
      </c>
      <c r="C2077" s="6">
        <f>IFERROR(__xludf.DUMMYFUNCTION("""COMPUTED_VALUE"""),0.5453)</f>
        <v>0.5453</v>
      </c>
      <c r="D2077" s="2">
        <f>IFERROR(__xludf.DUMMYFUNCTION("""COMPUTED_VALUE"""),0.0011342592592592593)</f>
        <v>0.001134259259</v>
      </c>
      <c r="E2077" s="1">
        <f>IFERROR(__xludf.DUMMYFUNCTION("""COMPUTED_VALUE"""),1.08)</f>
        <v>1.08</v>
      </c>
      <c r="F2077" s="1">
        <f>IFERROR(__xludf.DUMMYFUNCTION("""COMPUTED_VALUE"""),3.33)</f>
        <v>3.33</v>
      </c>
      <c r="G2077" s="5">
        <f>IFERROR(__xludf.DUMMYFUNCTION("""COMPUTED_VALUE"""),6609.0)</f>
        <v>6609</v>
      </c>
      <c r="H2077" s="5">
        <f>IFERROR(__xludf.DUMMYFUNCTION("""COMPUTED_VALUE"""),1986.0)</f>
        <v>1986</v>
      </c>
    </row>
    <row r="2078">
      <c r="A2078" s="4">
        <f>IFERROR(__xludf.DUMMYFUNCTION("""COMPUTED_VALUE"""),44446.0)</f>
        <v>44446</v>
      </c>
      <c r="B2078" s="5">
        <f>IFERROR(__xludf.DUMMYFUNCTION("""COMPUTED_VALUE"""),2458.0)</f>
        <v>2458</v>
      </c>
      <c r="C2078" s="6">
        <f>IFERROR(__xludf.DUMMYFUNCTION("""COMPUTED_VALUE"""),0.5161)</f>
        <v>0.5161</v>
      </c>
      <c r="D2078" s="2">
        <f>IFERROR(__xludf.DUMMYFUNCTION("""COMPUTED_VALUE"""),0.0021527777777777778)</f>
        <v>0.002152777778</v>
      </c>
      <c r="E2078" s="1">
        <f>IFERROR(__xludf.DUMMYFUNCTION("""COMPUTED_VALUE"""),1.06)</f>
        <v>1.06</v>
      </c>
      <c r="F2078" s="1">
        <f>IFERROR(__xludf.DUMMYFUNCTION("""COMPUTED_VALUE"""),4.39)</f>
        <v>4.39</v>
      </c>
      <c r="G2078" s="5">
        <f>IFERROR(__xludf.DUMMYFUNCTION("""COMPUTED_VALUE"""),11455.0)</f>
        <v>11455</v>
      </c>
      <c r="H2078" s="5">
        <f>IFERROR(__xludf.DUMMYFUNCTION("""COMPUTED_VALUE"""),2610.0)</f>
        <v>2610</v>
      </c>
    </row>
    <row r="2079">
      <c r="A2079" s="4">
        <f>IFERROR(__xludf.DUMMYFUNCTION("""COMPUTED_VALUE"""),44447.0)</f>
        <v>44447</v>
      </c>
      <c r="B2079" s="5">
        <f>IFERROR(__xludf.DUMMYFUNCTION("""COMPUTED_VALUE"""),2291.0)</f>
        <v>2291</v>
      </c>
      <c r="C2079" s="6">
        <f>IFERROR(__xludf.DUMMYFUNCTION("""COMPUTED_VALUE"""),0.4142)</f>
        <v>0.4142</v>
      </c>
      <c r="D2079" s="2">
        <f>IFERROR(__xludf.DUMMYFUNCTION("""COMPUTED_VALUE"""),0.002337962962962963)</f>
        <v>0.002337962963</v>
      </c>
      <c r="E2079" s="1">
        <f>IFERROR(__xludf.DUMMYFUNCTION("""COMPUTED_VALUE"""),1.1)</f>
        <v>1.1</v>
      </c>
      <c r="F2079" s="1">
        <f>IFERROR(__xludf.DUMMYFUNCTION("""COMPUTED_VALUE"""),4.92)</f>
        <v>4.92</v>
      </c>
      <c r="G2079" s="5">
        <f>IFERROR(__xludf.DUMMYFUNCTION("""COMPUTED_VALUE"""),12358.0)</f>
        <v>12358</v>
      </c>
      <c r="H2079" s="5">
        <f>IFERROR(__xludf.DUMMYFUNCTION("""COMPUTED_VALUE"""),2513.0)</f>
        <v>2513</v>
      </c>
    </row>
    <row r="2080">
      <c r="A2080" s="4">
        <f>IFERROR(__xludf.DUMMYFUNCTION("""COMPUTED_VALUE"""),44448.0)</f>
        <v>44448</v>
      </c>
      <c r="B2080" s="5">
        <f>IFERROR(__xludf.DUMMYFUNCTION("""COMPUTED_VALUE"""),2472.0)</f>
        <v>2472</v>
      </c>
      <c r="C2080" s="6">
        <f>IFERROR(__xludf.DUMMYFUNCTION("""COMPUTED_VALUE"""),0.4484)</f>
        <v>0.4484</v>
      </c>
      <c r="D2080" s="2">
        <f>IFERROR(__xludf.DUMMYFUNCTION("""COMPUTED_VALUE"""),0.001875)</f>
        <v>0.001875</v>
      </c>
      <c r="E2080" s="1">
        <f>IFERROR(__xludf.DUMMYFUNCTION("""COMPUTED_VALUE"""),1.09)</f>
        <v>1.09</v>
      </c>
      <c r="F2080" s="1">
        <f>IFERROR(__xludf.DUMMYFUNCTION("""COMPUTED_VALUE"""),4.33)</f>
        <v>4.33</v>
      </c>
      <c r="G2080" s="5">
        <f>IFERROR(__xludf.DUMMYFUNCTION("""COMPUTED_VALUE"""),11664.0)</f>
        <v>11664</v>
      </c>
      <c r="H2080" s="5">
        <f>IFERROR(__xludf.DUMMYFUNCTION("""COMPUTED_VALUE"""),2694.0)</f>
        <v>2694</v>
      </c>
    </row>
    <row r="2081">
      <c r="A2081" s="4">
        <f>IFERROR(__xludf.DUMMYFUNCTION("""COMPUTED_VALUE"""),44449.0)</f>
        <v>44449</v>
      </c>
      <c r="B2081" s="5">
        <f>IFERROR(__xludf.DUMMYFUNCTION("""COMPUTED_VALUE"""),2041.0)</f>
        <v>2041</v>
      </c>
      <c r="C2081" s="6">
        <f>IFERROR(__xludf.DUMMYFUNCTION("""COMPUTED_VALUE"""),0.5247)</f>
        <v>0.5247</v>
      </c>
      <c r="D2081" s="2">
        <f>IFERROR(__xludf.DUMMYFUNCTION("""COMPUTED_VALUE"""),0.0023032407407407407)</f>
        <v>0.002303240741</v>
      </c>
      <c r="E2081" s="1">
        <f>IFERROR(__xludf.DUMMYFUNCTION("""COMPUTED_VALUE"""),1.1)</f>
        <v>1.1</v>
      </c>
      <c r="F2081" s="1">
        <f>IFERROR(__xludf.DUMMYFUNCTION("""COMPUTED_VALUE"""),5.66)</f>
        <v>5.66</v>
      </c>
      <c r="G2081" s="5">
        <f>IFERROR(__xludf.DUMMYFUNCTION("""COMPUTED_VALUE"""),12733.0)</f>
        <v>12733</v>
      </c>
      <c r="H2081" s="5">
        <f>IFERROR(__xludf.DUMMYFUNCTION("""COMPUTED_VALUE"""),2249.0)</f>
        <v>2249</v>
      </c>
    </row>
    <row r="2082">
      <c r="A2082" s="4">
        <f>IFERROR(__xludf.DUMMYFUNCTION("""COMPUTED_VALUE"""),44450.0)</f>
        <v>44450</v>
      </c>
      <c r="B2082" s="5">
        <f>IFERROR(__xludf.DUMMYFUNCTION("""COMPUTED_VALUE"""),1389.0)</f>
        <v>1389</v>
      </c>
      <c r="C2082" s="6">
        <f>IFERROR(__xludf.DUMMYFUNCTION("""COMPUTED_VALUE"""),0.5713)</f>
        <v>0.5713</v>
      </c>
      <c r="D2082" s="2">
        <f>IFERROR(__xludf.DUMMYFUNCTION("""COMPUTED_VALUE"""),0.0015277777777777779)</f>
        <v>0.001527777778</v>
      </c>
      <c r="E2082" s="1">
        <f>IFERROR(__xludf.DUMMYFUNCTION("""COMPUTED_VALUE"""),1.05)</f>
        <v>1.05</v>
      </c>
      <c r="F2082" s="1">
        <f>IFERROR(__xludf.DUMMYFUNCTION("""COMPUTED_VALUE"""),4.76)</f>
        <v>4.76</v>
      </c>
      <c r="G2082" s="5">
        <f>IFERROR(__xludf.DUMMYFUNCTION("""COMPUTED_VALUE"""),6943.0)</f>
        <v>6943</v>
      </c>
      <c r="H2082" s="5">
        <f>IFERROR(__xludf.DUMMYFUNCTION("""COMPUTED_VALUE"""),1458.0)</f>
        <v>1458</v>
      </c>
    </row>
    <row r="2083">
      <c r="A2083" s="4">
        <f>IFERROR(__xludf.DUMMYFUNCTION("""COMPUTED_VALUE"""),44451.0)</f>
        <v>44451</v>
      </c>
      <c r="B2083" s="5">
        <f>IFERROR(__xludf.DUMMYFUNCTION("""COMPUTED_VALUE"""),1402.0)</f>
        <v>1402</v>
      </c>
      <c r="C2083" s="6">
        <f>IFERROR(__xludf.DUMMYFUNCTION("""COMPUTED_VALUE"""),0.5131)</f>
        <v>0.5131</v>
      </c>
      <c r="D2083" s="2">
        <f>IFERROR(__xludf.DUMMYFUNCTION("""COMPUTED_VALUE"""),0.0022453703703703702)</f>
        <v>0.00224537037</v>
      </c>
      <c r="E2083" s="1">
        <f>IFERROR(__xludf.DUMMYFUNCTION("""COMPUTED_VALUE"""),1.12)</f>
        <v>1.12</v>
      </c>
      <c r="F2083" s="1">
        <f>IFERROR(__xludf.DUMMYFUNCTION("""COMPUTED_VALUE"""),4.27)</f>
        <v>4.27</v>
      </c>
      <c r="G2083" s="5">
        <f>IFERROR(__xludf.DUMMYFUNCTION("""COMPUTED_VALUE"""),6693.0)</f>
        <v>6693</v>
      </c>
      <c r="H2083" s="5">
        <f>IFERROR(__xludf.DUMMYFUNCTION("""COMPUTED_VALUE"""),1569.0)</f>
        <v>1569</v>
      </c>
    </row>
    <row r="2084">
      <c r="A2084" s="4">
        <f>IFERROR(__xludf.DUMMYFUNCTION("""COMPUTED_VALUE"""),44452.0)</f>
        <v>44452</v>
      </c>
      <c r="B2084" s="5">
        <f>IFERROR(__xludf.DUMMYFUNCTION("""COMPUTED_VALUE"""),2361.0)</f>
        <v>2361</v>
      </c>
      <c r="C2084" s="6">
        <f>IFERROR(__xludf.DUMMYFUNCTION("""COMPUTED_VALUE"""),0.5305)</f>
        <v>0.5305</v>
      </c>
      <c r="D2084" s="2">
        <f>IFERROR(__xludf.DUMMYFUNCTION("""COMPUTED_VALUE"""),0.001736111111111111)</f>
        <v>0.001736111111</v>
      </c>
      <c r="E2084" s="1">
        <f>IFERROR(__xludf.DUMMYFUNCTION("""COMPUTED_VALUE"""),1.15)</f>
        <v>1.15</v>
      </c>
      <c r="F2084" s="1">
        <f>IFERROR(__xludf.DUMMYFUNCTION("""COMPUTED_VALUE"""),3.91)</f>
        <v>3.91</v>
      </c>
      <c r="G2084" s="5">
        <f>IFERROR(__xludf.DUMMYFUNCTION("""COMPUTED_VALUE"""),10636.0)</f>
        <v>10636</v>
      </c>
      <c r="H2084" s="5">
        <f>IFERROR(__xludf.DUMMYFUNCTION("""COMPUTED_VALUE"""),2722.0)</f>
        <v>2722</v>
      </c>
    </row>
    <row r="2085">
      <c r="A2085" s="4">
        <f>IFERROR(__xludf.DUMMYFUNCTION("""COMPUTED_VALUE"""),44453.0)</f>
        <v>44453</v>
      </c>
      <c r="B2085" s="5">
        <f>IFERROR(__xludf.DUMMYFUNCTION("""COMPUTED_VALUE"""),2624.0)</f>
        <v>2624</v>
      </c>
      <c r="C2085" s="6">
        <f>IFERROR(__xludf.DUMMYFUNCTION("""COMPUTED_VALUE"""),0.4802)</f>
        <v>0.4802</v>
      </c>
      <c r="D2085" s="2">
        <f>IFERROR(__xludf.DUMMYFUNCTION("""COMPUTED_VALUE"""),0.0020486111111111113)</f>
        <v>0.002048611111</v>
      </c>
      <c r="E2085" s="1">
        <f>IFERROR(__xludf.DUMMYFUNCTION("""COMPUTED_VALUE"""),1.07)</f>
        <v>1.07</v>
      </c>
      <c r="F2085" s="1">
        <f>IFERROR(__xludf.DUMMYFUNCTION("""COMPUTED_VALUE"""),4.85)</f>
        <v>4.85</v>
      </c>
      <c r="G2085" s="5">
        <f>IFERROR(__xludf.DUMMYFUNCTION("""COMPUTED_VALUE"""),13608.0)</f>
        <v>13608</v>
      </c>
      <c r="H2085" s="5">
        <f>IFERROR(__xludf.DUMMYFUNCTION("""COMPUTED_VALUE"""),2805.0)</f>
        <v>2805</v>
      </c>
    </row>
    <row r="2086">
      <c r="A2086" s="4">
        <f>IFERROR(__xludf.DUMMYFUNCTION("""COMPUTED_VALUE"""),44454.0)</f>
        <v>44454</v>
      </c>
      <c r="B2086" s="5">
        <f>IFERROR(__xludf.DUMMYFUNCTION("""COMPUTED_VALUE"""),2847.0)</f>
        <v>2847</v>
      </c>
      <c r="C2086" s="6">
        <f>IFERROR(__xludf.DUMMYFUNCTION("""COMPUTED_VALUE"""),0.4866)</f>
        <v>0.4866</v>
      </c>
      <c r="D2086" s="2">
        <f>IFERROR(__xludf.DUMMYFUNCTION("""COMPUTED_VALUE"""),0.0016898148148148148)</f>
        <v>0.001689814815</v>
      </c>
      <c r="E2086" s="1">
        <f>IFERROR(__xludf.DUMMYFUNCTION("""COMPUTED_VALUE"""),1.1)</f>
        <v>1.1</v>
      </c>
      <c r="F2086" s="1">
        <f>IFERROR(__xludf.DUMMYFUNCTION("""COMPUTED_VALUE"""),4.41)</f>
        <v>4.41</v>
      </c>
      <c r="G2086" s="5">
        <f>IFERROR(__xludf.DUMMYFUNCTION("""COMPUTED_VALUE"""),13844.0)</f>
        <v>13844</v>
      </c>
      <c r="H2086" s="5">
        <f>IFERROR(__xludf.DUMMYFUNCTION("""COMPUTED_VALUE"""),3138.0)</f>
        <v>3138</v>
      </c>
    </row>
    <row r="2087">
      <c r="A2087" s="4">
        <f>IFERROR(__xludf.DUMMYFUNCTION("""COMPUTED_VALUE"""),44455.0)</f>
        <v>44455</v>
      </c>
      <c r="B2087" s="5">
        <f>IFERROR(__xludf.DUMMYFUNCTION("""COMPUTED_VALUE"""),2485.0)</f>
        <v>2485</v>
      </c>
      <c r="C2087" s="6">
        <f>IFERROR(__xludf.DUMMYFUNCTION("""COMPUTED_VALUE"""),0.456)</f>
        <v>0.456</v>
      </c>
      <c r="D2087" s="2">
        <f>IFERROR(__xludf.DUMMYFUNCTION("""COMPUTED_VALUE"""),0.0018287037037037037)</f>
        <v>0.001828703704</v>
      </c>
      <c r="E2087" s="1">
        <f>IFERROR(__xludf.DUMMYFUNCTION("""COMPUTED_VALUE"""),1.08)</f>
        <v>1.08</v>
      </c>
      <c r="F2087" s="1">
        <f>IFERROR(__xludf.DUMMYFUNCTION("""COMPUTED_VALUE"""),5.13)</f>
        <v>5.13</v>
      </c>
      <c r="G2087" s="5">
        <f>IFERROR(__xludf.DUMMYFUNCTION("""COMPUTED_VALUE"""),13760.0)</f>
        <v>13760</v>
      </c>
      <c r="H2087" s="5">
        <f>IFERROR(__xludf.DUMMYFUNCTION("""COMPUTED_VALUE"""),2680.0)</f>
        <v>2680</v>
      </c>
    </row>
    <row r="2088">
      <c r="A2088" s="4">
        <f>IFERROR(__xludf.DUMMYFUNCTION("""COMPUTED_VALUE"""),44456.0)</f>
        <v>44456</v>
      </c>
      <c r="B2088" s="5">
        <f>IFERROR(__xludf.DUMMYFUNCTION("""COMPUTED_VALUE"""),2291.0)</f>
        <v>2291</v>
      </c>
      <c r="C2088" s="6">
        <f>IFERROR(__xludf.DUMMYFUNCTION("""COMPUTED_VALUE"""),0.5537)</f>
        <v>0.5537</v>
      </c>
      <c r="D2088" s="2">
        <f>IFERROR(__xludf.DUMMYFUNCTION("""COMPUTED_VALUE"""),0.0016550925925925926)</f>
        <v>0.001655092593</v>
      </c>
      <c r="E2088" s="1">
        <f>IFERROR(__xludf.DUMMYFUNCTION("""COMPUTED_VALUE"""),1.07)</f>
        <v>1.07</v>
      </c>
      <c r="F2088" s="1">
        <f>IFERROR(__xludf.DUMMYFUNCTION("""COMPUTED_VALUE"""),3.63)</f>
        <v>3.63</v>
      </c>
      <c r="G2088" s="5">
        <f>IFERROR(__xludf.DUMMYFUNCTION("""COMPUTED_VALUE"""),8914.0)</f>
        <v>8914</v>
      </c>
      <c r="H2088" s="5">
        <f>IFERROR(__xludf.DUMMYFUNCTION("""COMPUTED_VALUE"""),2458.0)</f>
        <v>2458</v>
      </c>
    </row>
    <row r="2089">
      <c r="A2089" s="4">
        <f>IFERROR(__xludf.DUMMYFUNCTION("""COMPUTED_VALUE"""),44457.0)</f>
        <v>44457</v>
      </c>
      <c r="B2089" s="5">
        <f>IFERROR(__xludf.DUMMYFUNCTION("""COMPUTED_VALUE"""),1375.0)</f>
        <v>1375</v>
      </c>
      <c r="C2089" s="6">
        <f>IFERROR(__xludf.DUMMYFUNCTION("""COMPUTED_VALUE"""),0.5374)</f>
        <v>0.5374</v>
      </c>
      <c r="D2089" s="2">
        <f>IFERROR(__xludf.DUMMYFUNCTION("""COMPUTED_VALUE"""),0.001400462962962963)</f>
        <v>0.001400462963</v>
      </c>
      <c r="E2089" s="1">
        <f>IFERROR(__xludf.DUMMYFUNCTION("""COMPUTED_VALUE"""),1.07)</f>
        <v>1.07</v>
      </c>
      <c r="F2089" s="1">
        <f>IFERROR(__xludf.DUMMYFUNCTION("""COMPUTED_VALUE"""),3.86)</f>
        <v>3.86</v>
      </c>
      <c r="G2089" s="5">
        <f>IFERROR(__xludf.DUMMYFUNCTION("""COMPUTED_VALUE"""),5679.0)</f>
        <v>5679</v>
      </c>
      <c r="H2089" s="5">
        <f>IFERROR(__xludf.DUMMYFUNCTION("""COMPUTED_VALUE"""),1472.0)</f>
        <v>1472</v>
      </c>
    </row>
    <row r="2090">
      <c r="A2090" s="4">
        <f>IFERROR(__xludf.DUMMYFUNCTION("""COMPUTED_VALUE"""),44458.0)</f>
        <v>44458</v>
      </c>
      <c r="B2090" s="5">
        <f>IFERROR(__xludf.DUMMYFUNCTION("""COMPUTED_VALUE"""),1444.0)</f>
        <v>1444</v>
      </c>
      <c r="C2090" s="6">
        <f>IFERROR(__xludf.DUMMYFUNCTION("""COMPUTED_VALUE"""),0.5003)</f>
        <v>0.5003</v>
      </c>
      <c r="D2090" s="2">
        <f>IFERROR(__xludf.DUMMYFUNCTION("""COMPUTED_VALUE"""),0.002337962962962963)</f>
        <v>0.002337962963</v>
      </c>
      <c r="E2090" s="1">
        <f>IFERROR(__xludf.DUMMYFUNCTION("""COMPUTED_VALUE"""),1.08)</f>
        <v>1.08</v>
      </c>
      <c r="F2090" s="1">
        <f>IFERROR(__xludf.DUMMYFUNCTION("""COMPUTED_VALUE"""),4.3)</f>
        <v>4.3</v>
      </c>
      <c r="G2090" s="5">
        <f>IFERROR(__xludf.DUMMYFUNCTION("""COMPUTED_VALUE"""),6679.0)</f>
        <v>6679</v>
      </c>
      <c r="H2090" s="5">
        <f>IFERROR(__xludf.DUMMYFUNCTION("""COMPUTED_VALUE"""),1555.0)</f>
        <v>1555</v>
      </c>
    </row>
    <row r="2091">
      <c r="A2091" s="4">
        <f>IFERROR(__xludf.DUMMYFUNCTION("""COMPUTED_VALUE"""),44459.0)</f>
        <v>44459</v>
      </c>
      <c r="B2091" s="5">
        <f>IFERROR(__xludf.DUMMYFUNCTION("""COMPUTED_VALUE"""),2583.0)</f>
        <v>2583</v>
      </c>
      <c r="C2091" s="6">
        <f>IFERROR(__xludf.DUMMYFUNCTION("""COMPUTED_VALUE"""),0.4394)</f>
        <v>0.4394</v>
      </c>
      <c r="D2091" s="2">
        <f>IFERROR(__xludf.DUMMYFUNCTION("""COMPUTED_VALUE"""),0.0024421296296296296)</f>
        <v>0.00244212963</v>
      </c>
      <c r="E2091" s="1">
        <f>IFERROR(__xludf.DUMMYFUNCTION("""COMPUTED_VALUE"""),1.06)</f>
        <v>1.06</v>
      </c>
      <c r="F2091" s="1">
        <f>IFERROR(__xludf.DUMMYFUNCTION("""COMPUTED_VALUE"""),5.28)</f>
        <v>5.28</v>
      </c>
      <c r="G2091" s="5">
        <f>IFERROR(__xludf.DUMMYFUNCTION("""COMPUTED_VALUE"""),14524.0)</f>
        <v>14524</v>
      </c>
      <c r="H2091" s="5">
        <f>IFERROR(__xludf.DUMMYFUNCTION("""COMPUTED_VALUE"""),2749.0)</f>
        <v>2749</v>
      </c>
    </row>
    <row r="2092">
      <c r="A2092" s="4">
        <f>IFERROR(__xludf.DUMMYFUNCTION("""COMPUTED_VALUE"""),44460.0)</f>
        <v>44460</v>
      </c>
      <c r="B2092" s="5">
        <f>IFERROR(__xludf.DUMMYFUNCTION("""COMPUTED_VALUE"""),2527.0)</f>
        <v>2527</v>
      </c>
      <c r="C2092" s="6">
        <f>IFERROR(__xludf.DUMMYFUNCTION("""COMPUTED_VALUE"""),0.4394)</f>
        <v>0.4394</v>
      </c>
      <c r="D2092" s="2">
        <f>IFERROR(__xludf.DUMMYFUNCTION("""COMPUTED_VALUE"""),0.0025)</f>
        <v>0.0025</v>
      </c>
      <c r="E2092" s="1">
        <f>IFERROR(__xludf.DUMMYFUNCTION("""COMPUTED_VALUE"""),1.09)</f>
        <v>1.09</v>
      </c>
      <c r="F2092" s="1">
        <f>IFERROR(__xludf.DUMMYFUNCTION("""COMPUTED_VALUE"""),5.1)</f>
        <v>5.1</v>
      </c>
      <c r="G2092" s="5">
        <f>IFERROR(__xludf.DUMMYFUNCTION("""COMPUTED_VALUE"""),14010.0)</f>
        <v>14010</v>
      </c>
      <c r="H2092" s="5">
        <f>IFERROR(__xludf.DUMMYFUNCTION("""COMPUTED_VALUE"""),2749.0)</f>
        <v>2749</v>
      </c>
    </row>
    <row r="2093">
      <c r="A2093" s="4">
        <f>IFERROR(__xludf.DUMMYFUNCTION("""COMPUTED_VALUE"""),44461.0)</f>
        <v>44461</v>
      </c>
      <c r="B2093" s="5">
        <f>IFERROR(__xludf.DUMMYFUNCTION("""COMPUTED_VALUE"""),2610.0)</f>
        <v>2610</v>
      </c>
      <c r="C2093" s="6">
        <f>IFERROR(__xludf.DUMMYFUNCTION("""COMPUTED_VALUE"""),0.4524)</f>
        <v>0.4524</v>
      </c>
      <c r="D2093" s="2">
        <f>IFERROR(__xludf.DUMMYFUNCTION("""COMPUTED_VALUE"""),0.002488425925925926)</f>
        <v>0.002488425926</v>
      </c>
      <c r="E2093" s="1">
        <f>IFERROR(__xludf.DUMMYFUNCTION("""COMPUTED_VALUE"""),1.06)</f>
        <v>1.06</v>
      </c>
      <c r="F2093" s="1">
        <f>IFERROR(__xludf.DUMMYFUNCTION("""COMPUTED_VALUE"""),5.02)</f>
        <v>5.02</v>
      </c>
      <c r="G2093" s="5">
        <f>IFERROR(__xludf.DUMMYFUNCTION("""COMPUTED_VALUE"""),13858.0)</f>
        <v>13858</v>
      </c>
      <c r="H2093" s="5">
        <f>IFERROR(__xludf.DUMMYFUNCTION("""COMPUTED_VALUE"""),2763.0)</f>
        <v>2763</v>
      </c>
    </row>
    <row r="2094">
      <c r="A2094" s="4">
        <f>IFERROR(__xludf.DUMMYFUNCTION("""COMPUTED_VALUE"""),44462.0)</f>
        <v>44462</v>
      </c>
      <c r="B2094" s="5">
        <f>IFERROR(__xludf.DUMMYFUNCTION("""COMPUTED_VALUE"""),2458.0)</f>
        <v>2458</v>
      </c>
      <c r="C2094" s="6">
        <f>IFERROR(__xludf.DUMMYFUNCTION("""COMPUTED_VALUE"""),0.3601)</f>
        <v>0.3601</v>
      </c>
      <c r="D2094" s="2">
        <f>IFERROR(__xludf.DUMMYFUNCTION("""COMPUTED_VALUE"""),0.003310185185185185)</f>
        <v>0.003310185185</v>
      </c>
      <c r="E2094" s="1">
        <f>IFERROR(__xludf.DUMMYFUNCTION("""COMPUTED_VALUE"""),1.13)</f>
        <v>1.13</v>
      </c>
      <c r="F2094" s="1">
        <f>IFERROR(__xludf.DUMMYFUNCTION("""COMPUTED_VALUE"""),6.33)</f>
        <v>6.33</v>
      </c>
      <c r="G2094" s="5">
        <f>IFERROR(__xludf.DUMMYFUNCTION("""COMPUTED_VALUE"""),17579.0)</f>
        <v>17579</v>
      </c>
      <c r="H2094" s="5">
        <f>IFERROR(__xludf.DUMMYFUNCTION("""COMPUTED_VALUE"""),2777.0)</f>
        <v>2777</v>
      </c>
    </row>
    <row r="2095">
      <c r="A2095" s="4">
        <f>IFERROR(__xludf.DUMMYFUNCTION("""COMPUTED_VALUE"""),44463.0)</f>
        <v>44463</v>
      </c>
      <c r="B2095" s="5">
        <f>IFERROR(__xludf.DUMMYFUNCTION("""COMPUTED_VALUE"""),2055.0)</f>
        <v>2055</v>
      </c>
      <c r="C2095" s="6">
        <f>IFERROR(__xludf.DUMMYFUNCTION("""COMPUTED_VALUE"""),0.4182)</f>
        <v>0.4182</v>
      </c>
      <c r="D2095" s="2">
        <f>IFERROR(__xludf.DUMMYFUNCTION("""COMPUTED_VALUE"""),0.003472222222222222)</f>
        <v>0.003472222222</v>
      </c>
      <c r="E2095" s="1">
        <f>IFERROR(__xludf.DUMMYFUNCTION("""COMPUTED_VALUE"""),1.11)</f>
        <v>1.11</v>
      </c>
      <c r="F2095" s="1">
        <f>IFERROR(__xludf.DUMMYFUNCTION("""COMPUTED_VALUE"""),5.22)</f>
        <v>5.22</v>
      </c>
      <c r="G2095" s="5">
        <f>IFERROR(__xludf.DUMMYFUNCTION("""COMPUTED_VALUE"""),11969.0)</f>
        <v>11969</v>
      </c>
      <c r="H2095" s="5">
        <f>IFERROR(__xludf.DUMMYFUNCTION("""COMPUTED_VALUE"""),2291.0)</f>
        <v>2291</v>
      </c>
    </row>
    <row r="2096">
      <c r="A2096" s="4">
        <f>IFERROR(__xludf.DUMMYFUNCTION("""COMPUTED_VALUE"""),44464.0)</f>
        <v>44464</v>
      </c>
      <c r="B2096" s="5">
        <f>IFERROR(__xludf.DUMMYFUNCTION("""COMPUTED_VALUE"""),1222.0)</f>
        <v>1222</v>
      </c>
      <c r="C2096" s="6">
        <f>IFERROR(__xludf.DUMMYFUNCTION("""COMPUTED_VALUE"""),0.5531)</f>
        <v>0.5531</v>
      </c>
      <c r="D2096" s="2">
        <f>IFERROR(__xludf.DUMMYFUNCTION("""COMPUTED_VALUE"""),0.0017824074074074075)</f>
        <v>0.001782407407</v>
      </c>
      <c r="E2096" s="1">
        <f>IFERROR(__xludf.DUMMYFUNCTION("""COMPUTED_VALUE"""),1.17)</f>
        <v>1.17</v>
      </c>
      <c r="F2096" s="1">
        <f>IFERROR(__xludf.DUMMYFUNCTION("""COMPUTED_VALUE"""),3.52)</f>
        <v>3.52</v>
      </c>
      <c r="G2096" s="5">
        <f>IFERROR(__xludf.DUMMYFUNCTION("""COMPUTED_VALUE"""),5040.0)</f>
        <v>5040</v>
      </c>
      <c r="H2096" s="5">
        <f>IFERROR(__xludf.DUMMYFUNCTION("""COMPUTED_VALUE"""),1430.0)</f>
        <v>1430</v>
      </c>
    </row>
    <row r="2097">
      <c r="A2097" s="4">
        <f>IFERROR(__xludf.DUMMYFUNCTION("""COMPUTED_VALUE"""),44465.0)</f>
        <v>44465</v>
      </c>
      <c r="B2097" s="5">
        <f>IFERROR(__xludf.DUMMYFUNCTION("""COMPUTED_VALUE"""),1583.0)</f>
        <v>1583</v>
      </c>
      <c r="C2097" s="6">
        <f>IFERROR(__xludf.DUMMYFUNCTION("""COMPUTED_VALUE"""),0.5234)</f>
        <v>0.5234</v>
      </c>
      <c r="D2097" s="2">
        <f>IFERROR(__xludf.DUMMYFUNCTION("""COMPUTED_VALUE"""),0.0021759259259259258)</f>
        <v>0.002175925926</v>
      </c>
      <c r="E2097" s="1">
        <f>IFERROR(__xludf.DUMMYFUNCTION("""COMPUTED_VALUE"""),1.11)</f>
        <v>1.11</v>
      </c>
      <c r="F2097" s="1">
        <f>IFERROR(__xludf.DUMMYFUNCTION("""COMPUTED_VALUE"""),3.59)</f>
        <v>3.59</v>
      </c>
      <c r="G2097" s="5">
        <f>IFERROR(__xludf.DUMMYFUNCTION("""COMPUTED_VALUE"""),6290.0)</f>
        <v>6290</v>
      </c>
      <c r="H2097" s="5">
        <f>IFERROR(__xludf.DUMMYFUNCTION("""COMPUTED_VALUE"""),1750.0)</f>
        <v>1750</v>
      </c>
    </row>
    <row r="2098">
      <c r="A2098" s="4">
        <f>IFERROR(__xludf.DUMMYFUNCTION("""COMPUTED_VALUE"""),44466.0)</f>
        <v>44466</v>
      </c>
      <c r="B2098" s="5">
        <f>IFERROR(__xludf.DUMMYFUNCTION("""COMPUTED_VALUE"""),3360.0)</f>
        <v>3360</v>
      </c>
      <c r="C2098" s="6">
        <f>IFERROR(__xludf.DUMMYFUNCTION("""COMPUTED_VALUE"""),0.5073)</f>
        <v>0.5073</v>
      </c>
      <c r="D2098" s="2">
        <f>IFERROR(__xludf.DUMMYFUNCTION("""COMPUTED_VALUE"""),0.0016550925925925926)</f>
        <v>0.001655092593</v>
      </c>
      <c r="E2098" s="1">
        <f>IFERROR(__xludf.DUMMYFUNCTION("""COMPUTED_VALUE"""),1.12)</f>
        <v>1.12</v>
      </c>
      <c r="F2098" s="1">
        <f>IFERROR(__xludf.DUMMYFUNCTION("""COMPUTED_VALUE"""),4.43)</f>
        <v>4.43</v>
      </c>
      <c r="G2098" s="5">
        <f>IFERROR(__xludf.DUMMYFUNCTION("""COMPUTED_VALUE"""),16607.0)</f>
        <v>16607</v>
      </c>
      <c r="H2098" s="5">
        <f>IFERROR(__xludf.DUMMYFUNCTION("""COMPUTED_VALUE"""),3749.0)</f>
        <v>3749</v>
      </c>
    </row>
    <row r="2099">
      <c r="A2099" s="4">
        <f>IFERROR(__xludf.DUMMYFUNCTION("""COMPUTED_VALUE"""),44467.0)</f>
        <v>44467</v>
      </c>
      <c r="B2099" s="5">
        <f>IFERROR(__xludf.DUMMYFUNCTION("""COMPUTED_VALUE"""),2930.0)</f>
        <v>2930</v>
      </c>
      <c r="C2099" s="6">
        <f>IFERROR(__xludf.DUMMYFUNCTION("""COMPUTED_VALUE"""),0.3613)</f>
        <v>0.3613</v>
      </c>
      <c r="D2099" s="2">
        <f>IFERROR(__xludf.DUMMYFUNCTION("""COMPUTED_VALUE"""),0.0032523148148148147)</f>
        <v>0.003252314815</v>
      </c>
      <c r="E2099" s="1">
        <f>IFERROR(__xludf.DUMMYFUNCTION("""COMPUTED_VALUE"""),1.13)</f>
        <v>1.13</v>
      </c>
      <c r="F2099" s="1">
        <f>IFERROR(__xludf.DUMMYFUNCTION("""COMPUTED_VALUE"""),6.13)</f>
        <v>6.13</v>
      </c>
      <c r="G2099" s="5">
        <f>IFERROR(__xludf.DUMMYFUNCTION("""COMPUTED_VALUE"""),20245.0)</f>
        <v>20245</v>
      </c>
      <c r="H2099" s="5">
        <f>IFERROR(__xludf.DUMMYFUNCTION("""COMPUTED_VALUE"""),3305.0)</f>
        <v>3305</v>
      </c>
    </row>
    <row r="2100">
      <c r="A2100" s="4">
        <f>IFERROR(__xludf.DUMMYFUNCTION("""COMPUTED_VALUE"""),44468.0)</f>
        <v>44468</v>
      </c>
      <c r="B2100" s="5">
        <f>IFERROR(__xludf.DUMMYFUNCTION("""COMPUTED_VALUE"""),2833.0)</f>
        <v>2833</v>
      </c>
      <c r="C2100" s="6">
        <f>IFERROR(__xludf.DUMMYFUNCTION("""COMPUTED_VALUE"""),0.4148)</f>
        <v>0.4148</v>
      </c>
      <c r="D2100" s="2">
        <f>IFERROR(__xludf.DUMMYFUNCTION("""COMPUTED_VALUE"""),0.0021527777777777778)</f>
        <v>0.002152777778</v>
      </c>
      <c r="E2100" s="1">
        <f>IFERROR(__xludf.DUMMYFUNCTION("""COMPUTED_VALUE"""),1.12)</f>
        <v>1.12</v>
      </c>
      <c r="F2100" s="1">
        <f>IFERROR(__xludf.DUMMYFUNCTION("""COMPUTED_VALUE"""),4.85)</f>
        <v>4.85</v>
      </c>
      <c r="G2100" s="5">
        <f>IFERROR(__xludf.DUMMYFUNCTION("""COMPUTED_VALUE"""),15427.0)</f>
        <v>15427</v>
      </c>
      <c r="H2100" s="5">
        <f>IFERROR(__xludf.DUMMYFUNCTION("""COMPUTED_VALUE"""),3180.0)</f>
        <v>3180</v>
      </c>
    </row>
    <row r="2101">
      <c r="A2101" s="4">
        <f>IFERROR(__xludf.DUMMYFUNCTION("""COMPUTED_VALUE"""),44469.0)</f>
        <v>44469</v>
      </c>
      <c r="B2101" s="5">
        <f>IFERROR(__xludf.DUMMYFUNCTION("""COMPUTED_VALUE"""),2666.0)</f>
        <v>2666</v>
      </c>
      <c r="C2101" s="6">
        <f>IFERROR(__xludf.DUMMYFUNCTION("""COMPUTED_VALUE"""),0.3902)</f>
        <v>0.3902</v>
      </c>
      <c r="D2101" s="2">
        <f>IFERROR(__xludf.DUMMYFUNCTION("""COMPUTED_VALUE"""),0.003125)</f>
        <v>0.003125</v>
      </c>
      <c r="E2101" s="1">
        <f>IFERROR(__xludf.DUMMYFUNCTION("""COMPUTED_VALUE"""),1.07)</f>
        <v>1.07</v>
      </c>
      <c r="F2101" s="1">
        <f>IFERROR(__xludf.DUMMYFUNCTION("""COMPUTED_VALUE"""),7.16)</f>
        <v>7.16</v>
      </c>
      <c r="G2101" s="5">
        <f>IFERROR(__xludf.DUMMYFUNCTION("""COMPUTED_VALUE"""),20398.0)</f>
        <v>20398</v>
      </c>
      <c r="H2101" s="5">
        <f>IFERROR(__xludf.DUMMYFUNCTION("""COMPUTED_VALUE"""),2847.0)</f>
        <v>2847</v>
      </c>
    </row>
    <row r="2102">
      <c r="A2102" s="4">
        <f>IFERROR(__xludf.DUMMYFUNCTION("""COMPUTED_VALUE"""),44470.0)</f>
        <v>44470</v>
      </c>
      <c r="B2102" s="5">
        <f>IFERROR(__xludf.DUMMYFUNCTION("""COMPUTED_VALUE"""),2166.0)</f>
        <v>2166</v>
      </c>
      <c r="C2102" s="6">
        <f>IFERROR(__xludf.DUMMYFUNCTION("""COMPUTED_VALUE"""),0.4153)</f>
        <v>0.4153</v>
      </c>
      <c r="D2102" s="2">
        <f>IFERROR(__xludf.DUMMYFUNCTION("""COMPUTED_VALUE"""),0.0029861111111111113)</f>
        <v>0.002986111111</v>
      </c>
      <c r="E2102" s="1">
        <f>IFERROR(__xludf.DUMMYFUNCTION("""COMPUTED_VALUE"""),1.1)</f>
        <v>1.1</v>
      </c>
      <c r="F2102" s="1">
        <f>IFERROR(__xludf.DUMMYFUNCTION("""COMPUTED_VALUE"""),6.14)</f>
        <v>6.14</v>
      </c>
      <c r="G2102" s="5">
        <f>IFERROR(__xludf.DUMMYFUNCTION("""COMPUTED_VALUE"""),14566.0)</f>
        <v>14566</v>
      </c>
      <c r="H2102" s="5">
        <f>IFERROR(__xludf.DUMMYFUNCTION("""COMPUTED_VALUE"""),2374.0)</f>
        <v>2374</v>
      </c>
    </row>
    <row r="2103">
      <c r="A2103" s="4">
        <f>IFERROR(__xludf.DUMMYFUNCTION("""COMPUTED_VALUE"""),44471.0)</f>
        <v>44471</v>
      </c>
      <c r="B2103" s="5">
        <f>IFERROR(__xludf.DUMMYFUNCTION("""COMPUTED_VALUE"""),1541.0)</f>
        <v>1541</v>
      </c>
      <c r="C2103" s="6">
        <f>IFERROR(__xludf.DUMMYFUNCTION("""COMPUTED_VALUE"""),0.5736)</f>
        <v>0.5736</v>
      </c>
      <c r="D2103" s="2">
        <f>IFERROR(__xludf.DUMMYFUNCTION("""COMPUTED_VALUE"""),0.0017708333333333332)</f>
        <v>0.001770833333</v>
      </c>
      <c r="E2103" s="1">
        <f>IFERROR(__xludf.DUMMYFUNCTION("""COMPUTED_VALUE"""),1.04)</f>
        <v>1.04</v>
      </c>
      <c r="F2103" s="1">
        <f>IFERROR(__xludf.DUMMYFUNCTION("""COMPUTED_VALUE"""),3.95)</f>
        <v>3.95</v>
      </c>
      <c r="G2103" s="5">
        <f>IFERROR(__xludf.DUMMYFUNCTION("""COMPUTED_VALUE"""),6304.0)</f>
        <v>6304</v>
      </c>
      <c r="H2103" s="5">
        <f>IFERROR(__xludf.DUMMYFUNCTION("""COMPUTED_VALUE"""),1597.0)</f>
        <v>1597</v>
      </c>
    </row>
    <row r="2104">
      <c r="A2104" s="4">
        <f>IFERROR(__xludf.DUMMYFUNCTION("""COMPUTED_VALUE"""),44472.0)</f>
        <v>44472</v>
      </c>
      <c r="B2104" s="5">
        <f>IFERROR(__xludf.DUMMYFUNCTION("""COMPUTED_VALUE"""),1500.0)</f>
        <v>1500</v>
      </c>
      <c r="C2104" s="6">
        <f>IFERROR(__xludf.DUMMYFUNCTION("""COMPUTED_VALUE"""),0.4829)</f>
        <v>0.4829</v>
      </c>
      <c r="D2104" s="2">
        <f>IFERROR(__xludf.DUMMYFUNCTION("""COMPUTED_VALUE"""),0.002025462962962963)</f>
        <v>0.002025462963</v>
      </c>
      <c r="E2104" s="1">
        <f>IFERROR(__xludf.DUMMYFUNCTION("""COMPUTED_VALUE"""),1.09)</f>
        <v>1.09</v>
      </c>
      <c r="F2104" s="1">
        <f>IFERROR(__xludf.DUMMYFUNCTION("""COMPUTED_VALUE"""),4.58)</f>
        <v>4.58</v>
      </c>
      <c r="G2104" s="5">
        <f>IFERROR(__xludf.DUMMYFUNCTION("""COMPUTED_VALUE"""),7498.0)</f>
        <v>7498</v>
      </c>
      <c r="H2104" s="5">
        <f>IFERROR(__xludf.DUMMYFUNCTION("""COMPUTED_VALUE"""),1638.0)</f>
        <v>1638</v>
      </c>
    </row>
    <row r="2105">
      <c r="A2105" s="4">
        <f>IFERROR(__xludf.DUMMYFUNCTION("""COMPUTED_VALUE"""),44473.0)</f>
        <v>44473</v>
      </c>
      <c r="B2105" s="5">
        <f>IFERROR(__xludf.DUMMYFUNCTION("""COMPUTED_VALUE"""),2499.0)</f>
        <v>2499</v>
      </c>
      <c r="C2105" s="6">
        <f>IFERROR(__xludf.DUMMYFUNCTION("""COMPUTED_VALUE"""),0.435)</f>
        <v>0.435</v>
      </c>
      <c r="D2105" s="2">
        <f>IFERROR(__xludf.DUMMYFUNCTION("""COMPUTED_VALUE"""),0.002824074074074074)</f>
        <v>0.002824074074</v>
      </c>
      <c r="E2105" s="1">
        <f>IFERROR(__xludf.DUMMYFUNCTION("""COMPUTED_VALUE"""),1.11)</f>
        <v>1.11</v>
      </c>
      <c r="F2105" s="1">
        <f>IFERROR(__xludf.DUMMYFUNCTION("""COMPUTED_VALUE"""),5.91)</f>
        <v>5.91</v>
      </c>
      <c r="G2105" s="5">
        <f>IFERROR(__xludf.DUMMYFUNCTION("""COMPUTED_VALUE"""),16413.0)</f>
        <v>16413</v>
      </c>
      <c r="H2105" s="5">
        <f>IFERROR(__xludf.DUMMYFUNCTION("""COMPUTED_VALUE"""),2777.0)</f>
        <v>2777</v>
      </c>
    </row>
    <row r="2106">
      <c r="A2106" s="4">
        <f>IFERROR(__xludf.DUMMYFUNCTION("""COMPUTED_VALUE"""),44474.0)</f>
        <v>44474</v>
      </c>
      <c r="B2106" s="5">
        <f>IFERROR(__xludf.DUMMYFUNCTION("""COMPUTED_VALUE"""),2985.0)</f>
        <v>2985</v>
      </c>
      <c r="C2106" s="6">
        <f>IFERROR(__xludf.DUMMYFUNCTION("""COMPUTED_VALUE"""),0.4647)</f>
        <v>0.4647</v>
      </c>
      <c r="D2106" s="2">
        <f>IFERROR(__xludf.DUMMYFUNCTION("""COMPUTED_VALUE"""),0.002210648148148148)</f>
        <v>0.002210648148</v>
      </c>
      <c r="E2106" s="1">
        <f>IFERROR(__xludf.DUMMYFUNCTION("""COMPUTED_VALUE"""),1.12)</f>
        <v>1.12</v>
      </c>
      <c r="F2106" s="1">
        <f>IFERROR(__xludf.DUMMYFUNCTION("""COMPUTED_VALUE"""),5.32)</f>
        <v>5.32</v>
      </c>
      <c r="G2106" s="5">
        <f>IFERROR(__xludf.DUMMYFUNCTION("""COMPUTED_VALUE"""),17801.0)</f>
        <v>17801</v>
      </c>
      <c r="H2106" s="5">
        <f>IFERROR(__xludf.DUMMYFUNCTION("""COMPUTED_VALUE"""),3346.0)</f>
        <v>3346</v>
      </c>
    </row>
    <row r="2107">
      <c r="A2107" s="4">
        <f>IFERROR(__xludf.DUMMYFUNCTION("""COMPUTED_VALUE"""),44475.0)</f>
        <v>44475</v>
      </c>
      <c r="B2107" s="5">
        <f>IFERROR(__xludf.DUMMYFUNCTION("""COMPUTED_VALUE"""),2860.0)</f>
        <v>2860</v>
      </c>
      <c r="C2107" s="6">
        <f>IFERROR(__xludf.DUMMYFUNCTION("""COMPUTED_VALUE"""),0.4605)</f>
        <v>0.4605</v>
      </c>
      <c r="D2107" s="2">
        <f>IFERROR(__xludf.DUMMYFUNCTION("""COMPUTED_VALUE"""),0.002673611111111111)</f>
        <v>0.002673611111</v>
      </c>
      <c r="E2107" s="1">
        <f>IFERROR(__xludf.DUMMYFUNCTION("""COMPUTED_VALUE"""),1.17)</f>
        <v>1.17</v>
      </c>
      <c r="F2107" s="1">
        <f>IFERROR(__xludf.DUMMYFUNCTION("""COMPUTED_VALUE"""),5.43)</f>
        <v>5.43</v>
      </c>
      <c r="G2107" s="5">
        <f>IFERROR(__xludf.DUMMYFUNCTION("""COMPUTED_VALUE"""),18176.0)</f>
        <v>18176</v>
      </c>
      <c r="H2107" s="5">
        <f>IFERROR(__xludf.DUMMYFUNCTION("""COMPUTED_VALUE"""),3346.0)</f>
        <v>3346</v>
      </c>
    </row>
    <row r="2108">
      <c r="A2108" s="4">
        <f>IFERROR(__xludf.DUMMYFUNCTION("""COMPUTED_VALUE"""),44476.0)</f>
        <v>44476</v>
      </c>
      <c r="B2108" s="5">
        <f>IFERROR(__xludf.DUMMYFUNCTION("""COMPUTED_VALUE"""),2930.0)</f>
        <v>2930</v>
      </c>
      <c r="C2108" s="6">
        <f>IFERROR(__xludf.DUMMYFUNCTION("""COMPUTED_VALUE"""),0.4625)</f>
        <v>0.4625</v>
      </c>
      <c r="D2108" s="2">
        <f>IFERROR(__xludf.DUMMYFUNCTION("""COMPUTED_VALUE"""),0.0017592592592592592)</f>
        <v>0.001759259259</v>
      </c>
      <c r="E2108" s="1">
        <f>IFERROR(__xludf.DUMMYFUNCTION("""COMPUTED_VALUE"""),1.14)</f>
        <v>1.14</v>
      </c>
      <c r="F2108" s="1">
        <f>IFERROR(__xludf.DUMMYFUNCTION("""COMPUTED_VALUE"""),3.88)</f>
        <v>3.88</v>
      </c>
      <c r="G2108" s="5">
        <f>IFERROR(__xludf.DUMMYFUNCTION("""COMPUTED_VALUE"""),12927.0)</f>
        <v>12927</v>
      </c>
      <c r="H2108" s="5">
        <f>IFERROR(__xludf.DUMMYFUNCTION("""COMPUTED_VALUE"""),3332.0)</f>
        <v>3332</v>
      </c>
    </row>
    <row r="2109">
      <c r="A2109" s="4">
        <f>IFERROR(__xludf.DUMMYFUNCTION("""COMPUTED_VALUE"""),44477.0)</f>
        <v>44477</v>
      </c>
      <c r="B2109" s="5">
        <f>IFERROR(__xludf.DUMMYFUNCTION("""COMPUTED_VALUE"""),2458.0)</f>
        <v>2458</v>
      </c>
      <c r="C2109" s="6">
        <f>IFERROR(__xludf.DUMMYFUNCTION("""COMPUTED_VALUE"""),0.4386)</f>
        <v>0.4386</v>
      </c>
      <c r="D2109" s="2">
        <f>IFERROR(__xludf.DUMMYFUNCTION("""COMPUTED_VALUE"""),0.0025578703703703705)</f>
        <v>0.00255787037</v>
      </c>
      <c r="E2109" s="1">
        <f>IFERROR(__xludf.DUMMYFUNCTION("""COMPUTED_VALUE"""),1.11)</f>
        <v>1.11</v>
      </c>
      <c r="F2109" s="1">
        <f>IFERROR(__xludf.DUMMYFUNCTION("""COMPUTED_VALUE"""),4.82)</f>
        <v>4.82</v>
      </c>
      <c r="G2109" s="5">
        <f>IFERROR(__xludf.DUMMYFUNCTION("""COMPUTED_VALUE"""),13108.0)</f>
        <v>13108</v>
      </c>
      <c r="H2109" s="5">
        <f>IFERROR(__xludf.DUMMYFUNCTION("""COMPUTED_VALUE"""),2722.0)</f>
        <v>2722</v>
      </c>
    </row>
    <row r="2110">
      <c r="A2110" s="4">
        <f>IFERROR(__xludf.DUMMYFUNCTION("""COMPUTED_VALUE"""),44478.0)</f>
        <v>44478</v>
      </c>
      <c r="B2110" s="5">
        <f>IFERROR(__xludf.DUMMYFUNCTION("""COMPUTED_VALUE"""),1402.0)</f>
        <v>1402</v>
      </c>
      <c r="C2110" s="6">
        <f>IFERROR(__xludf.DUMMYFUNCTION("""COMPUTED_VALUE"""),0.5547)</f>
        <v>0.5547</v>
      </c>
      <c r="D2110" s="2">
        <f>IFERROR(__xludf.DUMMYFUNCTION("""COMPUTED_VALUE"""),0.001736111111111111)</f>
        <v>0.001736111111</v>
      </c>
      <c r="E2110" s="1">
        <f>IFERROR(__xludf.DUMMYFUNCTION("""COMPUTED_VALUE"""),1.09)</f>
        <v>1.09</v>
      </c>
      <c r="F2110" s="1">
        <f>IFERROR(__xludf.DUMMYFUNCTION("""COMPUTED_VALUE"""),3.8)</f>
        <v>3.8</v>
      </c>
      <c r="G2110" s="5">
        <f>IFERROR(__xludf.DUMMYFUNCTION("""COMPUTED_VALUE"""),5804.0)</f>
        <v>5804</v>
      </c>
      <c r="H2110" s="5">
        <f>IFERROR(__xludf.DUMMYFUNCTION("""COMPUTED_VALUE"""),1527.0)</f>
        <v>1527</v>
      </c>
    </row>
    <row r="2111">
      <c r="A2111" s="4">
        <f>IFERROR(__xludf.DUMMYFUNCTION("""COMPUTED_VALUE"""),44479.0)</f>
        <v>44479</v>
      </c>
      <c r="B2111" s="5">
        <f>IFERROR(__xludf.DUMMYFUNCTION("""COMPUTED_VALUE"""),1486.0)</f>
        <v>1486</v>
      </c>
      <c r="C2111" s="6">
        <f>IFERROR(__xludf.DUMMYFUNCTION("""COMPUTED_VALUE"""),0.5723)</f>
        <v>0.5723</v>
      </c>
      <c r="D2111" s="2">
        <f>IFERROR(__xludf.DUMMYFUNCTION("""COMPUTED_VALUE"""),0.001851851851851852)</f>
        <v>0.001851851852</v>
      </c>
      <c r="E2111" s="1">
        <f>IFERROR(__xludf.DUMMYFUNCTION("""COMPUTED_VALUE"""),1.09)</f>
        <v>1.09</v>
      </c>
      <c r="F2111" s="1">
        <f>IFERROR(__xludf.DUMMYFUNCTION("""COMPUTED_VALUE"""),4.13)</f>
        <v>4.13</v>
      </c>
      <c r="G2111" s="5">
        <f>IFERROR(__xludf.DUMMYFUNCTION("""COMPUTED_VALUE"""),6707.0)</f>
        <v>6707</v>
      </c>
      <c r="H2111" s="5">
        <f>IFERROR(__xludf.DUMMYFUNCTION("""COMPUTED_VALUE"""),1625.0)</f>
        <v>1625</v>
      </c>
    </row>
    <row r="2112">
      <c r="A2112" s="4">
        <f>IFERROR(__xludf.DUMMYFUNCTION("""COMPUTED_VALUE"""),44480.0)</f>
        <v>44480</v>
      </c>
      <c r="B2112" s="5">
        <f>IFERROR(__xludf.DUMMYFUNCTION("""COMPUTED_VALUE"""),2583.0)</f>
        <v>2583</v>
      </c>
      <c r="C2112" s="6">
        <f>IFERROR(__xludf.DUMMYFUNCTION("""COMPUTED_VALUE"""),0.4557)</f>
        <v>0.4557</v>
      </c>
      <c r="D2112" s="2">
        <f>IFERROR(__xludf.DUMMYFUNCTION("""COMPUTED_VALUE"""),0.0019560185185185184)</f>
        <v>0.001956018519</v>
      </c>
      <c r="E2112" s="1">
        <f>IFERROR(__xludf.DUMMYFUNCTION("""COMPUTED_VALUE"""),1.1)</f>
        <v>1.1</v>
      </c>
      <c r="F2112" s="1">
        <f>IFERROR(__xludf.DUMMYFUNCTION("""COMPUTED_VALUE"""),5.41)</f>
        <v>5.41</v>
      </c>
      <c r="G2112" s="5">
        <f>IFERROR(__xludf.DUMMYFUNCTION("""COMPUTED_VALUE"""),15329.0)</f>
        <v>15329</v>
      </c>
      <c r="H2112" s="5">
        <f>IFERROR(__xludf.DUMMYFUNCTION("""COMPUTED_VALUE"""),2833.0)</f>
        <v>2833</v>
      </c>
    </row>
    <row r="2113">
      <c r="A2113" s="4">
        <f>IFERROR(__xludf.DUMMYFUNCTION("""COMPUTED_VALUE"""),44481.0)</f>
        <v>44481</v>
      </c>
      <c r="B2113" s="5">
        <f>IFERROR(__xludf.DUMMYFUNCTION("""COMPUTED_VALUE"""),2819.0)</f>
        <v>2819</v>
      </c>
      <c r="C2113" s="6">
        <f>IFERROR(__xludf.DUMMYFUNCTION("""COMPUTED_VALUE"""),0.446)</f>
        <v>0.446</v>
      </c>
      <c r="D2113" s="2">
        <f>IFERROR(__xludf.DUMMYFUNCTION("""COMPUTED_VALUE"""),0.0024652777777777776)</f>
        <v>0.002465277778</v>
      </c>
      <c r="E2113" s="1">
        <f>IFERROR(__xludf.DUMMYFUNCTION("""COMPUTED_VALUE"""),1.09)</f>
        <v>1.09</v>
      </c>
      <c r="F2113" s="1">
        <f>IFERROR(__xludf.DUMMYFUNCTION("""COMPUTED_VALUE"""),4.81)</f>
        <v>4.81</v>
      </c>
      <c r="G2113" s="5">
        <f>IFERROR(__xludf.DUMMYFUNCTION("""COMPUTED_VALUE"""),14816.0)</f>
        <v>14816</v>
      </c>
      <c r="H2113" s="5">
        <f>IFERROR(__xludf.DUMMYFUNCTION("""COMPUTED_VALUE"""),3083.0)</f>
        <v>3083</v>
      </c>
    </row>
    <row r="2114">
      <c r="A2114" s="4">
        <f>IFERROR(__xludf.DUMMYFUNCTION("""COMPUTED_VALUE"""),44482.0)</f>
        <v>44482</v>
      </c>
      <c r="B2114" s="5">
        <f>IFERROR(__xludf.DUMMYFUNCTION("""COMPUTED_VALUE"""),2819.0)</f>
        <v>2819</v>
      </c>
      <c r="C2114" s="6">
        <f>IFERROR(__xludf.DUMMYFUNCTION("""COMPUTED_VALUE"""),0.4911)</f>
        <v>0.4911</v>
      </c>
      <c r="D2114" s="2">
        <f>IFERROR(__xludf.DUMMYFUNCTION("""COMPUTED_VALUE"""),0.0016319444444444445)</f>
        <v>0.001631944444</v>
      </c>
      <c r="E2114" s="1">
        <f>IFERROR(__xludf.DUMMYFUNCTION("""COMPUTED_VALUE"""),1.09)</f>
        <v>1.09</v>
      </c>
      <c r="F2114" s="1">
        <f>IFERROR(__xludf.DUMMYFUNCTION("""COMPUTED_VALUE"""),3.67)</f>
        <v>3.67</v>
      </c>
      <c r="G2114" s="5">
        <f>IFERROR(__xludf.DUMMYFUNCTION("""COMPUTED_VALUE"""),11330.0)</f>
        <v>11330</v>
      </c>
      <c r="H2114" s="5">
        <f>IFERROR(__xludf.DUMMYFUNCTION("""COMPUTED_VALUE"""),3083.0)</f>
        <v>3083</v>
      </c>
    </row>
    <row r="2115">
      <c r="A2115" s="4">
        <f>IFERROR(__xludf.DUMMYFUNCTION("""COMPUTED_VALUE"""),44483.0)</f>
        <v>44483</v>
      </c>
      <c r="B2115" s="5">
        <f>IFERROR(__xludf.DUMMYFUNCTION("""COMPUTED_VALUE"""),2638.0)</f>
        <v>2638</v>
      </c>
      <c r="C2115" s="6">
        <f>IFERROR(__xludf.DUMMYFUNCTION("""COMPUTED_VALUE"""),0.4752)</f>
        <v>0.4752</v>
      </c>
      <c r="D2115" s="2">
        <f>IFERROR(__xludf.DUMMYFUNCTION("""COMPUTED_VALUE"""),0.0018287037037037037)</f>
        <v>0.001828703704</v>
      </c>
      <c r="E2115" s="1">
        <f>IFERROR(__xludf.DUMMYFUNCTION("""COMPUTED_VALUE"""),1.06)</f>
        <v>1.06</v>
      </c>
      <c r="F2115" s="1">
        <f>IFERROR(__xludf.DUMMYFUNCTION("""COMPUTED_VALUE"""),4.45)</f>
        <v>4.45</v>
      </c>
      <c r="G2115" s="5">
        <f>IFERROR(__xludf.DUMMYFUNCTION("""COMPUTED_VALUE"""),12483.0)</f>
        <v>12483</v>
      </c>
      <c r="H2115" s="5">
        <f>IFERROR(__xludf.DUMMYFUNCTION("""COMPUTED_VALUE"""),2805.0)</f>
        <v>2805</v>
      </c>
    </row>
    <row r="2116">
      <c r="A2116" s="4">
        <f>IFERROR(__xludf.DUMMYFUNCTION("""COMPUTED_VALUE"""),44484.0)</f>
        <v>44484</v>
      </c>
      <c r="B2116" s="5">
        <f>IFERROR(__xludf.DUMMYFUNCTION("""COMPUTED_VALUE"""),2277.0)</f>
        <v>2277</v>
      </c>
      <c r="C2116" s="6">
        <f>IFERROR(__xludf.DUMMYFUNCTION("""COMPUTED_VALUE"""),0.4514)</f>
        <v>0.4514</v>
      </c>
      <c r="D2116" s="2">
        <f>IFERROR(__xludf.DUMMYFUNCTION("""COMPUTED_VALUE"""),0.002199074074074074)</f>
        <v>0.002199074074</v>
      </c>
      <c r="E2116" s="1">
        <f>IFERROR(__xludf.DUMMYFUNCTION("""COMPUTED_VALUE"""),1.13)</f>
        <v>1.13</v>
      </c>
      <c r="F2116" s="1">
        <f>IFERROR(__xludf.DUMMYFUNCTION("""COMPUTED_VALUE"""),5.8)</f>
        <v>5.8</v>
      </c>
      <c r="G2116" s="5">
        <f>IFERROR(__xludf.DUMMYFUNCTION("""COMPUTED_VALUE"""),14982.0)</f>
        <v>14982</v>
      </c>
      <c r="H2116" s="5">
        <f>IFERROR(__xludf.DUMMYFUNCTION("""COMPUTED_VALUE"""),2583.0)</f>
        <v>2583</v>
      </c>
    </row>
    <row r="2117">
      <c r="A2117" s="4">
        <f>IFERROR(__xludf.DUMMYFUNCTION("""COMPUTED_VALUE"""),44485.0)</f>
        <v>44485</v>
      </c>
      <c r="B2117" s="5">
        <f>IFERROR(__xludf.DUMMYFUNCTION("""COMPUTED_VALUE"""),1514.0)</f>
        <v>1514</v>
      </c>
      <c r="C2117" s="6">
        <f>IFERROR(__xludf.DUMMYFUNCTION("""COMPUTED_VALUE"""),0.4502)</f>
        <v>0.4502</v>
      </c>
      <c r="D2117" s="2">
        <f>IFERROR(__xludf.DUMMYFUNCTION("""COMPUTED_VALUE"""),0.0031944444444444446)</f>
        <v>0.003194444444</v>
      </c>
      <c r="E2117" s="1">
        <f>IFERROR(__xludf.DUMMYFUNCTION("""COMPUTED_VALUE"""),1.1)</f>
        <v>1.1</v>
      </c>
      <c r="F2117" s="1">
        <f>IFERROR(__xludf.DUMMYFUNCTION("""COMPUTED_VALUE"""),4.27)</f>
        <v>4.27</v>
      </c>
      <c r="G2117" s="5">
        <f>IFERROR(__xludf.DUMMYFUNCTION("""COMPUTED_VALUE"""),7109.0)</f>
        <v>7109</v>
      </c>
      <c r="H2117" s="5">
        <f>IFERROR(__xludf.DUMMYFUNCTION("""COMPUTED_VALUE"""),1666.0)</f>
        <v>1666</v>
      </c>
    </row>
    <row r="2118">
      <c r="A2118" s="4">
        <f>IFERROR(__xludf.DUMMYFUNCTION("""COMPUTED_VALUE"""),44486.0)</f>
        <v>44486</v>
      </c>
      <c r="B2118" s="5">
        <f>IFERROR(__xludf.DUMMYFUNCTION("""COMPUTED_VALUE"""),1444.0)</f>
        <v>1444</v>
      </c>
      <c r="C2118" s="6">
        <f>IFERROR(__xludf.DUMMYFUNCTION("""COMPUTED_VALUE"""),0.4709)</f>
        <v>0.4709</v>
      </c>
      <c r="D2118" s="2">
        <f>IFERROR(__xludf.DUMMYFUNCTION("""COMPUTED_VALUE"""),0.002037037037037037)</f>
        <v>0.002037037037</v>
      </c>
      <c r="E2118" s="1">
        <f>IFERROR(__xludf.DUMMYFUNCTION("""COMPUTED_VALUE"""),1.14)</f>
        <v>1.14</v>
      </c>
      <c r="F2118" s="1">
        <f>IFERROR(__xludf.DUMMYFUNCTION("""COMPUTED_VALUE"""),4.57)</f>
        <v>4.57</v>
      </c>
      <c r="G2118" s="5">
        <f>IFERROR(__xludf.DUMMYFUNCTION("""COMPUTED_VALUE"""),7554.0)</f>
        <v>7554</v>
      </c>
      <c r="H2118" s="5">
        <f>IFERROR(__xludf.DUMMYFUNCTION("""COMPUTED_VALUE"""),1652.0)</f>
        <v>1652</v>
      </c>
    </row>
    <row r="2119">
      <c r="A2119" s="4">
        <f>IFERROR(__xludf.DUMMYFUNCTION("""COMPUTED_VALUE"""),44487.0)</f>
        <v>44487</v>
      </c>
      <c r="B2119" s="5">
        <f>IFERROR(__xludf.DUMMYFUNCTION("""COMPUTED_VALUE"""),2777.0)</f>
        <v>2777</v>
      </c>
      <c r="C2119" s="6">
        <f>IFERROR(__xludf.DUMMYFUNCTION("""COMPUTED_VALUE"""),0.4285)</f>
        <v>0.4285</v>
      </c>
      <c r="D2119" s="2">
        <f>IFERROR(__xludf.DUMMYFUNCTION("""COMPUTED_VALUE"""),0.0032060185185185186)</f>
        <v>0.003206018519</v>
      </c>
      <c r="E2119" s="1">
        <f>IFERROR(__xludf.DUMMYFUNCTION("""COMPUTED_VALUE"""),1.08)</f>
        <v>1.08</v>
      </c>
      <c r="F2119" s="1">
        <f>IFERROR(__xludf.DUMMYFUNCTION("""COMPUTED_VALUE"""),6.14)</f>
        <v>6.14</v>
      </c>
      <c r="G2119" s="5">
        <f>IFERROR(__xludf.DUMMYFUNCTION("""COMPUTED_VALUE"""),18495.0)</f>
        <v>18495</v>
      </c>
      <c r="H2119" s="5">
        <f>IFERROR(__xludf.DUMMYFUNCTION("""COMPUTED_VALUE"""),3013.0)</f>
        <v>3013</v>
      </c>
    </row>
    <row r="2120">
      <c r="A2120" s="4">
        <f>IFERROR(__xludf.DUMMYFUNCTION("""COMPUTED_VALUE"""),44488.0)</f>
        <v>44488</v>
      </c>
      <c r="B2120" s="5">
        <f>IFERROR(__xludf.DUMMYFUNCTION("""COMPUTED_VALUE"""),3485.0)</f>
        <v>3485</v>
      </c>
      <c r="C2120" s="6">
        <f>IFERROR(__xludf.DUMMYFUNCTION("""COMPUTED_VALUE"""),0.4064)</f>
        <v>0.4064</v>
      </c>
      <c r="D2120" s="2">
        <f>IFERROR(__xludf.DUMMYFUNCTION("""COMPUTED_VALUE"""),0.0032523148148148147)</f>
        <v>0.003252314815</v>
      </c>
      <c r="E2120" s="1">
        <f>IFERROR(__xludf.DUMMYFUNCTION("""COMPUTED_VALUE"""),1.13)</f>
        <v>1.13</v>
      </c>
      <c r="F2120" s="1">
        <f>IFERROR(__xludf.DUMMYFUNCTION("""COMPUTED_VALUE"""),7.88)</f>
        <v>7.88</v>
      </c>
      <c r="G2120" s="5">
        <f>IFERROR(__xludf.DUMMYFUNCTION("""COMPUTED_VALUE"""),30951.0)</f>
        <v>30951</v>
      </c>
      <c r="H2120" s="5">
        <f>IFERROR(__xludf.DUMMYFUNCTION("""COMPUTED_VALUE"""),3930.0)</f>
        <v>3930</v>
      </c>
    </row>
    <row r="2121">
      <c r="A2121" s="4">
        <f>IFERROR(__xludf.DUMMYFUNCTION("""COMPUTED_VALUE"""),44489.0)</f>
        <v>44489</v>
      </c>
      <c r="B2121" s="5">
        <f>IFERROR(__xludf.DUMMYFUNCTION("""COMPUTED_VALUE"""),3013.0)</f>
        <v>3013</v>
      </c>
      <c r="C2121" s="6">
        <f>IFERROR(__xludf.DUMMYFUNCTION("""COMPUTED_VALUE"""),0.4245)</f>
        <v>0.4245</v>
      </c>
      <c r="D2121" s="2">
        <f>IFERROR(__xludf.DUMMYFUNCTION("""COMPUTED_VALUE"""),0.002824074074074074)</f>
        <v>0.002824074074</v>
      </c>
      <c r="E2121" s="1">
        <f>IFERROR(__xludf.DUMMYFUNCTION("""COMPUTED_VALUE"""),1.13)</f>
        <v>1.13</v>
      </c>
      <c r="F2121" s="1">
        <f>IFERROR(__xludf.DUMMYFUNCTION("""COMPUTED_VALUE"""),7.14)</f>
        <v>7.14</v>
      </c>
      <c r="G2121" s="5">
        <f>IFERROR(__xludf.DUMMYFUNCTION("""COMPUTED_VALUE"""),24286.0)</f>
        <v>24286</v>
      </c>
      <c r="H2121" s="5">
        <f>IFERROR(__xludf.DUMMYFUNCTION("""COMPUTED_VALUE"""),3402.0)</f>
        <v>3402</v>
      </c>
    </row>
    <row r="2122">
      <c r="A2122" s="4">
        <f>IFERROR(__xludf.DUMMYFUNCTION("""COMPUTED_VALUE"""),44490.0)</f>
        <v>44490</v>
      </c>
      <c r="B2122" s="5">
        <f>IFERROR(__xludf.DUMMYFUNCTION("""COMPUTED_VALUE"""),2777.0)</f>
        <v>2777</v>
      </c>
      <c r="C2122" s="6">
        <f>IFERROR(__xludf.DUMMYFUNCTION("""COMPUTED_VALUE"""),0.5161)</f>
        <v>0.5161</v>
      </c>
      <c r="D2122" s="2">
        <f>IFERROR(__xludf.DUMMYFUNCTION("""COMPUTED_VALUE"""),0.0025578703703703705)</f>
        <v>0.00255787037</v>
      </c>
      <c r="E2122" s="1">
        <f>IFERROR(__xludf.DUMMYFUNCTION("""COMPUTED_VALUE"""),1.08)</f>
        <v>1.08</v>
      </c>
      <c r="F2122" s="1">
        <f>IFERROR(__xludf.DUMMYFUNCTION("""COMPUTED_VALUE"""),5.4)</f>
        <v>5.4</v>
      </c>
      <c r="G2122" s="5">
        <f>IFERROR(__xludf.DUMMYFUNCTION("""COMPUTED_VALUE"""),16274.0)</f>
        <v>16274</v>
      </c>
      <c r="H2122" s="5">
        <f>IFERROR(__xludf.DUMMYFUNCTION("""COMPUTED_VALUE"""),3013.0)</f>
        <v>3013</v>
      </c>
    </row>
    <row r="2123">
      <c r="A2123" s="4">
        <f>IFERROR(__xludf.DUMMYFUNCTION("""COMPUTED_VALUE"""),44491.0)</f>
        <v>44491</v>
      </c>
      <c r="B2123" s="5">
        <f>IFERROR(__xludf.DUMMYFUNCTION("""COMPUTED_VALUE"""),1916.0)</f>
        <v>1916</v>
      </c>
      <c r="C2123" s="6">
        <f>IFERROR(__xludf.DUMMYFUNCTION("""COMPUTED_VALUE"""),0.4837)</f>
        <v>0.4837</v>
      </c>
      <c r="D2123" s="2">
        <f>IFERROR(__xludf.DUMMYFUNCTION("""COMPUTED_VALUE"""),0.003587962962962963)</f>
        <v>0.003587962963</v>
      </c>
      <c r="E2123" s="1">
        <f>IFERROR(__xludf.DUMMYFUNCTION("""COMPUTED_VALUE"""),1.12)</f>
        <v>1.12</v>
      </c>
      <c r="F2123" s="1">
        <f>IFERROR(__xludf.DUMMYFUNCTION("""COMPUTED_VALUE"""),6.01)</f>
        <v>6.01</v>
      </c>
      <c r="G2123" s="5">
        <f>IFERROR(__xludf.DUMMYFUNCTION("""COMPUTED_VALUE"""),12941.0)</f>
        <v>12941</v>
      </c>
      <c r="H2123" s="5">
        <f>IFERROR(__xludf.DUMMYFUNCTION("""COMPUTED_VALUE"""),2152.0)</f>
        <v>2152</v>
      </c>
    </row>
    <row r="2124">
      <c r="A2124" s="4">
        <f>IFERROR(__xludf.DUMMYFUNCTION("""COMPUTED_VALUE"""),44492.0)</f>
        <v>44492</v>
      </c>
      <c r="B2124" s="5">
        <f>IFERROR(__xludf.DUMMYFUNCTION("""COMPUTED_VALUE"""),1416.0)</f>
        <v>1416</v>
      </c>
      <c r="C2124" s="6">
        <f>IFERROR(__xludf.DUMMYFUNCTION("""COMPUTED_VALUE"""),0.5262)</f>
        <v>0.5262</v>
      </c>
      <c r="D2124" s="2">
        <f>IFERROR(__xludf.DUMMYFUNCTION("""COMPUTED_VALUE"""),0.0020833333333333333)</f>
        <v>0.002083333333</v>
      </c>
      <c r="E2124" s="1">
        <f>IFERROR(__xludf.DUMMYFUNCTION("""COMPUTED_VALUE"""),1.12)</f>
        <v>1.12</v>
      </c>
      <c r="F2124" s="1">
        <f>IFERROR(__xludf.DUMMYFUNCTION("""COMPUTED_VALUE"""),3.62)</f>
        <v>3.62</v>
      </c>
      <c r="G2124" s="5">
        <f>IFERROR(__xludf.DUMMYFUNCTION("""COMPUTED_VALUE"""),5735.0)</f>
        <v>5735</v>
      </c>
      <c r="H2124" s="5">
        <f>IFERROR(__xludf.DUMMYFUNCTION("""COMPUTED_VALUE"""),1583.0)</f>
        <v>1583</v>
      </c>
    </row>
    <row r="2125">
      <c r="A2125" s="4">
        <f>IFERROR(__xludf.DUMMYFUNCTION("""COMPUTED_VALUE"""),44493.0)</f>
        <v>44493</v>
      </c>
      <c r="B2125" s="5">
        <f>IFERROR(__xludf.DUMMYFUNCTION("""COMPUTED_VALUE"""),1500.0)</f>
        <v>1500</v>
      </c>
      <c r="C2125" s="6">
        <f>IFERROR(__xludf.DUMMYFUNCTION("""COMPUTED_VALUE"""),0.4579)</f>
        <v>0.4579</v>
      </c>
      <c r="D2125" s="2">
        <f>IFERROR(__xludf.DUMMYFUNCTION("""COMPUTED_VALUE"""),0.002037037037037037)</f>
        <v>0.002037037037</v>
      </c>
      <c r="E2125" s="1">
        <f>IFERROR(__xludf.DUMMYFUNCTION("""COMPUTED_VALUE"""),1.09)</f>
        <v>1.09</v>
      </c>
      <c r="F2125" s="1">
        <f>IFERROR(__xludf.DUMMYFUNCTION("""COMPUTED_VALUE"""),5.19)</f>
        <v>5.19</v>
      </c>
      <c r="G2125" s="5">
        <f>IFERROR(__xludf.DUMMYFUNCTION("""COMPUTED_VALUE"""),8498.0)</f>
        <v>8498</v>
      </c>
      <c r="H2125" s="5">
        <f>IFERROR(__xludf.DUMMYFUNCTION("""COMPUTED_VALUE"""),1638.0)</f>
        <v>1638</v>
      </c>
    </row>
    <row r="2126">
      <c r="A2126" s="4">
        <f>IFERROR(__xludf.DUMMYFUNCTION("""COMPUTED_VALUE"""),44494.0)</f>
        <v>44494</v>
      </c>
      <c r="B2126" s="5">
        <f>IFERROR(__xludf.DUMMYFUNCTION("""COMPUTED_VALUE"""),2902.0)</f>
        <v>2902</v>
      </c>
      <c r="C2126" s="6">
        <f>IFERROR(__xludf.DUMMYFUNCTION("""COMPUTED_VALUE"""),0.5045)</f>
        <v>0.5045</v>
      </c>
      <c r="D2126" s="2">
        <f>IFERROR(__xludf.DUMMYFUNCTION("""COMPUTED_VALUE"""),0.0022569444444444442)</f>
        <v>0.002256944444</v>
      </c>
      <c r="E2126" s="1">
        <f>IFERROR(__xludf.DUMMYFUNCTION("""COMPUTED_VALUE"""),1.11)</f>
        <v>1.11</v>
      </c>
      <c r="F2126" s="1">
        <f>IFERROR(__xludf.DUMMYFUNCTION("""COMPUTED_VALUE"""),5.64)</f>
        <v>5.64</v>
      </c>
      <c r="G2126" s="5">
        <f>IFERROR(__xludf.DUMMYFUNCTION("""COMPUTED_VALUE"""),18176.0)</f>
        <v>18176</v>
      </c>
      <c r="H2126" s="5">
        <f>IFERROR(__xludf.DUMMYFUNCTION("""COMPUTED_VALUE"""),3221.0)</f>
        <v>3221</v>
      </c>
    </row>
    <row r="2127">
      <c r="A2127" s="4">
        <f>IFERROR(__xludf.DUMMYFUNCTION("""COMPUTED_VALUE"""),44495.0)</f>
        <v>44495</v>
      </c>
      <c r="B2127" s="5">
        <f>IFERROR(__xludf.DUMMYFUNCTION("""COMPUTED_VALUE"""),3360.0)</f>
        <v>3360</v>
      </c>
      <c r="C2127" s="6">
        <f>IFERROR(__xludf.DUMMYFUNCTION("""COMPUTED_VALUE"""),0.4795)</f>
        <v>0.4795</v>
      </c>
      <c r="D2127" s="2">
        <f>IFERROR(__xludf.DUMMYFUNCTION("""COMPUTED_VALUE"""),0.002824074074074074)</f>
        <v>0.002824074074</v>
      </c>
      <c r="E2127" s="1">
        <f>IFERROR(__xludf.DUMMYFUNCTION("""COMPUTED_VALUE"""),1.11)</f>
        <v>1.11</v>
      </c>
      <c r="F2127" s="1">
        <f>IFERROR(__xludf.DUMMYFUNCTION("""COMPUTED_VALUE"""),5.75)</f>
        <v>5.75</v>
      </c>
      <c r="G2127" s="5">
        <f>IFERROR(__xludf.DUMMYFUNCTION("""COMPUTED_VALUE"""),21481.0)</f>
        <v>21481</v>
      </c>
      <c r="H2127" s="5">
        <f>IFERROR(__xludf.DUMMYFUNCTION("""COMPUTED_VALUE"""),3735.0)</f>
        <v>3735</v>
      </c>
    </row>
    <row r="2128">
      <c r="A2128" s="4">
        <f>IFERROR(__xludf.DUMMYFUNCTION("""COMPUTED_VALUE"""),44496.0)</f>
        <v>44496</v>
      </c>
      <c r="B2128" s="5">
        <f>IFERROR(__xludf.DUMMYFUNCTION("""COMPUTED_VALUE"""),2874.0)</f>
        <v>2874</v>
      </c>
      <c r="C2128" s="6">
        <f>IFERROR(__xludf.DUMMYFUNCTION("""COMPUTED_VALUE"""),0.4492)</f>
        <v>0.4492</v>
      </c>
      <c r="D2128" s="2">
        <f>IFERROR(__xludf.DUMMYFUNCTION("""COMPUTED_VALUE"""),0.002037037037037037)</f>
        <v>0.002037037037</v>
      </c>
      <c r="E2128" s="1">
        <f>IFERROR(__xludf.DUMMYFUNCTION("""COMPUTED_VALUE"""),1.1)</f>
        <v>1.1</v>
      </c>
      <c r="F2128" s="1">
        <f>IFERROR(__xludf.DUMMYFUNCTION("""COMPUTED_VALUE"""),4.25)</f>
        <v>4.25</v>
      </c>
      <c r="G2128" s="5">
        <f>IFERROR(__xludf.DUMMYFUNCTION("""COMPUTED_VALUE"""),13386.0)</f>
        <v>13386</v>
      </c>
      <c r="H2128" s="5">
        <f>IFERROR(__xludf.DUMMYFUNCTION("""COMPUTED_VALUE"""),3152.0)</f>
        <v>3152</v>
      </c>
    </row>
    <row r="2129">
      <c r="A2129" s="4">
        <f>IFERROR(__xludf.DUMMYFUNCTION("""COMPUTED_VALUE"""),44497.0)</f>
        <v>44497</v>
      </c>
      <c r="B2129" s="5">
        <f>IFERROR(__xludf.DUMMYFUNCTION("""COMPUTED_VALUE"""),2847.0)</f>
        <v>2847</v>
      </c>
      <c r="C2129" s="6">
        <f>IFERROR(__xludf.DUMMYFUNCTION("""COMPUTED_VALUE"""),0.4351)</f>
        <v>0.4351</v>
      </c>
      <c r="D2129" s="2">
        <f>IFERROR(__xludf.DUMMYFUNCTION("""COMPUTED_VALUE"""),0.0030787037037037037)</f>
        <v>0.003078703704</v>
      </c>
      <c r="E2129" s="1">
        <f>IFERROR(__xludf.DUMMYFUNCTION("""COMPUTED_VALUE"""),1.09)</f>
        <v>1.09</v>
      </c>
      <c r="F2129" s="1">
        <f>IFERROR(__xludf.DUMMYFUNCTION("""COMPUTED_VALUE"""),5.2)</f>
        <v>5.2</v>
      </c>
      <c r="G2129" s="5">
        <f>IFERROR(__xludf.DUMMYFUNCTION("""COMPUTED_VALUE"""),16107.0)</f>
        <v>16107</v>
      </c>
      <c r="H2129" s="5">
        <f>IFERROR(__xludf.DUMMYFUNCTION("""COMPUTED_VALUE"""),3096.0)</f>
        <v>3096</v>
      </c>
    </row>
    <row r="2130">
      <c r="A2130" s="4">
        <f>IFERROR(__xludf.DUMMYFUNCTION("""COMPUTED_VALUE"""),44498.0)</f>
        <v>44498</v>
      </c>
      <c r="B2130" s="5">
        <f>IFERROR(__xludf.DUMMYFUNCTION("""COMPUTED_VALUE"""),2249.0)</f>
        <v>2249</v>
      </c>
      <c r="C2130" s="6">
        <f>IFERROR(__xludf.DUMMYFUNCTION("""COMPUTED_VALUE"""),0.3958)</f>
        <v>0.3958</v>
      </c>
      <c r="D2130" s="2">
        <f>IFERROR(__xludf.DUMMYFUNCTION("""COMPUTED_VALUE"""),0.0032175925925925926)</f>
        <v>0.003217592593</v>
      </c>
      <c r="E2130" s="1">
        <f>IFERROR(__xludf.DUMMYFUNCTION("""COMPUTED_VALUE"""),1.15)</f>
        <v>1.15</v>
      </c>
      <c r="F2130" s="1">
        <f>IFERROR(__xludf.DUMMYFUNCTION("""COMPUTED_VALUE"""),5.89)</f>
        <v>5.89</v>
      </c>
      <c r="G2130" s="5">
        <f>IFERROR(__xludf.DUMMYFUNCTION("""COMPUTED_VALUE"""),15288.0)</f>
        <v>15288</v>
      </c>
      <c r="H2130" s="5">
        <f>IFERROR(__xludf.DUMMYFUNCTION("""COMPUTED_VALUE"""),2597.0)</f>
        <v>2597</v>
      </c>
    </row>
    <row r="2131">
      <c r="A2131" s="4">
        <f>IFERROR(__xludf.DUMMYFUNCTION("""COMPUTED_VALUE"""),44499.0)</f>
        <v>44499</v>
      </c>
      <c r="B2131" s="5">
        <f>IFERROR(__xludf.DUMMYFUNCTION("""COMPUTED_VALUE"""),1402.0)</f>
        <v>1402</v>
      </c>
      <c r="C2131" s="6">
        <f>IFERROR(__xludf.DUMMYFUNCTION("""COMPUTED_VALUE"""),0.5627)</f>
        <v>0.5627</v>
      </c>
      <c r="D2131" s="2">
        <f>IFERROR(__xludf.DUMMYFUNCTION("""COMPUTED_VALUE"""),0.0022569444444444442)</f>
        <v>0.002256944444</v>
      </c>
      <c r="E2131" s="1">
        <f>IFERROR(__xludf.DUMMYFUNCTION("""COMPUTED_VALUE"""),1.11)</f>
        <v>1.11</v>
      </c>
      <c r="F2131" s="1">
        <f>IFERROR(__xludf.DUMMYFUNCTION("""COMPUTED_VALUE"""),4.63)</f>
        <v>4.63</v>
      </c>
      <c r="G2131" s="5">
        <f>IFERROR(__xludf.DUMMYFUNCTION("""COMPUTED_VALUE"""),7193.0)</f>
        <v>7193</v>
      </c>
      <c r="H2131" s="5">
        <f>IFERROR(__xludf.DUMMYFUNCTION("""COMPUTED_VALUE"""),1555.0)</f>
        <v>1555</v>
      </c>
    </row>
    <row r="2132">
      <c r="A2132" s="4">
        <f>IFERROR(__xludf.DUMMYFUNCTION("""COMPUTED_VALUE"""),44500.0)</f>
        <v>44500</v>
      </c>
      <c r="B2132" s="5">
        <f>IFERROR(__xludf.DUMMYFUNCTION("""COMPUTED_VALUE"""),1347.0)</f>
        <v>1347</v>
      </c>
      <c r="C2132" s="6">
        <f>IFERROR(__xludf.DUMMYFUNCTION("""COMPUTED_VALUE"""),0.4867)</f>
        <v>0.4867</v>
      </c>
      <c r="D2132" s="2">
        <f>IFERROR(__xludf.DUMMYFUNCTION("""COMPUTED_VALUE"""),0.0028703703703703703)</f>
        <v>0.00287037037</v>
      </c>
      <c r="E2132" s="1">
        <f>IFERROR(__xludf.DUMMYFUNCTION("""COMPUTED_VALUE"""),1.14)</f>
        <v>1.14</v>
      </c>
      <c r="F2132" s="1">
        <f>IFERROR(__xludf.DUMMYFUNCTION("""COMPUTED_VALUE"""),4.71)</f>
        <v>4.71</v>
      </c>
      <c r="G2132" s="5">
        <f>IFERROR(__xludf.DUMMYFUNCTION("""COMPUTED_VALUE"""),7262.0)</f>
        <v>7262</v>
      </c>
      <c r="H2132" s="5">
        <f>IFERROR(__xludf.DUMMYFUNCTION("""COMPUTED_VALUE"""),1541.0)</f>
        <v>1541</v>
      </c>
    </row>
    <row r="2133">
      <c r="A2133" s="4">
        <f>IFERROR(__xludf.DUMMYFUNCTION("""COMPUTED_VALUE"""),44501.0)</f>
        <v>44501</v>
      </c>
      <c r="B2133" s="5">
        <f>IFERROR(__xludf.DUMMYFUNCTION("""COMPUTED_VALUE"""),2527.0)</f>
        <v>2527</v>
      </c>
      <c r="C2133" s="6">
        <f>IFERROR(__xludf.DUMMYFUNCTION("""COMPUTED_VALUE"""),0.3702)</f>
        <v>0.3702</v>
      </c>
      <c r="D2133" s="2">
        <f>IFERROR(__xludf.DUMMYFUNCTION("""COMPUTED_VALUE"""),0.003298611111111111)</f>
        <v>0.003298611111</v>
      </c>
      <c r="E2133" s="1">
        <f>IFERROR(__xludf.DUMMYFUNCTION("""COMPUTED_VALUE"""),1.14)</f>
        <v>1.14</v>
      </c>
      <c r="F2133" s="1">
        <f>IFERROR(__xludf.DUMMYFUNCTION("""COMPUTED_VALUE"""),6.29)</f>
        <v>6.29</v>
      </c>
      <c r="G2133" s="5">
        <f>IFERROR(__xludf.DUMMYFUNCTION("""COMPUTED_VALUE"""),18162.0)</f>
        <v>18162</v>
      </c>
      <c r="H2133" s="5">
        <f>IFERROR(__xludf.DUMMYFUNCTION("""COMPUTED_VALUE"""),2888.0)</f>
        <v>2888</v>
      </c>
    </row>
    <row r="2134">
      <c r="A2134" s="4">
        <f>IFERROR(__xludf.DUMMYFUNCTION("""COMPUTED_VALUE"""),44502.0)</f>
        <v>44502</v>
      </c>
      <c r="B2134" s="5">
        <f>IFERROR(__xludf.DUMMYFUNCTION("""COMPUTED_VALUE"""),2694.0)</f>
        <v>2694</v>
      </c>
      <c r="C2134" s="6">
        <f>IFERROR(__xludf.DUMMYFUNCTION("""COMPUTED_VALUE"""),0.4195)</f>
        <v>0.4195</v>
      </c>
      <c r="D2134" s="2">
        <f>IFERROR(__xludf.DUMMYFUNCTION("""COMPUTED_VALUE"""),0.0022800925925925927)</f>
        <v>0.002280092593</v>
      </c>
      <c r="E2134" s="1">
        <f>IFERROR(__xludf.DUMMYFUNCTION("""COMPUTED_VALUE"""),1.12)</f>
        <v>1.12</v>
      </c>
      <c r="F2134" s="1">
        <f>IFERROR(__xludf.DUMMYFUNCTION("""COMPUTED_VALUE"""),5.1)</f>
        <v>5.1</v>
      </c>
      <c r="G2134" s="5">
        <f>IFERROR(__xludf.DUMMYFUNCTION("""COMPUTED_VALUE"""),15371.0)</f>
        <v>15371</v>
      </c>
      <c r="H2134" s="5">
        <f>IFERROR(__xludf.DUMMYFUNCTION("""COMPUTED_VALUE"""),3013.0)</f>
        <v>3013</v>
      </c>
    </row>
    <row r="2135">
      <c r="A2135" s="4">
        <f>IFERROR(__xludf.DUMMYFUNCTION("""COMPUTED_VALUE"""),44503.0)</f>
        <v>44503</v>
      </c>
      <c r="B2135" s="5">
        <f>IFERROR(__xludf.DUMMYFUNCTION("""COMPUTED_VALUE"""),3416.0)</f>
        <v>3416</v>
      </c>
      <c r="C2135" s="6">
        <f>IFERROR(__xludf.DUMMYFUNCTION("""COMPUTED_VALUE"""),0.4225)</f>
        <v>0.4225</v>
      </c>
      <c r="D2135" s="2">
        <f>IFERROR(__xludf.DUMMYFUNCTION("""COMPUTED_VALUE"""),0.0022569444444444442)</f>
        <v>0.002256944444</v>
      </c>
      <c r="E2135" s="1">
        <f>IFERROR(__xludf.DUMMYFUNCTION("""COMPUTED_VALUE"""),1.13)</f>
        <v>1.13</v>
      </c>
      <c r="F2135" s="1">
        <f>IFERROR(__xludf.DUMMYFUNCTION("""COMPUTED_VALUE"""),5.18)</f>
        <v>5.18</v>
      </c>
      <c r="G2135" s="5">
        <f>IFERROR(__xludf.DUMMYFUNCTION("""COMPUTED_VALUE"""),19926.0)</f>
        <v>19926</v>
      </c>
      <c r="H2135" s="5">
        <f>IFERROR(__xludf.DUMMYFUNCTION("""COMPUTED_VALUE"""),3846.0)</f>
        <v>3846</v>
      </c>
    </row>
    <row r="2136">
      <c r="A2136" s="4">
        <f>IFERROR(__xludf.DUMMYFUNCTION("""COMPUTED_VALUE"""),44504.0)</f>
        <v>44504</v>
      </c>
      <c r="B2136" s="5">
        <f>IFERROR(__xludf.DUMMYFUNCTION("""COMPUTED_VALUE"""),3166.0)</f>
        <v>3166</v>
      </c>
      <c r="C2136" s="6">
        <f>IFERROR(__xludf.DUMMYFUNCTION("""COMPUTED_VALUE"""),0.3789)</f>
        <v>0.3789</v>
      </c>
      <c r="D2136" s="2">
        <f>IFERROR(__xludf.DUMMYFUNCTION("""COMPUTED_VALUE"""),0.002777777777777778)</f>
        <v>0.002777777778</v>
      </c>
      <c r="E2136" s="1">
        <f>IFERROR(__xludf.DUMMYFUNCTION("""COMPUTED_VALUE"""),1.09)</f>
        <v>1.09</v>
      </c>
      <c r="F2136" s="1">
        <f>IFERROR(__xludf.DUMMYFUNCTION("""COMPUTED_VALUE"""),5.96)</f>
        <v>5.96</v>
      </c>
      <c r="G2136" s="5">
        <f>IFERROR(__xludf.DUMMYFUNCTION("""COMPUTED_VALUE"""),20536.0)</f>
        <v>20536</v>
      </c>
      <c r="H2136" s="5">
        <f>IFERROR(__xludf.DUMMYFUNCTION("""COMPUTED_VALUE"""),3444.0)</f>
        <v>3444</v>
      </c>
    </row>
    <row r="2137">
      <c r="A2137" s="4">
        <f>IFERROR(__xludf.DUMMYFUNCTION("""COMPUTED_VALUE"""),44505.0)</f>
        <v>44505</v>
      </c>
      <c r="B2137" s="5">
        <f>IFERROR(__xludf.DUMMYFUNCTION("""COMPUTED_VALUE"""),2555.0)</f>
        <v>2555</v>
      </c>
      <c r="C2137" s="6">
        <f>IFERROR(__xludf.DUMMYFUNCTION("""COMPUTED_VALUE"""),0.4252)</f>
        <v>0.4252</v>
      </c>
      <c r="D2137" s="2">
        <f>IFERROR(__xludf.DUMMYFUNCTION("""COMPUTED_VALUE"""),0.0019097222222222222)</f>
        <v>0.001909722222</v>
      </c>
      <c r="E2137" s="1">
        <f>IFERROR(__xludf.DUMMYFUNCTION("""COMPUTED_VALUE"""),1.12)</f>
        <v>1.12</v>
      </c>
      <c r="F2137" s="1">
        <f>IFERROR(__xludf.DUMMYFUNCTION("""COMPUTED_VALUE"""),4.69)</f>
        <v>4.69</v>
      </c>
      <c r="G2137" s="5">
        <f>IFERROR(__xludf.DUMMYFUNCTION("""COMPUTED_VALUE"""),13469.0)</f>
        <v>13469</v>
      </c>
      <c r="H2137" s="5">
        <f>IFERROR(__xludf.DUMMYFUNCTION("""COMPUTED_VALUE"""),2874.0)</f>
        <v>2874</v>
      </c>
    </row>
    <row r="2138">
      <c r="A2138" s="4">
        <f>IFERROR(__xludf.DUMMYFUNCTION("""COMPUTED_VALUE"""),44506.0)</f>
        <v>44506</v>
      </c>
      <c r="B2138" s="5">
        <f>IFERROR(__xludf.DUMMYFUNCTION("""COMPUTED_VALUE"""),1486.0)</f>
        <v>1486</v>
      </c>
      <c r="C2138" s="6">
        <f>IFERROR(__xludf.DUMMYFUNCTION("""COMPUTED_VALUE"""),0.5573)</f>
        <v>0.5573</v>
      </c>
      <c r="D2138" s="2">
        <f>IFERROR(__xludf.DUMMYFUNCTION("""COMPUTED_VALUE"""),0.001712962962962963)</f>
        <v>0.001712962963</v>
      </c>
      <c r="E2138" s="1">
        <f>IFERROR(__xludf.DUMMYFUNCTION("""COMPUTED_VALUE"""),1.14)</f>
        <v>1.14</v>
      </c>
      <c r="F2138" s="1">
        <f>IFERROR(__xludf.DUMMYFUNCTION("""COMPUTED_VALUE"""),4.48)</f>
        <v>4.48</v>
      </c>
      <c r="G2138" s="5">
        <f>IFERROR(__xludf.DUMMYFUNCTION("""COMPUTED_VALUE"""),7581.0)</f>
        <v>7581</v>
      </c>
      <c r="H2138" s="5">
        <f>IFERROR(__xludf.DUMMYFUNCTION("""COMPUTED_VALUE"""),1694.0)</f>
        <v>1694</v>
      </c>
    </row>
    <row r="2139">
      <c r="A2139" s="4">
        <f>IFERROR(__xludf.DUMMYFUNCTION("""COMPUTED_VALUE"""),44507.0)</f>
        <v>44507</v>
      </c>
      <c r="B2139" s="5">
        <f>IFERROR(__xludf.DUMMYFUNCTION("""COMPUTED_VALUE"""),1833.0)</f>
        <v>1833</v>
      </c>
      <c r="C2139" s="6">
        <f>IFERROR(__xludf.DUMMYFUNCTION("""COMPUTED_VALUE"""),0.4898)</f>
        <v>0.4898</v>
      </c>
      <c r="D2139" s="2">
        <f>IFERROR(__xludf.DUMMYFUNCTION("""COMPUTED_VALUE"""),0.001574074074074074)</f>
        <v>0.001574074074</v>
      </c>
      <c r="E2139" s="1">
        <f>IFERROR(__xludf.DUMMYFUNCTION("""COMPUTED_VALUE"""),1.1)</f>
        <v>1.1</v>
      </c>
      <c r="F2139" s="1">
        <f>IFERROR(__xludf.DUMMYFUNCTION("""COMPUTED_VALUE"""),4.33)</f>
        <v>4.33</v>
      </c>
      <c r="G2139" s="5">
        <f>IFERROR(__xludf.DUMMYFUNCTION("""COMPUTED_VALUE"""),8720.0)</f>
        <v>8720</v>
      </c>
      <c r="H2139" s="5">
        <f>IFERROR(__xludf.DUMMYFUNCTION("""COMPUTED_VALUE"""),2013.0)</f>
        <v>2013</v>
      </c>
    </row>
    <row r="2140">
      <c r="A2140" s="4">
        <f>IFERROR(__xludf.DUMMYFUNCTION("""COMPUTED_VALUE"""),44508.0)</f>
        <v>44508</v>
      </c>
      <c r="B2140" s="5">
        <f>IFERROR(__xludf.DUMMYFUNCTION("""COMPUTED_VALUE"""),2985.0)</f>
        <v>2985</v>
      </c>
      <c r="C2140" s="6">
        <f>IFERROR(__xludf.DUMMYFUNCTION("""COMPUTED_VALUE"""),0.3694)</f>
        <v>0.3694</v>
      </c>
      <c r="D2140" s="2">
        <f>IFERROR(__xludf.DUMMYFUNCTION("""COMPUTED_VALUE"""),0.002638888888888889)</f>
        <v>0.002638888889</v>
      </c>
      <c r="E2140" s="1">
        <f>IFERROR(__xludf.DUMMYFUNCTION("""COMPUTED_VALUE"""),1.16)</f>
        <v>1.16</v>
      </c>
      <c r="F2140" s="1">
        <f>IFERROR(__xludf.DUMMYFUNCTION("""COMPUTED_VALUE"""),5.9)</f>
        <v>5.9</v>
      </c>
      <c r="G2140" s="5">
        <f>IFERROR(__xludf.DUMMYFUNCTION("""COMPUTED_VALUE"""),20412.0)</f>
        <v>20412</v>
      </c>
      <c r="H2140" s="5">
        <f>IFERROR(__xludf.DUMMYFUNCTION("""COMPUTED_VALUE"""),3457.0)</f>
        <v>3457</v>
      </c>
    </row>
    <row r="2141">
      <c r="A2141" s="4">
        <f>IFERROR(__xludf.DUMMYFUNCTION("""COMPUTED_VALUE"""),44509.0)</f>
        <v>44509</v>
      </c>
      <c r="B2141" s="5">
        <f>IFERROR(__xludf.DUMMYFUNCTION("""COMPUTED_VALUE"""),2944.0)</f>
        <v>2944</v>
      </c>
      <c r="C2141" s="6">
        <f>IFERROR(__xludf.DUMMYFUNCTION("""COMPUTED_VALUE"""),0.4138)</f>
        <v>0.4138</v>
      </c>
      <c r="D2141" s="2">
        <f>IFERROR(__xludf.DUMMYFUNCTION("""COMPUTED_VALUE"""),0.0030787037037037037)</f>
        <v>0.003078703704</v>
      </c>
      <c r="E2141" s="1">
        <f>IFERROR(__xludf.DUMMYFUNCTION("""COMPUTED_VALUE"""),1.15)</f>
        <v>1.15</v>
      </c>
      <c r="F2141" s="1">
        <f>IFERROR(__xludf.DUMMYFUNCTION("""COMPUTED_VALUE"""),5.76)</f>
        <v>5.76</v>
      </c>
      <c r="G2141" s="5">
        <f>IFERROR(__xludf.DUMMYFUNCTION("""COMPUTED_VALUE"""),19509.0)</f>
        <v>19509</v>
      </c>
      <c r="H2141" s="5">
        <f>IFERROR(__xludf.DUMMYFUNCTION("""COMPUTED_VALUE"""),3388.0)</f>
        <v>3388</v>
      </c>
    </row>
    <row r="2142">
      <c r="A2142" s="4">
        <f>IFERROR(__xludf.DUMMYFUNCTION("""COMPUTED_VALUE"""),44510.0)</f>
        <v>44510</v>
      </c>
      <c r="B2142" s="5">
        <f>IFERROR(__xludf.DUMMYFUNCTION("""COMPUTED_VALUE"""),2763.0)</f>
        <v>2763</v>
      </c>
      <c r="C2142" s="6">
        <f>IFERROR(__xludf.DUMMYFUNCTION("""COMPUTED_VALUE"""),0.4414)</f>
        <v>0.4414</v>
      </c>
      <c r="D2142" s="2">
        <f>IFERROR(__xludf.DUMMYFUNCTION("""COMPUTED_VALUE"""),0.0028935185185185184)</f>
        <v>0.002893518519</v>
      </c>
      <c r="E2142" s="1">
        <f>IFERROR(__xludf.DUMMYFUNCTION("""COMPUTED_VALUE"""),1.16)</f>
        <v>1.16</v>
      </c>
      <c r="F2142" s="1">
        <f>IFERROR(__xludf.DUMMYFUNCTION("""COMPUTED_VALUE"""),6.44)</f>
        <v>6.44</v>
      </c>
      <c r="G2142" s="5">
        <f>IFERROR(__xludf.DUMMYFUNCTION("""COMPUTED_VALUE"""),20675.0)</f>
        <v>20675</v>
      </c>
      <c r="H2142" s="5">
        <f>IFERROR(__xludf.DUMMYFUNCTION("""COMPUTED_VALUE"""),3208.0)</f>
        <v>3208</v>
      </c>
    </row>
    <row r="2143">
      <c r="A2143" s="4">
        <f>IFERROR(__xludf.DUMMYFUNCTION("""COMPUTED_VALUE"""),44511.0)</f>
        <v>44511</v>
      </c>
      <c r="B2143" s="5">
        <f>IFERROR(__xludf.DUMMYFUNCTION("""COMPUTED_VALUE"""),3041.0)</f>
        <v>3041</v>
      </c>
      <c r="C2143" s="6">
        <f>IFERROR(__xludf.DUMMYFUNCTION("""COMPUTED_VALUE"""),0.4146)</f>
        <v>0.4146</v>
      </c>
      <c r="D2143" s="2">
        <f>IFERROR(__xludf.DUMMYFUNCTION("""COMPUTED_VALUE"""),0.002395833333333333)</f>
        <v>0.002395833333</v>
      </c>
      <c r="E2143" s="1">
        <f>IFERROR(__xludf.DUMMYFUNCTION("""COMPUTED_VALUE"""),1.07)</f>
        <v>1.07</v>
      </c>
      <c r="F2143" s="1">
        <f>IFERROR(__xludf.DUMMYFUNCTION("""COMPUTED_VALUE"""),4.67)</f>
        <v>4.67</v>
      </c>
      <c r="G2143" s="5">
        <f>IFERROR(__xludf.DUMMYFUNCTION("""COMPUTED_VALUE"""),15163.0)</f>
        <v>15163</v>
      </c>
      <c r="H2143" s="5">
        <f>IFERROR(__xludf.DUMMYFUNCTION("""COMPUTED_VALUE"""),3249.0)</f>
        <v>3249</v>
      </c>
    </row>
    <row r="2144">
      <c r="A2144" s="4">
        <f>IFERROR(__xludf.DUMMYFUNCTION("""COMPUTED_VALUE"""),44512.0)</f>
        <v>44512</v>
      </c>
      <c r="B2144" s="5">
        <f>IFERROR(__xludf.DUMMYFUNCTION("""COMPUTED_VALUE"""),2458.0)</f>
        <v>2458</v>
      </c>
      <c r="C2144" s="6">
        <f>IFERROR(__xludf.DUMMYFUNCTION("""COMPUTED_VALUE"""),0.4271)</f>
        <v>0.4271</v>
      </c>
      <c r="D2144" s="2">
        <f>IFERROR(__xludf.DUMMYFUNCTION("""COMPUTED_VALUE"""),0.0021296296296296298)</f>
        <v>0.00212962963</v>
      </c>
      <c r="E2144" s="1">
        <f>IFERROR(__xludf.DUMMYFUNCTION("""COMPUTED_VALUE"""),1.12)</f>
        <v>1.12</v>
      </c>
      <c r="F2144" s="1">
        <f>IFERROR(__xludf.DUMMYFUNCTION("""COMPUTED_VALUE"""),5.11)</f>
        <v>5.11</v>
      </c>
      <c r="G2144" s="5">
        <f>IFERROR(__xludf.DUMMYFUNCTION("""COMPUTED_VALUE"""),14108.0)</f>
        <v>14108</v>
      </c>
      <c r="H2144" s="5">
        <f>IFERROR(__xludf.DUMMYFUNCTION("""COMPUTED_VALUE"""),2763.0)</f>
        <v>2763</v>
      </c>
    </row>
    <row r="2145">
      <c r="A2145" s="4">
        <f>IFERROR(__xludf.DUMMYFUNCTION("""COMPUTED_VALUE"""),44513.0)</f>
        <v>44513</v>
      </c>
      <c r="B2145" s="5">
        <f>IFERROR(__xludf.DUMMYFUNCTION("""COMPUTED_VALUE"""),1694.0)</f>
        <v>1694</v>
      </c>
      <c r="C2145" s="6">
        <f>IFERROR(__xludf.DUMMYFUNCTION("""COMPUTED_VALUE"""),0.5036)</f>
        <v>0.5036</v>
      </c>
      <c r="D2145" s="2">
        <f>IFERROR(__xludf.DUMMYFUNCTION("""COMPUTED_VALUE"""),0.0017824074074074075)</f>
        <v>0.001782407407</v>
      </c>
      <c r="E2145" s="1">
        <f>IFERROR(__xludf.DUMMYFUNCTION("""COMPUTED_VALUE"""),1.07)</f>
        <v>1.07</v>
      </c>
      <c r="F2145" s="1">
        <f>IFERROR(__xludf.DUMMYFUNCTION("""COMPUTED_VALUE"""),4.8)</f>
        <v>4.8</v>
      </c>
      <c r="G2145" s="5">
        <f>IFERROR(__xludf.DUMMYFUNCTION("""COMPUTED_VALUE"""),8734.0)</f>
        <v>8734</v>
      </c>
      <c r="H2145" s="5">
        <f>IFERROR(__xludf.DUMMYFUNCTION("""COMPUTED_VALUE"""),1819.0)</f>
        <v>1819</v>
      </c>
    </row>
    <row r="2146">
      <c r="A2146" s="4">
        <f>IFERROR(__xludf.DUMMYFUNCTION("""COMPUTED_VALUE"""),44514.0)</f>
        <v>44514</v>
      </c>
      <c r="B2146" s="5">
        <f>IFERROR(__xludf.DUMMYFUNCTION("""COMPUTED_VALUE"""),1666.0)</f>
        <v>1666</v>
      </c>
      <c r="C2146" s="6">
        <f>IFERROR(__xludf.DUMMYFUNCTION("""COMPUTED_VALUE"""),0.475)</f>
        <v>0.475</v>
      </c>
      <c r="D2146" s="2">
        <f>IFERROR(__xludf.DUMMYFUNCTION("""COMPUTED_VALUE"""),0.0036689814814814814)</f>
        <v>0.003668981481</v>
      </c>
      <c r="E2146" s="1">
        <f>IFERROR(__xludf.DUMMYFUNCTION("""COMPUTED_VALUE"""),1.18)</f>
        <v>1.18</v>
      </c>
      <c r="F2146" s="1">
        <f>IFERROR(__xludf.DUMMYFUNCTION("""COMPUTED_VALUE"""),5.54)</f>
        <v>5.54</v>
      </c>
      <c r="G2146" s="5">
        <f>IFERROR(__xludf.DUMMYFUNCTION("""COMPUTED_VALUE"""),10844.0)</f>
        <v>10844</v>
      </c>
      <c r="H2146" s="5">
        <f>IFERROR(__xludf.DUMMYFUNCTION("""COMPUTED_VALUE"""),1958.0)</f>
        <v>1958</v>
      </c>
    </row>
    <row r="2147">
      <c r="A2147" s="4">
        <f>IFERROR(__xludf.DUMMYFUNCTION("""COMPUTED_VALUE"""),44515.0)</f>
        <v>44515</v>
      </c>
      <c r="B2147" s="5">
        <f>IFERROR(__xludf.DUMMYFUNCTION("""COMPUTED_VALUE"""),2805.0)</f>
        <v>2805</v>
      </c>
      <c r="C2147" s="6">
        <f>IFERROR(__xludf.DUMMYFUNCTION("""COMPUTED_VALUE"""),0.4086)</f>
        <v>0.4086</v>
      </c>
      <c r="D2147" s="2">
        <f>IFERROR(__xludf.DUMMYFUNCTION("""COMPUTED_VALUE"""),0.003460648148148148)</f>
        <v>0.003460648148</v>
      </c>
      <c r="E2147" s="1">
        <f>IFERROR(__xludf.DUMMYFUNCTION("""COMPUTED_VALUE"""),1.14)</f>
        <v>1.14</v>
      </c>
      <c r="F2147" s="1">
        <f>IFERROR(__xludf.DUMMYFUNCTION("""COMPUTED_VALUE"""),5.63)</f>
        <v>5.63</v>
      </c>
      <c r="G2147" s="5">
        <f>IFERROR(__xludf.DUMMYFUNCTION("""COMPUTED_VALUE"""),17995.0)</f>
        <v>17995</v>
      </c>
      <c r="H2147" s="5">
        <f>IFERROR(__xludf.DUMMYFUNCTION("""COMPUTED_VALUE"""),3194.0)</f>
        <v>3194</v>
      </c>
    </row>
    <row r="2148">
      <c r="A2148" s="4">
        <f>IFERROR(__xludf.DUMMYFUNCTION("""COMPUTED_VALUE"""),44516.0)</f>
        <v>44516</v>
      </c>
      <c r="B2148" s="5">
        <f>IFERROR(__xludf.DUMMYFUNCTION("""COMPUTED_VALUE"""),2819.0)</f>
        <v>2819</v>
      </c>
      <c r="C2148" s="6">
        <f>IFERROR(__xludf.DUMMYFUNCTION("""COMPUTED_VALUE"""),0.4248)</f>
        <v>0.4248</v>
      </c>
      <c r="D2148" s="2">
        <f>IFERROR(__xludf.DUMMYFUNCTION("""COMPUTED_VALUE"""),0.002384259259259259)</f>
        <v>0.002384259259</v>
      </c>
      <c r="E2148" s="1">
        <f>IFERROR(__xludf.DUMMYFUNCTION("""COMPUTED_VALUE"""),1.11)</f>
        <v>1.11</v>
      </c>
      <c r="F2148" s="1">
        <f>IFERROR(__xludf.DUMMYFUNCTION("""COMPUTED_VALUE"""),5.3)</f>
        <v>5.3</v>
      </c>
      <c r="G2148" s="5">
        <f>IFERROR(__xludf.DUMMYFUNCTION("""COMPUTED_VALUE"""),16621.0)</f>
        <v>16621</v>
      </c>
      <c r="H2148" s="5">
        <f>IFERROR(__xludf.DUMMYFUNCTION("""COMPUTED_VALUE"""),3138.0)</f>
        <v>3138</v>
      </c>
    </row>
    <row r="2149">
      <c r="A2149" s="4">
        <f>IFERROR(__xludf.DUMMYFUNCTION("""COMPUTED_VALUE"""),44517.0)</f>
        <v>44517</v>
      </c>
      <c r="B2149" s="5">
        <f>IFERROR(__xludf.DUMMYFUNCTION("""COMPUTED_VALUE"""),3083.0)</f>
        <v>3083</v>
      </c>
      <c r="C2149" s="6">
        <f>IFERROR(__xludf.DUMMYFUNCTION("""COMPUTED_VALUE"""),0.4571)</f>
        <v>0.4571</v>
      </c>
      <c r="D2149" s="2">
        <f>IFERROR(__xludf.DUMMYFUNCTION("""COMPUTED_VALUE"""),0.002384259259259259)</f>
        <v>0.002384259259</v>
      </c>
      <c r="E2149" s="1">
        <f>IFERROR(__xludf.DUMMYFUNCTION("""COMPUTED_VALUE"""),1.1)</f>
        <v>1.1</v>
      </c>
      <c r="F2149" s="1">
        <f>IFERROR(__xludf.DUMMYFUNCTION("""COMPUTED_VALUE"""),4.42)</f>
        <v>4.42</v>
      </c>
      <c r="G2149" s="5">
        <f>IFERROR(__xludf.DUMMYFUNCTION("""COMPUTED_VALUE"""),15024.0)</f>
        <v>15024</v>
      </c>
      <c r="H2149" s="5">
        <f>IFERROR(__xludf.DUMMYFUNCTION("""COMPUTED_VALUE"""),3402.0)</f>
        <v>3402</v>
      </c>
    </row>
    <row r="2150">
      <c r="A2150" s="4">
        <f>IFERROR(__xludf.DUMMYFUNCTION("""COMPUTED_VALUE"""),44518.0)</f>
        <v>44518</v>
      </c>
      <c r="B2150" s="5">
        <f>IFERROR(__xludf.DUMMYFUNCTION("""COMPUTED_VALUE"""),2916.0)</f>
        <v>2916</v>
      </c>
      <c r="C2150" s="6">
        <f>IFERROR(__xludf.DUMMYFUNCTION("""COMPUTED_VALUE"""),0.3967)</f>
        <v>0.3967</v>
      </c>
      <c r="D2150" s="2">
        <f>IFERROR(__xludf.DUMMYFUNCTION("""COMPUTED_VALUE"""),0.003472222222222222)</f>
        <v>0.003472222222</v>
      </c>
      <c r="E2150" s="1">
        <f>IFERROR(__xludf.DUMMYFUNCTION("""COMPUTED_VALUE"""),1.15)</f>
        <v>1.15</v>
      </c>
      <c r="F2150" s="1">
        <f>IFERROR(__xludf.DUMMYFUNCTION("""COMPUTED_VALUE"""),7.08)</f>
        <v>7.08</v>
      </c>
      <c r="G2150" s="5">
        <f>IFERROR(__xludf.DUMMYFUNCTION("""COMPUTED_VALUE"""),23786.0)</f>
        <v>23786</v>
      </c>
      <c r="H2150" s="5">
        <f>IFERROR(__xludf.DUMMYFUNCTION("""COMPUTED_VALUE"""),3360.0)</f>
        <v>3360</v>
      </c>
    </row>
    <row r="2151">
      <c r="A2151" s="4">
        <f>IFERROR(__xludf.DUMMYFUNCTION("""COMPUTED_VALUE"""),44519.0)</f>
        <v>44519</v>
      </c>
      <c r="B2151" s="5">
        <f>IFERROR(__xludf.DUMMYFUNCTION("""COMPUTED_VALUE"""),2610.0)</f>
        <v>2610</v>
      </c>
      <c r="C2151" s="6">
        <f>IFERROR(__xludf.DUMMYFUNCTION("""COMPUTED_VALUE"""),0.4778)</f>
        <v>0.4778</v>
      </c>
      <c r="D2151" s="2">
        <f>IFERROR(__xludf.DUMMYFUNCTION("""COMPUTED_VALUE"""),0.0020949074074074073)</f>
        <v>0.002094907407</v>
      </c>
      <c r="E2151" s="1">
        <f>IFERROR(__xludf.DUMMYFUNCTION("""COMPUTED_VALUE"""),1.08)</f>
        <v>1.08</v>
      </c>
      <c r="F2151" s="1">
        <f>IFERROR(__xludf.DUMMYFUNCTION("""COMPUTED_VALUE"""),4.85)</f>
        <v>4.85</v>
      </c>
      <c r="G2151" s="5">
        <f>IFERROR(__xludf.DUMMYFUNCTION("""COMPUTED_VALUE"""),13677.0)</f>
        <v>13677</v>
      </c>
      <c r="H2151" s="5">
        <f>IFERROR(__xludf.DUMMYFUNCTION("""COMPUTED_VALUE"""),2819.0)</f>
        <v>2819</v>
      </c>
    </row>
    <row r="2152">
      <c r="A2152" s="4">
        <f>IFERROR(__xludf.DUMMYFUNCTION("""COMPUTED_VALUE"""),44520.0)</f>
        <v>44520</v>
      </c>
      <c r="B2152" s="5">
        <f>IFERROR(__xludf.DUMMYFUNCTION("""COMPUTED_VALUE"""),1722.0)</f>
        <v>1722</v>
      </c>
      <c r="C2152" s="6">
        <f>IFERROR(__xludf.DUMMYFUNCTION("""COMPUTED_VALUE"""),0.4926)</f>
        <v>0.4926</v>
      </c>
      <c r="D2152" s="2">
        <f>IFERROR(__xludf.DUMMYFUNCTION("""COMPUTED_VALUE"""),0.0014699074074074074)</f>
        <v>0.001469907407</v>
      </c>
      <c r="E2152" s="1">
        <f>IFERROR(__xludf.DUMMYFUNCTION("""COMPUTED_VALUE"""),1.1)</f>
        <v>1.1</v>
      </c>
      <c r="F2152" s="1">
        <f>IFERROR(__xludf.DUMMYFUNCTION("""COMPUTED_VALUE"""),4.09)</f>
        <v>4.09</v>
      </c>
      <c r="G2152" s="5">
        <f>IFERROR(__xludf.DUMMYFUNCTION("""COMPUTED_VALUE"""),7720.0)</f>
        <v>7720</v>
      </c>
      <c r="H2152" s="5">
        <f>IFERROR(__xludf.DUMMYFUNCTION("""COMPUTED_VALUE"""),1888.0)</f>
        <v>1888</v>
      </c>
    </row>
    <row r="2153">
      <c r="A2153" s="4">
        <f>IFERROR(__xludf.DUMMYFUNCTION("""COMPUTED_VALUE"""),44521.0)</f>
        <v>44521</v>
      </c>
      <c r="B2153" s="5">
        <f>IFERROR(__xludf.DUMMYFUNCTION("""COMPUTED_VALUE"""),1902.0)</f>
        <v>1902</v>
      </c>
      <c r="C2153" s="6">
        <f>IFERROR(__xludf.DUMMYFUNCTION("""COMPUTED_VALUE"""),0.537)</f>
        <v>0.537</v>
      </c>
      <c r="D2153" s="2">
        <f>IFERROR(__xludf.DUMMYFUNCTION("""COMPUTED_VALUE"""),0.001863425925925926)</f>
        <v>0.001863425926</v>
      </c>
      <c r="E2153" s="1">
        <f>IFERROR(__xludf.DUMMYFUNCTION("""COMPUTED_VALUE"""),1.09)</f>
        <v>1.09</v>
      </c>
      <c r="F2153" s="1">
        <f>IFERROR(__xludf.DUMMYFUNCTION("""COMPUTED_VALUE"""),4.25)</f>
        <v>4.25</v>
      </c>
      <c r="G2153" s="5">
        <f>IFERROR(__xludf.DUMMYFUNCTION("""COMPUTED_VALUE"""),8803.0)</f>
        <v>8803</v>
      </c>
      <c r="H2153" s="5">
        <f>IFERROR(__xludf.DUMMYFUNCTION("""COMPUTED_VALUE"""),2069.0)</f>
        <v>2069</v>
      </c>
    </row>
    <row r="2154">
      <c r="A2154" s="4">
        <f>IFERROR(__xludf.DUMMYFUNCTION("""COMPUTED_VALUE"""),44522.0)</f>
        <v>44522</v>
      </c>
      <c r="B2154" s="5">
        <f>IFERROR(__xludf.DUMMYFUNCTION("""COMPUTED_VALUE"""),3208.0)</f>
        <v>3208</v>
      </c>
      <c r="C2154" s="6">
        <f>IFERROR(__xludf.DUMMYFUNCTION("""COMPUTED_VALUE"""),0.4721)</f>
        <v>0.4721</v>
      </c>
      <c r="D2154" s="2">
        <f>IFERROR(__xludf.DUMMYFUNCTION("""COMPUTED_VALUE"""),0.002349537037037037)</f>
        <v>0.002349537037</v>
      </c>
      <c r="E2154" s="1">
        <f>IFERROR(__xludf.DUMMYFUNCTION("""COMPUTED_VALUE"""),1.16)</f>
        <v>1.16</v>
      </c>
      <c r="F2154" s="1">
        <f>IFERROR(__xludf.DUMMYFUNCTION("""COMPUTED_VALUE"""),5.58)</f>
        <v>5.58</v>
      </c>
      <c r="G2154" s="5">
        <f>IFERROR(__xludf.DUMMYFUNCTION("""COMPUTED_VALUE"""),20675.0)</f>
        <v>20675</v>
      </c>
      <c r="H2154" s="5">
        <f>IFERROR(__xludf.DUMMYFUNCTION("""COMPUTED_VALUE"""),3707.0)</f>
        <v>3707</v>
      </c>
    </row>
    <row r="2155">
      <c r="A2155" s="4">
        <f>IFERROR(__xludf.DUMMYFUNCTION("""COMPUTED_VALUE"""),44523.0)</f>
        <v>44523</v>
      </c>
      <c r="B2155" s="5">
        <f>IFERROR(__xludf.DUMMYFUNCTION("""COMPUTED_VALUE"""),2930.0)</f>
        <v>2930</v>
      </c>
      <c r="C2155" s="6">
        <f>IFERROR(__xludf.DUMMYFUNCTION("""COMPUTED_VALUE"""),0.4958)</f>
        <v>0.4958</v>
      </c>
      <c r="D2155" s="2">
        <f>IFERROR(__xludf.DUMMYFUNCTION("""COMPUTED_VALUE"""),0.002013888888888889)</f>
        <v>0.002013888889</v>
      </c>
      <c r="E2155" s="1">
        <f>IFERROR(__xludf.DUMMYFUNCTION("""COMPUTED_VALUE"""),1.11)</f>
        <v>1.11</v>
      </c>
      <c r="F2155" s="1">
        <f>IFERROR(__xludf.DUMMYFUNCTION("""COMPUTED_VALUE"""),4.65)</f>
        <v>4.65</v>
      </c>
      <c r="G2155" s="5">
        <f>IFERROR(__xludf.DUMMYFUNCTION("""COMPUTED_VALUE"""),15093.0)</f>
        <v>15093</v>
      </c>
      <c r="H2155" s="5">
        <f>IFERROR(__xludf.DUMMYFUNCTION("""COMPUTED_VALUE"""),3249.0)</f>
        <v>3249</v>
      </c>
    </row>
    <row r="2156">
      <c r="A2156" s="4">
        <f>IFERROR(__xludf.DUMMYFUNCTION("""COMPUTED_VALUE"""),44524.0)</f>
        <v>44524</v>
      </c>
      <c r="B2156" s="5">
        <f>IFERROR(__xludf.DUMMYFUNCTION("""COMPUTED_VALUE"""),2666.0)</f>
        <v>2666</v>
      </c>
      <c r="C2156" s="6">
        <f>IFERROR(__xludf.DUMMYFUNCTION("""COMPUTED_VALUE"""),0.4577)</f>
        <v>0.4577</v>
      </c>
      <c r="D2156" s="2">
        <f>IFERROR(__xludf.DUMMYFUNCTION("""COMPUTED_VALUE"""),0.002962962962962963)</f>
        <v>0.002962962963</v>
      </c>
      <c r="E2156" s="1">
        <f>IFERROR(__xludf.DUMMYFUNCTION("""COMPUTED_VALUE"""),1.17)</f>
        <v>1.17</v>
      </c>
      <c r="F2156" s="1">
        <f>IFERROR(__xludf.DUMMYFUNCTION("""COMPUTED_VALUE"""),5.42)</f>
        <v>5.42</v>
      </c>
      <c r="G2156" s="5">
        <f>IFERROR(__xludf.DUMMYFUNCTION("""COMPUTED_VALUE"""),16926.0)</f>
        <v>16926</v>
      </c>
      <c r="H2156" s="5">
        <f>IFERROR(__xludf.DUMMYFUNCTION("""COMPUTED_VALUE"""),3124.0)</f>
        <v>3124</v>
      </c>
    </row>
    <row r="2157">
      <c r="A2157" s="4">
        <f>IFERROR(__xludf.DUMMYFUNCTION("""COMPUTED_VALUE"""),44525.0)</f>
        <v>44525</v>
      </c>
      <c r="B2157" s="5">
        <f>IFERROR(__xludf.DUMMYFUNCTION("""COMPUTED_VALUE"""),2305.0)</f>
        <v>2305</v>
      </c>
      <c r="C2157" s="6">
        <f>IFERROR(__xludf.DUMMYFUNCTION("""COMPUTED_VALUE"""),0.5323)</f>
        <v>0.5323</v>
      </c>
      <c r="D2157" s="2">
        <f>IFERROR(__xludf.DUMMYFUNCTION("""COMPUTED_VALUE"""),0.001736111111111111)</f>
        <v>0.001736111111</v>
      </c>
      <c r="E2157" s="1">
        <f>IFERROR(__xludf.DUMMYFUNCTION("""COMPUTED_VALUE"""),1.12)</f>
        <v>1.12</v>
      </c>
      <c r="F2157" s="1">
        <f>IFERROR(__xludf.DUMMYFUNCTION("""COMPUTED_VALUE"""),4.2)</f>
        <v>4.2</v>
      </c>
      <c r="G2157" s="5">
        <f>IFERROR(__xludf.DUMMYFUNCTION("""COMPUTED_VALUE"""),10844.0)</f>
        <v>10844</v>
      </c>
      <c r="H2157" s="5">
        <f>IFERROR(__xludf.DUMMYFUNCTION("""COMPUTED_VALUE"""),2583.0)</f>
        <v>2583</v>
      </c>
    </row>
    <row r="2158">
      <c r="A2158" s="4">
        <f>IFERROR(__xludf.DUMMYFUNCTION("""COMPUTED_VALUE"""),44526.0)</f>
        <v>44526</v>
      </c>
      <c r="B2158" s="5">
        <f>IFERROR(__xludf.DUMMYFUNCTION("""COMPUTED_VALUE"""),2444.0)</f>
        <v>2444</v>
      </c>
      <c r="C2158" s="6">
        <f>IFERROR(__xludf.DUMMYFUNCTION("""COMPUTED_VALUE"""),0.5425)</f>
        <v>0.5425</v>
      </c>
      <c r="D2158" s="2">
        <f>IFERROR(__xludf.DUMMYFUNCTION("""COMPUTED_VALUE"""),0.0020717592592592593)</f>
        <v>0.002071759259</v>
      </c>
      <c r="E2158" s="1">
        <f>IFERROR(__xludf.DUMMYFUNCTION("""COMPUTED_VALUE"""),1.14)</f>
        <v>1.14</v>
      </c>
      <c r="F2158" s="1">
        <f>IFERROR(__xludf.DUMMYFUNCTION("""COMPUTED_VALUE"""),4.64)</f>
        <v>4.64</v>
      </c>
      <c r="G2158" s="5">
        <f>IFERROR(__xludf.DUMMYFUNCTION("""COMPUTED_VALUE"""),12955.0)</f>
        <v>12955</v>
      </c>
      <c r="H2158" s="5">
        <f>IFERROR(__xludf.DUMMYFUNCTION("""COMPUTED_VALUE"""),2791.0)</f>
        <v>2791</v>
      </c>
    </row>
    <row r="2159">
      <c r="A2159" s="4">
        <f>IFERROR(__xludf.DUMMYFUNCTION("""COMPUTED_VALUE"""),44527.0)</f>
        <v>44527</v>
      </c>
      <c r="B2159" s="5">
        <f>IFERROR(__xludf.DUMMYFUNCTION("""COMPUTED_VALUE"""),1791.0)</f>
        <v>1791</v>
      </c>
      <c r="C2159" s="6">
        <f>IFERROR(__xludf.DUMMYFUNCTION("""COMPUTED_VALUE"""),0.5895)</f>
        <v>0.5895</v>
      </c>
      <c r="D2159" s="2">
        <f>IFERROR(__xludf.DUMMYFUNCTION("""COMPUTED_VALUE"""),0.0022569444444444442)</f>
        <v>0.002256944444</v>
      </c>
      <c r="E2159" s="1">
        <f>IFERROR(__xludf.DUMMYFUNCTION("""COMPUTED_VALUE"""),1.04)</f>
        <v>1.04</v>
      </c>
      <c r="F2159" s="1">
        <f>IFERROR(__xludf.DUMMYFUNCTION("""COMPUTED_VALUE"""),4.45)</f>
        <v>4.45</v>
      </c>
      <c r="G2159" s="5">
        <f>IFERROR(__xludf.DUMMYFUNCTION("""COMPUTED_VALUE"""),8276.0)</f>
        <v>8276</v>
      </c>
      <c r="H2159" s="5">
        <f>IFERROR(__xludf.DUMMYFUNCTION("""COMPUTED_VALUE"""),1861.0)</f>
        <v>1861</v>
      </c>
    </row>
    <row r="2160">
      <c r="A2160" s="4">
        <f>IFERROR(__xludf.DUMMYFUNCTION("""COMPUTED_VALUE"""),44528.0)</f>
        <v>44528</v>
      </c>
      <c r="B2160" s="5">
        <f>IFERROR(__xludf.DUMMYFUNCTION("""COMPUTED_VALUE"""),1875.0)</f>
        <v>1875</v>
      </c>
      <c r="C2160" s="6">
        <f>IFERROR(__xludf.DUMMYFUNCTION("""COMPUTED_VALUE"""),0.5674)</f>
        <v>0.5674</v>
      </c>
      <c r="D2160" s="2">
        <f>IFERROR(__xludf.DUMMYFUNCTION("""COMPUTED_VALUE"""),0.001585648148148148)</f>
        <v>0.001585648148</v>
      </c>
      <c r="E2160" s="1">
        <f>IFERROR(__xludf.DUMMYFUNCTION("""COMPUTED_VALUE"""),1.1)</f>
        <v>1.1</v>
      </c>
      <c r="F2160" s="1">
        <f>IFERROR(__xludf.DUMMYFUNCTION("""COMPUTED_VALUE"""),3.43)</f>
        <v>3.43</v>
      </c>
      <c r="G2160" s="5">
        <f>IFERROR(__xludf.DUMMYFUNCTION("""COMPUTED_VALUE"""),7040.0)</f>
        <v>7040</v>
      </c>
      <c r="H2160" s="5">
        <f>IFERROR(__xludf.DUMMYFUNCTION("""COMPUTED_VALUE"""),2055.0)</f>
        <v>2055</v>
      </c>
    </row>
    <row r="2161">
      <c r="A2161" s="4">
        <f>IFERROR(__xludf.DUMMYFUNCTION("""COMPUTED_VALUE"""),44529.0)</f>
        <v>44529</v>
      </c>
      <c r="B2161" s="5">
        <f>IFERROR(__xludf.DUMMYFUNCTION("""COMPUTED_VALUE"""),3305.0)</f>
        <v>3305</v>
      </c>
      <c r="C2161" s="6">
        <f>IFERROR(__xludf.DUMMYFUNCTION("""COMPUTED_VALUE"""),0.4179)</f>
        <v>0.4179</v>
      </c>
      <c r="D2161" s="2">
        <f>IFERROR(__xludf.DUMMYFUNCTION("""COMPUTED_VALUE"""),0.0025578703703703705)</f>
        <v>0.00255787037</v>
      </c>
      <c r="E2161" s="1">
        <f>IFERROR(__xludf.DUMMYFUNCTION("""COMPUTED_VALUE"""),1.13)</f>
        <v>1.13</v>
      </c>
      <c r="F2161" s="1">
        <f>IFERROR(__xludf.DUMMYFUNCTION("""COMPUTED_VALUE"""),5.19)</f>
        <v>5.19</v>
      </c>
      <c r="G2161" s="5">
        <f>IFERROR(__xludf.DUMMYFUNCTION("""COMPUTED_VALUE"""),19315.0)</f>
        <v>19315</v>
      </c>
      <c r="H2161" s="5">
        <f>IFERROR(__xludf.DUMMYFUNCTION("""COMPUTED_VALUE"""),3721.0)</f>
        <v>3721</v>
      </c>
    </row>
    <row r="2162">
      <c r="A2162" s="4">
        <f>IFERROR(__xludf.DUMMYFUNCTION("""COMPUTED_VALUE"""),44530.0)</f>
        <v>44530</v>
      </c>
      <c r="B2162" s="5">
        <f>IFERROR(__xludf.DUMMYFUNCTION("""COMPUTED_VALUE"""),3124.0)</f>
        <v>3124</v>
      </c>
      <c r="C2162" s="6">
        <f>IFERROR(__xludf.DUMMYFUNCTION("""COMPUTED_VALUE"""),0.462)</f>
        <v>0.462</v>
      </c>
      <c r="D2162" s="2">
        <f>IFERROR(__xludf.DUMMYFUNCTION("""COMPUTED_VALUE"""),0.0021643518518518518)</f>
        <v>0.002164351852</v>
      </c>
      <c r="E2162" s="1">
        <f>IFERROR(__xludf.DUMMYFUNCTION("""COMPUTED_VALUE"""),1.11)</f>
        <v>1.11</v>
      </c>
      <c r="F2162" s="1">
        <f>IFERROR(__xludf.DUMMYFUNCTION("""COMPUTED_VALUE"""),5.24)</f>
        <v>5.24</v>
      </c>
      <c r="G2162" s="5">
        <f>IFERROR(__xludf.DUMMYFUNCTION("""COMPUTED_VALUE"""),18107.0)</f>
        <v>18107</v>
      </c>
      <c r="H2162" s="5">
        <f>IFERROR(__xludf.DUMMYFUNCTION("""COMPUTED_VALUE"""),3457.0)</f>
        <v>3457</v>
      </c>
    </row>
    <row r="2163">
      <c r="A2163" s="4">
        <f>IFERROR(__xludf.DUMMYFUNCTION("""COMPUTED_VALUE"""),44531.0)</f>
        <v>44531</v>
      </c>
      <c r="B2163" s="5">
        <f>IFERROR(__xludf.DUMMYFUNCTION("""COMPUTED_VALUE"""),3055.0)</f>
        <v>3055</v>
      </c>
      <c r="C2163" s="6">
        <f>IFERROR(__xludf.DUMMYFUNCTION("""COMPUTED_VALUE"""),0.4155)</f>
        <v>0.4155</v>
      </c>
      <c r="D2163" s="2">
        <f>IFERROR(__xludf.DUMMYFUNCTION("""COMPUTED_VALUE"""),0.002685185185185185)</f>
        <v>0.002685185185</v>
      </c>
      <c r="E2163" s="1">
        <f>IFERROR(__xludf.DUMMYFUNCTION("""COMPUTED_VALUE"""),1.1)</f>
        <v>1.1</v>
      </c>
      <c r="F2163" s="1">
        <f>IFERROR(__xludf.DUMMYFUNCTION("""COMPUTED_VALUE"""),5.42)</f>
        <v>5.42</v>
      </c>
      <c r="G2163" s="5">
        <f>IFERROR(__xludf.DUMMYFUNCTION("""COMPUTED_VALUE"""),18273.0)</f>
        <v>18273</v>
      </c>
      <c r="H2163" s="5">
        <f>IFERROR(__xludf.DUMMYFUNCTION("""COMPUTED_VALUE"""),3374.0)</f>
        <v>3374</v>
      </c>
    </row>
    <row r="2164">
      <c r="A2164" s="4">
        <f>IFERROR(__xludf.DUMMYFUNCTION("""COMPUTED_VALUE"""),44532.0)</f>
        <v>44532</v>
      </c>
      <c r="B2164" s="5">
        <f>IFERROR(__xludf.DUMMYFUNCTION("""COMPUTED_VALUE"""),3083.0)</f>
        <v>3083</v>
      </c>
      <c r="C2164" s="6">
        <f>IFERROR(__xludf.DUMMYFUNCTION("""COMPUTED_VALUE"""),0.4511)</f>
        <v>0.4511</v>
      </c>
      <c r="D2164" s="2">
        <f>IFERROR(__xludf.DUMMYFUNCTION("""COMPUTED_VALUE"""),0.002638888888888889)</f>
        <v>0.002638888889</v>
      </c>
      <c r="E2164" s="1">
        <f>IFERROR(__xludf.DUMMYFUNCTION("""COMPUTED_VALUE"""),1.11)</f>
        <v>1.11</v>
      </c>
      <c r="F2164" s="1">
        <f>IFERROR(__xludf.DUMMYFUNCTION("""COMPUTED_VALUE"""),5.0)</f>
        <v>5</v>
      </c>
      <c r="G2164" s="5">
        <f>IFERROR(__xludf.DUMMYFUNCTION("""COMPUTED_VALUE"""),17093.0)</f>
        <v>17093</v>
      </c>
      <c r="H2164" s="5">
        <f>IFERROR(__xludf.DUMMYFUNCTION("""COMPUTED_VALUE"""),3416.0)</f>
        <v>3416</v>
      </c>
    </row>
    <row r="2165">
      <c r="A2165" s="4">
        <f>IFERROR(__xludf.DUMMYFUNCTION("""COMPUTED_VALUE"""),44533.0)</f>
        <v>44533</v>
      </c>
      <c r="B2165" s="5">
        <f>IFERROR(__xludf.DUMMYFUNCTION("""COMPUTED_VALUE"""),8442.0)</f>
        <v>8442</v>
      </c>
      <c r="C2165" s="6">
        <f>IFERROR(__xludf.DUMMYFUNCTION("""COMPUTED_VALUE"""),0.4397)</f>
        <v>0.4397</v>
      </c>
      <c r="D2165" s="2">
        <f>IFERROR(__xludf.DUMMYFUNCTION("""COMPUTED_VALUE"""),0.0017824074074074075)</f>
        <v>0.001782407407</v>
      </c>
      <c r="E2165" s="1">
        <f>IFERROR(__xludf.DUMMYFUNCTION("""COMPUTED_VALUE"""),1.08)</f>
        <v>1.08</v>
      </c>
      <c r="F2165" s="1">
        <f>IFERROR(__xludf.DUMMYFUNCTION("""COMPUTED_VALUE"""),4.44)</f>
        <v>4.44</v>
      </c>
      <c r="G2165" s="5">
        <f>IFERROR(__xludf.DUMMYFUNCTION("""COMPUTED_VALUE"""),40379.0)</f>
        <v>40379</v>
      </c>
      <c r="H2165" s="5">
        <f>IFERROR(__xludf.DUMMYFUNCTION("""COMPUTED_VALUE"""),9095.0)</f>
        <v>9095</v>
      </c>
    </row>
    <row r="2166">
      <c r="A2166" s="4">
        <f>IFERROR(__xludf.DUMMYFUNCTION("""COMPUTED_VALUE"""),44534.0)</f>
        <v>44534</v>
      </c>
      <c r="B2166" s="5">
        <f>IFERROR(__xludf.DUMMYFUNCTION("""COMPUTED_VALUE"""),4818.0)</f>
        <v>4818</v>
      </c>
      <c r="C2166" s="6">
        <f>IFERROR(__xludf.DUMMYFUNCTION("""COMPUTED_VALUE"""),0.5108)</f>
        <v>0.5108</v>
      </c>
      <c r="D2166" s="2">
        <f>IFERROR(__xludf.DUMMYFUNCTION("""COMPUTED_VALUE"""),0.0012847222222222223)</f>
        <v>0.001284722222</v>
      </c>
      <c r="E2166" s="1">
        <f>IFERROR(__xludf.DUMMYFUNCTION("""COMPUTED_VALUE"""),1.06)</f>
        <v>1.06</v>
      </c>
      <c r="F2166" s="1">
        <f>IFERROR(__xludf.DUMMYFUNCTION("""COMPUTED_VALUE"""),4.02)</f>
        <v>4.02</v>
      </c>
      <c r="G2166" s="5">
        <f>IFERROR(__xludf.DUMMYFUNCTION("""COMPUTED_VALUE"""),20523.0)</f>
        <v>20523</v>
      </c>
      <c r="H2166" s="5">
        <f>IFERROR(__xludf.DUMMYFUNCTION("""COMPUTED_VALUE"""),5110.0)</f>
        <v>5110</v>
      </c>
    </row>
    <row r="2167">
      <c r="A2167" s="4">
        <f>IFERROR(__xludf.DUMMYFUNCTION("""COMPUTED_VALUE"""),44535.0)</f>
        <v>44535</v>
      </c>
      <c r="B2167" s="5">
        <f>IFERROR(__xludf.DUMMYFUNCTION("""COMPUTED_VALUE"""),3569.0)</f>
        <v>3569</v>
      </c>
      <c r="C2167" s="6">
        <f>IFERROR(__xludf.DUMMYFUNCTION("""COMPUTED_VALUE"""),0.5254)</f>
        <v>0.5254</v>
      </c>
      <c r="D2167" s="2">
        <f>IFERROR(__xludf.DUMMYFUNCTION("""COMPUTED_VALUE"""),0.0017013888888888888)</f>
        <v>0.001701388889</v>
      </c>
      <c r="E2167" s="1">
        <f>IFERROR(__xludf.DUMMYFUNCTION("""COMPUTED_VALUE"""),1.07)</f>
        <v>1.07</v>
      </c>
      <c r="F2167" s="1">
        <f>IFERROR(__xludf.DUMMYFUNCTION("""COMPUTED_VALUE"""),3.91)</f>
        <v>3.91</v>
      </c>
      <c r="G2167" s="5">
        <f>IFERROR(__xludf.DUMMYFUNCTION("""COMPUTED_VALUE"""),14885.0)</f>
        <v>14885</v>
      </c>
      <c r="H2167" s="5">
        <f>IFERROR(__xludf.DUMMYFUNCTION("""COMPUTED_VALUE"""),3805.0)</f>
        <v>3805</v>
      </c>
    </row>
    <row r="2168">
      <c r="A2168" s="4">
        <f>IFERROR(__xludf.DUMMYFUNCTION("""COMPUTED_VALUE"""),44536.0)</f>
        <v>44536</v>
      </c>
      <c r="B2168" s="5">
        <f>IFERROR(__xludf.DUMMYFUNCTION("""COMPUTED_VALUE"""),4318.0)</f>
        <v>4318</v>
      </c>
      <c r="C2168" s="6">
        <f>IFERROR(__xludf.DUMMYFUNCTION("""COMPUTED_VALUE"""),0.4415)</f>
        <v>0.4415</v>
      </c>
      <c r="D2168" s="2">
        <f>IFERROR(__xludf.DUMMYFUNCTION("""COMPUTED_VALUE"""),0.0025578703703703705)</f>
        <v>0.00255787037</v>
      </c>
      <c r="E2168" s="1">
        <f>IFERROR(__xludf.DUMMYFUNCTION("""COMPUTED_VALUE"""),1.13)</f>
        <v>1.13</v>
      </c>
      <c r="F2168" s="1">
        <f>IFERROR(__xludf.DUMMYFUNCTION("""COMPUTED_VALUE"""),6.26)</f>
        <v>6.26</v>
      </c>
      <c r="G2168" s="5">
        <f>IFERROR(__xludf.DUMMYFUNCTION("""COMPUTED_VALUE"""),30506.0)</f>
        <v>30506</v>
      </c>
      <c r="H2168" s="5">
        <f>IFERROR(__xludf.DUMMYFUNCTION("""COMPUTED_VALUE"""),4874.0)</f>
        <v>4874</v>
      </c>
    </row>
    <row r="2169">
      <c r="A2169" s="4">
        <f>IFERROR(__xludf.DUMMYFUNCTION("""COMPUTED_VALUE"""),44537.0)</f>
        <v>44537</v>
      </c>
      <c r="B2169" s="5">
        <f>IFERROR(__xludf.DUMMYFUNCTION("""COMPUTED_VALUE"""),3971.0)</f>
        <v>3971</v>
      </c>
      <c r="C2169" s="6">
        <f>IFERROR(__xludf.DUMMYFUNCTION("""COMPUTED_VALUE"""),0.3796)</f>
        <v>0.3796</v>
      </c>
      <c r="D2169" s="2">
        <f>IFERROR(__xludf.DUMMYFUNCTION("""COMPUTED_VALUE"""),0.002662037037037037)</f>
        <v>0.002662037037</v>
      </c>
      <c r="E2169" s="1">
        <f>IFERROR(__xludf.DUMMYFUNCTION("""COMPUTED_VALUE"""),1.16)</f>
        <v>1.16</v>
      </c>
      <c r="F2169" s="1">
        <f>IFERROR(__xludf.DUMMYFUNCTION("""COMPUTED_VALUE"""),6.42)</f>
        <v>6.42</v>
      </c>
      <c r="G2169" s="5">
        <f>IFERROR(__xludf.DUMMYFUNCTION("""COMPUTED_VALUE"""),29590.0)</f>
        <v>29590</v>
      </c>
      <c r="H2169" s="5">
        <f>IFERROR(__xludf.DUMMYFUNCTION("""COMPUTED_VALUE"""),4610.0)</f>
        <v>4610</v>
      </c>
    </row>
    <row r="2170">
      <c r="A2170" s="4">
        <f>IFERROR(__xludf.DUMMYFUNCTION("""COMPUTED_VALUE"""),44538.0)</f>
        <v>44538</v>
      </c>
      <c r="B2170" s="5">
        <f>IFERROR(__xludf.DUMMYFUNCTION("""COMPUTED_VALUE"""),4055.0)</f>
        <v>4055</v>
      </c>
      <c r="C2170" s="6">
        <f>IFERROR(__xludf.DUMMYFUNCTION("""COMPUTED_VALUE"""),0.4056)</f>
        <v>0.4056</v>
      </c>
      <c r="D2170" s="2">
        <f>IFERROR(__xludf.DUMMYFUNCTION("""COMPUTED_VALUE"""),0.003275462962962963)</f>
        <v>0.003275462963</v>
      </c>
      <c r="E2170" s="1">
        <f>IFERROR(__xludf.DUMMYFUNCTION("""COMPUTED_VALUE"""),1.09)</f>
        <v>1.09</v>
      </c>
      <c r="F2170" s="1">
        <f>IFERROR(__xludf.DUMMYFUNCTION("""COMPUTED_VALUE"""),6.98)</f>
        <v>6.98</v>
      </c>
      <c r="G2170" s="5">
        <f>IFERROR(__xludf.DUMMYFUNCTION("""COMPUTED_VALUE"""),30839.0)</f>
        <v>30839</v>
      </c>
      <c r="H2170" s="5">
        <f>IFERROR(__xludf.DUMMYFUNCTION("""COMPUTED_VALUE"""),4416.0)</f>
        <v>4416</v>
      </c>
    </row>
    <row r="2171">
      <c r="A2171" s="4">
        <f>IFERROR(__xludf.DUMMYFUNCTION("""COMPUTED_VALUE"""),44539.0)</f>
        <v>44539</v>
      </c>
      <c r="B2171" s="5">
        <f>IFERROR(__xludf.DUMMYFUNCTION("""COMPUTED_VALUE"""),3916.0)</f>
        <v>3916</v>
      </c>
      <c r="C2171" s="6">
        <f>IFERROR(__xludf.DUMMYFUNCTION("""COMPUTED_VALUE"""),0.4246)</f>
        <v>0.4246</v>
      </c>
      <c r="D2171" s="2">
        <f>IFERROR(__xludf.DUMMYFUNCTION("""COMPUTED_VALUE"""),0.0026041666666666665)</f>
        <v>0.002604166667</v>
      </c>
      <c r="E2171" s="1">
        <f>IFERROR(__xludf.DUMMYFUNCTION("""COMPUTED_VALUE"""),1.13)</f>
        <v>1.13</v>
      </c>
      <c r="F2171" s="1">
        <f>IFERROR(__xludf.DUMMYFUNCTION("""COMPUTED_VALUE"""),5.53)</f>
        <v>5.53</v>
      </c>
      <c r="G2171" s="5">
        <f>IFERROR(__xludf.DUMMYFUNCTION("""COMPUTED_VALUE"""),24424.0)</f>
        <v>24424</v>
      </c>
      <c r="H2171" s="5">
        <f>IFERROR(__xludf.DUMMYFUNCTION("""COMPUTED_VALUE"""),4416.0)</f>
        <v>4416</v>
      </c>
    </row>
    <row r="2172">
      <c r="A2172" s="4">
        <f>IFERROR(__xludf.DUMMYFUNCTION("""COMPUTED_VALUE"""),44540.0)</f>
        <v>44540</v>
      </c>
      <c r="B2172" s="5">
        <f>IFERROR(__xludf.DUMMYFUNCTION("""COMPUTED_VALUE"""),3360.0)</f>
        <v>3360</v>
      </c>
      <c r="C2172" s="6">
        <f>IFERROR(__xludf.DUMMYFUNCTION("""COMPUTED_VALUE"""),0.3712)</f>
        <v>0.3712</v>
      </c>
      <c r="D2172" s="2">
        <f>IFERROR(__xludf.DUMMYFUNCTION("""COMPUTED_VALUE"""),0.0032060185185185186)</f>
        <v>0.003206018519</v>
      </c>
      <c r="E2172" s="1">
        <f>IFERROR(__xludf.DUMMYFUNCTION("""COMPUTED_VALUE"""),1.12)</f>
        <v>1.12</v>
      </c>
      <c r="F2172" s="1">
        <f>IFERROR(__xludf.DUMMYFUNCTION("""COMPUTED_VALUE"""),7.93)</f>
        <v>7.93</v>
      </c>
      <c r="G2172" s="5">
        <f>IFERROR(__xludf.DUMMYFUNCTION("""COMPUTED_VALUE"""),29951.0)</f>
        <v>29951</v>
      </c>
      <c r="H2172" s="5">
        <f>IFERROR(__xludf.DUMMYFUNCTION("""COMPUTED_VALUE"""),3777.0)</f>
        <v>3777</v>
      </c>
    </row>
    <row r="2173">
      <c r="A2173" s="4">
        <f>IFERROR(__xludf.DUMMYFUNCTION("""COMPUTED_VALUE"""),44541.0)</f>
        <v>44541</v>
      </c>
      <c r="B2173" s="5">
        <f>IFERROR(__xludf.DUMMYFUNCTION("""COMPUTED_VALUE"""),2097.0)</f>
        <v>2097</v>
      </c>
      <c r="C2173" s="6">
        <f>IFERROR(__xludf.DUMMYFUNCTION("""COMPUTED_VALUE"""),0.5528)</f>
        <v>0.5528</v>
      </c>
      <c r="D2173" s="2">
        <f>IFERROR(__xludf.DUMMYFUNCTION("""COMPUTED_VALUE"""),0.0019097222222222222)</f>
        <v>0.001909722222</v>
      </c>
      <c r="E2173" s="1">
        <f>IFERROR(__xludf.DUMMYFUNCTION("""COMPUTED_VALUE"""),1.07)</f>
        <v>1.07</v>
      </c>
      <c r="F2173" s="1">
        <f>IFERROR(__xludf.DUMMYFUNCTION("""COMPUTED_VALUE"""),4.79)</f>
        <v>4.79</v>
      </c>
      <c r="G2173" s="5">
        <f>IFERROR(__xludf.DUMMYFUNCTION("""COMPUTED_VALUE"""),10706.0)</f>
        <v>10706</v>
      </c>
      <c r="H2173" s="5">
        <f>IFERROR(__xludf.DUMMYFUNCTION("""COMPUTED_VALUE"""),2236.0)</f>
        <v>2236</v>
      </c>
    </row>
    <row r="2174">
      <c r="A2174" s="4">
        <f>IFERROR(__xludf.DUMMYFUNCTION("""COMPUTED_VALUE"""),44542.0)</f>
        <v>44542</v>
      </c>
      <c r="B2174" s="5">
        <f>IFERROR(__xludf.DUMMYFUNCTION("""COMPUTED_VALUE"""),2041.0)</f>
        <v>2041</v>
      </c>
      <c r="C2174" s="6">
        <f>IFERROR(__xludf.DUMMYFUNCTION("""COMPUTED_VALUE"""),0.5434)</f>
        <v>0.5434</v>
      </c>
      <c r="D2174" s="2">
        <f>IFERROR(__xludf.DUMMYFUNCTION("""COMPUTED_VALUE"""),0.001412037037037037)</f>
        <v>0.001412037037</v>
      </c>
      <c r="E2174" s="1">
        <f>IFERROR(__xludf.DUMMYFUNCTION("""COMPUTED_VALUE"""),1.1)</f>
        <v>1.1</v>
      </c>
      <c r="F2174" s="1">
        <f>IFERROR(__xludf.DUMMYFUNCTION("""COMPUTED_VALUE"""),3.69)</f>
        <v>3.69</v>
      </c>
      <c r="G2174" s="5">
        <f>IFERROR(__xludf.DUMMYFUNCTION("""COMPUTED_VALUE"""),8290.0)</f>
        <v>8290</v>
      </c>
      <c r="H2174" s="5">
        <f>IFERROR(__xludf.DUMMYFUNCTION("""COMPUTED_VALUE"""),2249.0)</f>
        <v>2249</v>
      </c>
    </row>
    <row r="2175">
      <c r="A2175" s="4">
        <f>IFERROR(__xludf.DUMMYFUNCTION("""COMPUTED_VALUE"""),44543.0)</f>
        <v>44543</v>
      </c>
      <c r="B2175" s="5">
        <f>IFERROR(__xludf.DUMMYFUNCTION("""COMPUTED_VALUE"""),3194.0)</f>
        <v>3194</v>
      </c>
      <c r="C2175" s="6">
        <f>IFERROR(__xludf.DUMMYFUNCTION("""COMPUTED_VALUE"""),0.4279)</f>
        <v>0.4279</v>
      </c>
      <c r="D2175" s="2">
        <f>IFERROR(__xludf.DUMMYFUNCTION("""COMPUTED_VALUE"""),0.0029745370370370373)</f>
        <v>0.002974537037</v>
      </c>
      <c r="E2175" s="1">
        <f>IFERROR(__xludf.DUMMYFUNCTION("""COMPUTED_VALUE"""),1.12)</f>
        <v>1.12</v>
      </c>
      <c r="F2175" s="1">
        <f>IFERROR(__xludf.DUMMYFUNCTION("""COMPUTED_VALUE"""),7.29)</f>
        <v>7.29</v>
      </c>
      <c r="G2175" s="5">
        <f>IFERROR(__xludf.DUMMYFUNCTION("""COMPUTED_VALUE"""),26021.0)</f>
        <v>26021</v>
      </c>
      <c r="H2175" s="5">
        <f>IFERROR(__xludf.DUMMYFUNCTION("""COMPUTED_VALUE"""),3569.0)</f>
        <v>3569</v>
      </c>
    </row>
    <row r="2176">
      <c r="A2176" s="4">
        <f>IFERROR(__xludf.DUMMYFUNCTION("""COMPUTED_VALUE"""),44544.0)</f>
        <v>44544</v>
      </c>
      <c r="B2176" s="5">
        <f>IFERROR(__xludf.DUMMYFUNCTION("""COMPUTED_VALUE"""),3166.0)</f>
        <v>3166</v>
      </c>
      <c r="C2176" s="6">
        <f>IFERROR(__xludf.DUMMYFUNCTION("""COMPUTED_VALUE"""),0.419)</f>
        <v>0.419</v>
      </c>
      <c r="D2176" s="2">
        <f>IFERROR(__xludf.DUMMYFUNCTION("""COMPUTED_VALUE"""),0.0024074074074074076)</f>
        <v>0.002407407407</v>
      </c>
      <c r="E2176" s="1">
        <f>IFERROR(__xludf.DUMMYFUNCTION("""COMPUTED_VALUE"""),1.11)</f>
        <v>1.11</v>
      </c>
      <c r="F2176" s="1">
        <f>IFERROR(__xludf.DUMMYFUNCTION("""COMPUTED_VALUE"""),6.6)</f>
        <v>6.6</v>
      </c>
      <c r="G2176" s="5">
        <f>IFERROR(__xludf.DUMMYFUNCTION("""COMPUTED_VALUE"""),23189.0)</f>
        <v>23189</v>
      </c>
      <c r="H2176" s="5">
        <f>IFERROR(__xludf.DUMMYFUNCTION("""COMPUTED_VALUE"""),3513.0)</f>
        <v>3513</v>
      </c>
    </row>
    <row r="2177">
      <c r="A2177" s="4">
        <f>IFERROR(__xludf.DUMMYFUNCTION("""COMPUTED_VALUE"""),44545.0)</f>
        <v>44545</v>
      </c>
      <c r="B2177" s="5">
        <f>IFERROR(__xludf.DUMMYFUNCTION("""COMPUTED_VALUE"""),3027.0)</f>
        <v>3027</v>
      </c>
      <c r="C2177" s="6">
        <f>IFERROR(__xludf.DUMMYFUNCTION("""COMPUTED_VALUE"""),0.4332)</f>
        <v>0.4332</v>
      </c>
      <c r="D2177" s="2">
        <f>IFERROR(__xludf.DUMMYFUNCTION("""COMPUTED_VALUE"""),0.0023032407407407407)</f>
        <v>0.002303240741</v>
      </c>
      <c r="E2177" s="1">
        <f>IFERROR(__xludf.DUMMYFUNCTION("""COMPUTED_VALUE"""),1.13)</f>
        <v>1.13</v>
      </c>
      <c r="F2177" s="1">
        <f>IFERROR(__xludf.DUMMYFUNCTION("""COMPUTED_VALUE"""),5.52)</f>
        <v>5.52</v>
      </c>
      <c r="G2177" s="5">
        <f>IFERROR(__xludf.DUMMYFUNCTION("""COMPUTED_VALUE"""),18940.0)</f>
        <v>18940</v>
      </c>
      <c r="H2177" s="5">
        <f>IFERROR(__xludf.DUMMYFUNCTION("""COMPUTED_VALUE"""),3430.0)</f>
        <v>3430</v>
      </c>
    </row>
    <row r="2178">
      <c r="A2178" s="4">
        <f>IFERROR(__xludf.DUMMYFUNCTION("""COMPUTED_VALUE"""),44546.0)</f>
        <v>44546</v>
      </c>
      <c r="B2178" s="5">
        <f>IFERROR(__xludf.DUMMYFUNCTION("""COMPUTED_VALUE"""),3180.0)</f>
        <v>3180</v>
      </c>
      <c r="C2178" s="6">
        <f>IFERROR(__xludf.DUMMYFUNCTION("""COMPUTED_VALUE"""),0.4287)</f>
        <v>0.4287</v>
      </c>
      <c r="D2178" s="2">
        <f>IFERROR(__xludf.DUMMYFUNCTION("""COMPUTED_VALUE"""),0.0025694444444444445)</f>
        <v>0.002569444444</v>
      </c>
      <c r="E2178" s="1">
        <f>IFERROR(__xludf.DUMMYFUNCTION("""COMPUTED_VALUE"""),1.1)</f>
        <v>1.1</v>
      </c>
      <c r="F2178" s="1">
        <f>IFERROR(__xludf.DUMMYFUNCTION("""COMPUTED_VALUE"""),5.41)</f>
        <v>5.41</v>
      </c>
      <c r="G2178" s="5">
        <f>IFERROR(__xludf.DUMMYFUNCTION("""COMPUTED_VALUE"""),18926.0)</f>
        <v>18926</v>
      </c>
      <c r="H2178" s="5">
        <f>IFERROR(__xludf.DUMMYFUNCTION("""COMPUTED_VALUE"""),3499.0)</f>
        <v>3499</v>
      </c>
    </row>
    <row r="2179">
      <c r="A2179" s="4">
        <f>IFERROR(__xludf.DUMMYFUNCTION("""COMPUTED_VALUE"""),44547.0)</f>
        <v>44547</v>
      </c>
      <c r="B2179" s="5">
        <f>IFERROR(__xludf.DUMMYFUNCTION("""COMPUTED_VALUE"""),2041.0)</f>
        <v>2041</v>
      </c>
      <c r="C2179" s="6">
        <f>IFERROR(__xludf.DUMMYFUNCTION("""COMPUTED_VALUE"""),0.4753)</f>
        <v>0.4753</v>
      </c>
      <c r="D2179" s="2">
        <f>IFERROR(__xludf.DUMMYFUNCTION("""COMPUTED_VALUE"""),0.0019212962962962964)</f>
        <v>0.001921296296</v>
      </c>
      <c r="E2179" s="1">
        <f>IFERROR(__xludf.DUMMYFUNCTION("""COMPUTED_VALUE"""),1.1)</f>
        <v>1.1</v>
      </c>
      <c r="F2179" s="1">
        <f>IFERROR(__xludf.DUMMYFUNCTION("""COMPUTED_VALUE"""),5.19)</f>
        <v>5.19</v>
      </c>
      <c r="G2179" s="5">
        <f>IFERROR(__xludf.DUMMYFUNCTION("""COMPUTED_VALUE"""),11664.0)</f>
        <v>11664</v>
      </c>
      <c r="H2179" s="5">
        <f>IFERROR(__xludf.DUMMYFUNCTION("""COMPUTED_VALUE"""),2249.0)</f>
        <v>2249</v>
      </c>
    </row>
    <row r="2180">
      <c r="A2180" s="4">
        <f>IFERROR(__xludf.DUMMYFUNCTION("""COMPUTED_VALUE"""),44548.0)</f>
        <v>44548</v>
      </c>
      <c r="B2180" s="5">
        <f>IFERROR(__xludf.DUMMYFUNCTION("""COMPUTED_VALUE"""),1500.0)</f>
        <v>1500</v>
      </c>
      <c r="C2180" s="6">
        <f>IFERROR(__xludf.DUMMYFUNCTION("""COMPUTED_VALUE"""),0.4919)</f>
        <v>0.4919</v>
      </c>
      <c r="D2180" s="2">
        <f>IFERROR(__xludf.DUMMYFUNCTION("""COMPUTED_VALUE"""),0.0019675925925925924)</f>
        <v>0.001967592593</v>
      </c>
      <c r="E2180" s="1">
        <f>IFERROR(__xludf.DUMMYFUNCTION("""COMPUTED_VALUE"""),1.15)</f>
        <v>1.15</v>
      </c>
      <c r="F2180" s="1">
        <f>IFERROR(__xludf.DUMMYFUNCTION("""COMPUTED_VALUE"""),5.52)</f>
        <v>5.52</v>
      </c>
      <c r="G2180" s="5">
        <f>IFERROR(__xludf.DUMMYFUNCTION("""COMPUTED_VALUE"""),9511.0)</f>
        <v>9511</v>
      </c>
      <c r="H2180" s="5">
        <f>IFERROR(__xludf.DUMMYFUNCTION("""COMPUTED_VALUE"""),1722.0)</f>
        <v>1722</v>
      </c>
    </row>
    <row r="2181">
      <c r="A2181" s="4">
        <f>IFERROR(__xludf.DUMMYFUNCTION("""COMPUTED_VALUE"""),44549.0)</f>
        <v>44549</v>
      </c>
      <c r="B2181" s="5">
        <f>IFERROR(__xludf.DUMMYFUNCTION("""COMPUTED_VALUE"""),1569.0)</f>
        <v>1569</v>
      </c>
      <c r="C2181" s="6">
        <f>IFERROR(__xludf.DUMMYFUNCTION("""COMPUTED_VALUE"""),0.484)</f>
        <v>0.484</v>
      </c>
      <c r="D2181" s="2">
        <f>IFERROR(__xludf.DUMMYFUNCTION("""COMPUTED_VALUE"""),0.0018287037037037037)</f>
        <v>0.001828703704</v>
      </c>
      <c r="E2181" s="1">
        <f>IFERROR(__xludf.DUMMYFUNCTION("""COMPUTED_VALUE"""),1.12)</f>
        <v>1.12</v>
      </c>
      <c r="F2181" s="1">
        <f>IFERROR(__xludf.DUMMYFUNCTION("""COMPUTED_VALUE"""),3.7)</f>
        <v>3.7</v>
      </c>
      <c r="G2181" s="5">
        <f>IFERROR(__xludf.DUMMYFUNCTION("""COMPUTED_VALUE"""),6471.0)</f>
        <v>6471</v>
      </c>
      <c r="H2181" s="5">
        <f>IFERROR(__xludf.DUMMYFUNCTION("""COMPUTED_VALUE"""),1750.0)</f>
        <v>1750</v>
      </c>
    </row>
    <row r="2182">
      <c r="A2182" s="4">
        <f>IFERROR(__xludf.DUMMYFUNCTION("""COMPUTED_VALUE"""),44550.0)</f>
        <v>44550</v>
      </c>
      <c r="B2182" s="5">
        <f>IFERROR(__xludf.DUMMYFUNCTION("""COMPUTED_VALUE"""),2666.0)</f>
        <v>2666</v>
      </c>
      <c r="C2182" s="6">
        <f>IFERROR(__xludf.DUMMYFUNCTION("""COMPUTED_VALUE"""),0.4095)</f>
        <v>0.4095</v>
      </c>
      <c r="D2182" s="2">
        <f>IFERROR(__xludf.DUMMYFUNCTION("""COMPUTED_VALUE"""),0.0033796296296296296)</f>
        <v>0.00337962963</v>
      </c>
      <c r="E2182" s="1">
        <f>IFERROR(__xludf.DUMMYFUNCTION("""COMPUTED_VALUE"""),1.09)</f>
        <v>1.09</v>
      </c>
      <c r="F2182" s="1">
        <f>IFERROR(__xludf.DUMMYFUNCTION("""COMPUTED_VALUE"""),7.72)</f>
        <v>7.72</v>
      </c>
      <c r="G2182" s="5">
        <f>IFERROR(__xludf.DUMMYFUNCTION("""COMPUTED_VALUE"""),22522.0)</f>
        <v>22522</v>
      </c>
      <c r="H2182" s="5">
        <f>IFERROR(__xludf.DUMMYFUNCTION("""COMPUTED_VALUE"""),2916.0)</f>
        <v>2916</v>
      </c>
    </row>
    <row r="2183">
      <c r="A2183" s="4">
        <f>IFERROR(__xludf.DUMMYFUNCTION("""COMPUTED_VALUE"""),44551.0)</f>
        <v>44551</v>
      </c>
      <c r="B2183" s="5">
        <f>IFERROR(__xludf.DUMMYFUNCTION("""COMPUTED_VALUE"""),2444.0)</f>
        <v>2444</v>
      </c>
      <c r="C2183" s="6">
        <f>IFERROR(__xludf.DUMMYFUNCTION("""COMPUTED_VALUE"""),0.4713)</f>
        <v>0.4713</v>
      </c>
      <c r="D2183" s="2">
        <f>IFERROR(__xludf.DUMMYFUNCTION("""COMPUTED_VALUE"""),0.0022685185185185187)</f>
        <v>0.002268518519</v>
      </c>
      <c r="E2183" s="1">
        <f>IFERROR(__xludf.DUMMYFUNCTION("""COMPUTED_VALUE"""),1.09)</f>
        <v>1.09</v>
      </c>
      <c r="F2183" s="1">
        <f>IFERROR(__xludf.DUMMYFUNCTION("""COMPUTED_VALUE"""),5.88)</f>
        <v>5.88</v>
      </c>
      <c r="G2183" s="5">
        <f>IFERROR(__xludf.DUMMYFUNCTION("""COMPUTED_VALUE"""),15593.0)</f>
        <v>15593</v>
      </c>
      <c r="H2183" s="5">
        <f>IFERROR(__xludf.DUMMYFUNCTION("""COMPUTED_VALUE"""),2652.0)</f>
        <v>2652</v>
      </c>
    </row>
    <row r="2184">
      <c r="A2184" s="4">
        <f>IFERROR(__xludf.DUMMYFUNCTION("""COMPUTED_VALUE"""),44552.0)</f>
        <v>44552</v>
      </c>
      <c r="B2184" s="5">
        <f>IFERROR(__xludf.DUMMYFUNCTION("""COMPUTED_VALUE"""),2347.0)</f>
        <v>2347</v>
      </c>
      <c r="C2184" s="6">
        <f>IFERROR(__xludf.DUMMYFUNCTION("""COMPUTED_VALUE"""),0.4175)</f>
        <v>0.4175</v>
      </c>
      <c r="D2184" s="2">
        <f>IFERROR(__xludf.DUMMYFUNCTION("""COMPUTED_VALUE"""),0.0025)</f>
        <v>0.0025</v>
      </c>
      <c r="E2184" s="1">
        <f>IFERROR(__xludf.DUMMYFUNCTION("""COMPUTED_VALUE"""),1.08)</f>
        <v>1.08</v>
      </c>
      <c r="F2184" s="1">
        <f>IFERROR(__xludf.DUMMYFUNCTION("""COMPUTED_VALUE"""),5.92)</f>
        <v>5.92</v>
      </c>
      <c r="G2184" s="5">
        <f>IFERROR(__xludf.DUMMYFUNCTION("""COMPUTED_VALUE"""),14968.0)</f>
        <v>14968</v>
      </c>
      <c r="H2184" s="5">
        <f>IFERROR(__xludf.DUMMYFUNCTION("""COMPUTED_VALUE"""),2527.0)</f>
        <v>2527</v>
      </c>
    </row>
    <row r="2185">
      <c r="A2185" s="4">
        <f>IFERROR(__xludf.DUMMYFUNCTION("""COMPUTED_VALUE"""),44553.0)</f>
        <v>44553</v>
      </c>
      <c r="B2185" s="5">
        <f>IFERROR(__xludf.DUMMYFUNCTION("""COMPUTED_VALUE"""),1986.0)</f>
        <v>1986</v>
      </c>
      <c r="C2185" s="6">
        <f>IFERROR(__xludf.DUMMYFUNCTION("""COMPUTED_VALUE"""),0.5098)</f>
        <v>0.5098</v>
      </c>
      <c r="D2185" s="2">
        <f>IFERROR(__xludf.DUMMYFUNCTION("""COMPUTED_VALUE"""),0.002662037037037037)</f>
        <v>0.002662037037</v>
      </c>
      <c r="E2185" s="1">
        <f>IFERROR(__xludf.DUMMYFUNCTION("""COMPUTED_VALUE"""),1.06)</f>
        <v>1.06</v>
      </c>
      <c r="F2185" s="1">
        <f>IFERROR(__xludf.DUMMYFUNCTION("""COMPUTED_VALUE"""),5.14)</f>
        <v>5.14</v>
      </c>
      <c r="G2185" s="5">
        <f>IFERROR(__xludf.DUMMYFUNCTION("""COMPUTED_VALUE"""),10775.0)</f>
        <v>10775</v>
      </c>
      <c r="H2185" s="5">
        <f>IFERROR(__xludf.DUMMYFUNCTION("""COMPUTED_VALUE"""),2097.0)</f>
        <v>2097</v>
      </c>
    </row>
    <row r="2186">
      <c r="A2186" s="4">
        <f>IFERROR(__xludf.DUMMYFUNCTION("""COMPUTED_VALUE"""),44554.0)</f>
        <v>44554</v>
      </c>
      <c r="B2186" s="5">
        <f>IFERROR(__xludf.DUMMYFUNCTION("""COMPUTED_VALUE"""),1152.0)</f>
        <v>1152</v>
      </c>
      <c r="C2186" s="6">
        <f>IFERROR(__xludf.DUMMYFUNCTION("""COMPUTED_VALUE"""),0.4834)</f>
        <v>0.4834</v>
      </c>
      <c r="D2186" s="2">
        <f>IFERROR(__xludf.DUMMYFUNCTION("""COMPUTED_VALUE"""),0.0011689814814814816)</f>
        <v>0.001168981481</v>
      </c>
      <c r="E2186" s="1">
        <f>IFERROR(__xludf.DUMMYFUNCTION("""COMPUTED_VALUE"""),1.1)</f>
        <v>1.1</v>
      </c>
      <c r="F2186" s="1">
        <f>IFERROR(__xludf.DUMMYFUNCTION("""COMPUTED_VALUE"""),3.42)</f>
        <v>3.42</v>
      </c>
      <c r="G2186" s="5">
        <f>IFERROR(__xludf.DUMMYFUNCTION("""COMPUTED_VALUE"""),4318.0)</f>
        <v>4318</v>
      </c>
      <c r="H2186" s="5">
        <f>IFERROR(__xludf.DUMMYFUNCTION("""COMPUTED_VALUE"""),1264.0)</f>
        <v>1264</v>
      </c>
    </row>
    <row r="2187">
      <c r="A2187" s="4">
        <f>IFERROR(__xludf.DUMMYFUNCTION("""COMPUTED_VALUE"""),44555.0)</f>
        <v>44555</v>
      </c>
      <c r="B2187" s="5">
        <f>IFERROR(__xludf.DUMMYFUNCTION("""COMPUTED_VALUE"""),1180.0)</f>
        <v>1180</v>
      </c>
      <c r="C2187" s="6">
        <f>IFERROR(__xludf.DUMMYFUNCTION("""COMPUTED_VALUE"""),0.4789)</f>
        <v>0.4789</v>
      </c>
      <c r="D2187" s="2">
        <f>IFERROR(__xludf.DUMMYFUNCTION("""COMPUTED_VALUE"""),0.0015509259259259259)</f>
        <v>0.001550925926</v>
      </c>
      <c r="E2187" s="1">
        <f>IFERROR(__xludf.DUMMYFUNCTION("""COMPUTED_VALUE"""),1.11)</f>
        <v>1.11</v>
      </c>
      <c r="F2187" s="1">
        <f>IFERROR(__xludf.DUMMYFUNCTION("""COMPUTED_VALUE"""),3.22)</f>
        <v>3.22</v>
      </c>
      <c r="G2187" s="5">
        <f>IFERROR(__xludf.DUMMYFUNCTION("""COMPUTED_VALUE"""),4207.0)</f>
        <v>4207</v>
      </c>
      <c r="H2187" s="5">
        <f>IFERROR(__xludf.DUMMYFUNCTION("""COMPUTED_VALUE"""),1305.0)</f>
        <v>1305</v>
      </c>
    </row>
    <row r="2188">
      <c r="A2188" s="4">
        <f>IFERROR(__xludf.DUMMYFUNCTION("""COMPUTED_VALUE"""),44556.0)</f>
        <v>44556</v>
      </c>
      <c r="B2188" s="5">
        <f>IFERROR(__xludf.DUMMYFUNCTION("""COMPUTED_VALUE"""),1305.0)</f>
        <v>1305</v>
      </c>
      <c r="C2188" s="6">
        <f>IFERROR(__xludf.DUMMYFUNCTION("""COMPUTED_VALUE"""),0.4853)</f>
        <v>0.4853</v>
      </c>
      <c r="D2188" s="2">
        <f>IFERROR(__xludf.DUMMYFUNCTION("""COMPUTED_VALUE"""),0.0011921296296296296)</f>
        <v>0.00119212963</v>
      </c>
      <c r="E2188" s="1">
        <f>IFERROR(__xludf.DUMMYFUNCTION("""COMPUTED_VALUE"""),1.1)</f>
        <v>1.1</v>
      </c>
      <c r="F2188" s="1">
        <f>IFERROR(__xludf.DUMMYFUNCTION("""COMPUTED_VALUE"""),4.09)</f>
        <v>4.09</v>
      </c>
      <c r="G2188" s="5">
        <f>IFERROR(__xludf.DUMMYFUNCTION("""COMPUTED_VALUE"""),5846.0)</f>
        <v>5846</v>
      </c>
      <c r="H2188" s="5">
        <f>IFERROR(__xludf.DUMMYFUNCTION("""COMPUTED_VALUE"""),1430.0)</f>
        <v>1430</v>
      </c>
    </row>
    <row r="2189">
      <c r="A2189" s="4">
        <f>IFERROR(__xludf.DUMMYFUNCTION("""COMPUTED_VALUE"""),44557.0)</f>
        <v>44557</v>
      </c>
      <c r="B2189" s="5">
        <f>IFERROR(__xludf.DUMMYFUNCTION("""COMPUTED_VALUE"""),1472.0)</f>
        <v>1472</v>
      </c>
      <c r="C2189" s="6">
        <f>IFERROR(__xludf.DUMMYFUNCTION("""COMPUTED_VALUE"""),0.5427)</f>
        <v>0.5427</v>
      </c>
      <c r="D2189" s="2">
        <f>IFERROR(__xludf.DUMMYFUNCTION("""COMPUTED_VALUE"""),0.001979166666666667)</f>
        <v>0.001979166667</v>
      </c>
      <c r="E2189" s="1">
        <f>IFERROR(__xludf.DUMMYFUNCTION("""COMPUTED_VALUE"""),1.11)</f>
        <v>1.11</v>
      </c>
      <c r="F2189" s="1">
        <f>IFERROR(__xludf.DUMMYFUNCTION("""COMPUTED_VALUE"""),3.46)</f>
        <v>3.46</v>
      </c>
      <c r="G2189" s="5">
        <f>IFERROR(__xludf.DUMMYFUNCTION("""COMPUTED_VALUE"""),5665.0)</f>
        <v>5665</v>
      </c>
      <c r="H2189" s="5">
        <f>IFERROR(__xludf.DUMMYFUNCTION("""COMPUTED_VALUE"""),1638.0)</f>
        <v>1638</v>
      </c>
    </row>
    <row r="2190">
      <c r="A2190" s="4">
        <f>IFERROR(__xludf.DUMMYFUNCTION("""COMPUTED_VALUE"""),44558.0)</f>
        <v>44558</v>
      </c>
      <c r="B2190" s="5">
        <f>IFERROR(__xludf.DUMMYFUNCTION("""COMPUTED_VALUE"""),1958.0)</f>
        <v>1958</v>
      </c>
      <c r="C2190" s="6">
        <f>IFERROR(__xludf.DUMMYFUNCTION("""COMPUTED_VALUE"""),0.4743)</f>
        <v>0.4743</v>
      </c>
      <c r="D2190" s="2">
        <f>IFERROR(__xludf.DUMMYFUNCTION("""COMPUTED_VALUE"""),0.0016782407407407408)</f>
        <v>0.001678240741</v>
      </c>
      <c r="E2190" s="1">
        <f>IFERROR(__xludf.DUMMYFUNCTION("""COMPUTED_VALUE"""),1.09)</f>
        <v>1.09</v>
      </c>
      <c r="F2190" s="1">
        <f>IFERROR(__xludf.DUMMYFUNCTION("""COMPUTED_VALUE"""),3.44)</f>
        <v>3.44</v>
      </c>
      <c r="G2190" s="5">
        <f>IFERROR(__xludf.DUMMYFUNCTION("""COMPUTED_VALUE"""),7359.0)</f>
        <v>7359</v>
      </c>
      <c r="H2190" s="5">
        <f>IFERROR(__xludf.DUMMYFUNCTION("""COMPUTED_VALUE"""),2138.0)</f>
        <v>2138</v>
      </c>
    </row>
    <row r="2191">
      <c r="A2191" s="4">
        <f>IFERROR(__xludf.DUMMYFUNCTION("""COMPUTED_VALUE"""),44559.0)</f>
        <v>44559</v>
      </c>
      <c r="B2191" s="5">
        <f>IFERROR(__xludf.DUMMYFUNCTION("""COMPUTED_VALUE"""),1861.0)</f>
        <v>1861</v>
      </c>
      <c r="C2191" s="6">
        <f>IFERROR(__xludf.DUMMYFUNCTION("""COMPUTED_VALUE"""),0.4734)</f>
        <v>0.4734</v>
      </c>
      <c r="D2191" s="2">
        <f>IFERROR(__xludf.DUMMYFUNCTION("""COMPUTED_VALUE"""),0.0021875)</f>
        <v>0.0021875</v>
      </c>
      <c r="E2191" s="1">
        <f>IFERROR(__xludf.DUMMYFUNCTION("""COMPUTED_VALUE"""),1.12)</f>
        <v>1.12</v>
      </c>
      <c r="F2191" s="1">
        <f>IFERROR(__xludf.DUMMYFUNCTION("""COMPUTED_VALUE"""),6.15)</f>
        <v>6.15</v>
      </c>
      <c r="G2191" s="5">
        <f>IFERROR(__xludf.DUMMYFUNCTION("""COMPUTED_VALUE"""),12816.0)</f>
        <v>12816</v>
      </c>
      <c r="H2191" s="5">
        <f>IFERROR(__xludf.DUMMYFUNCTION("""COMPUTED_VALUE"""),2083.0)</f>
        <v>2083</v>
      </c>
    </row>
    <row r="2192">
      <c r="A2192" s="4">
        <f>IFERROR(__xludf.DUMMYFUNCTION("""COMPUTED_VALUE"""),44560.0)</f>
        <v>44560</v>
      </c>
      <c r="B2192" s="5">
        <f>IFERROR(__xludf.DUMMYFUNCTION("""COMPUTED_VALUE"""),1527.0)</f>
        <v>1527</v>
      </c>
      <c r="C2192" s="6">
        <f>IFERROR(__xludf.DUMMYFUNCTION("""COMPUTED_VALUE"""),0.4418)</f>
        <v>0.4418</v>
      </c>
      <c r="D2192" s="2">
        <f>IFERROR(__xludf.DUMMYFUNCTION("""COMPUTED_VALUE"""),0.0020949074074074073)</f>
        <v>0.002094907407</v>
      </c>
      <c r="E2192" s="1">
        <f>IFERROR(__xludf.DUMMYFUNCTION("""COMPUTED_VALUE"""),1.09)</f>
        <v>1.09</v>
      </c>
      <c r="F2192" s="1">
        <f>IFERROR(__xludf.DUMMYFUNCTION("""COMPUTED_VALUE"""),5.98)</f>
        <v>5.98</v>
      </c>
      <c r="G2192" s="5">
        <f>IFERROR(__xludf.DUMMYFUNCTION("""COMPUTED_VALUE"""),9956.0)</f>
        <v>9956</v>
      </c>
      <c r="H2192" s="5">
        <f>IFERROR(__xludf.DUMMYFUNCTION("""COMPUTED_VALUE"""),1666.0)</f>
        <v>1666</v>
      </c>
    </row>
    <row r="2193">
      <c r="A2193" s="4">
        <f>IFERROR(__xludf.DUMMYFUNCTION("""COMPUTED_VALUE"""),44561.0)</f>
        <v>44561</v>
      </c>
      <c r="B2193" s="5">
        <f>IFERROR(__xludf.DUMMYFUNCTION("""COMPUTED_VALUE"""),1041.0)</f>
        <v>1041</v>
      </c>
      <c r="C2193" s="6">
        <f>IFERROR(__xludf.DUMMYFUNCTION("""COMPUTED_VALUE"""),0.5697)</f>
        <v>0.5697</v>
      </c>
      <c r="D2193" s="2">
        <f>IFERROR(__xludf.DUMMYFUNCTION("""COMPUTED_VALUE"""),0.0014236111111111112)</f>
        <v>0.001423611111</v>
      </c>
      <c r="E2193" s="1">
        <f>IFERROR(__xludf.DUMMYFUNCTION("""COMPUTED_VALUE"""),1.05)</f>
        <v>1.05</v>
      </c>
      <c r="F2193" s="1">
        <f>IFERROR(__xludf.DUMMYFUNCTION("""COMPUTED_VALUE"""),3.9)</f>
        <v>3.9</v>
      </c>
      <c r="G2193" s="5">
        <f>IFERROR(__xludf.DUMMYFUNCTION("""COMPUTED_VALUE"""),4277.0)</f>
        <v>4277</v>
      </c>
      <c r="H2193" s="5">
        <f>IFERROR(__xludf.DUMMYFUNCTION("""COMPUTED_VALUE"""),1097.0)</f>
        <v>1097</v>
      </c>
    </row>
    <row r="2194">
      <c r="A2194" s="4">
        <f>IFERROR(__xludf.DUMMYFUNCTION("""COMPUTED_VALUE"""),44562.0)</f>
        <v>44562</v>
      </c>
      <c r="B2194" s="5">
        <f>IFERROR(__xludf.DUMMYFUNCTION("""COMPUTED_VALUE"""),1139.0)</f>
        <v>1139</v>
      </c>
      <c r="C2194" s="6">
        <f>IFERROR(__xludf.DUMMYFUNCTION("""COMPUTED_VALUE"""),0.4883)</f>
        <v>0.4883</v>
      </c>
      <c r="D2194" s="2">
        <f>IFERROR(__xludf.DUMMYFUNCTION("""COMPUTED_VALUE"""),8.912037037037037E-4)</f>
        <v>0.0008912037037</v>
      </c>
      <c r="E2194" s="1">
        <f>IFERROR(__xludf.DUMMYFUNCTION("""COMPUTED_VALUE"""),1.05)</f>
        <v>1.05</v>
      </c>
      <c r="F2194" s="1">
        <f>IFERROR(__xludf.DUMMYFUNCTION("""COMPUTED_VALUE"""),2.74)</f>
        <v>2.74</v>
      </c>
      <c r="G2194" s="5">
        <f>IFERROR(__xludf.DUMMYFUNCTION("""COMPUTED_VALUE"""),3277.0)</f>
        <v>3277</v>
      </c>
      <c r="H2194" s="5">
        <f>IFERROR(__xludf.DUMMYFUNCTION("""COMPUTED_VALUE"""),1194.0)</f>
        <v>1194</v>
      </c>
    </row>
    <row r="2195">
      <c r="A2195" s="4">
        <f>IFERROR(__xludf.DUMMYFUNCTION("""COMPUTED_VALUE"""),44563.0)</f>
        <v>44563</v>
      </c>
      <c r="B2195" s="5">
        <f>IFERROR(__xludf.DUMMYFUNCTION("""COMPUTED_VALUE"""),1333.0)</f>
        <v>1333</v>
      </c>
      <c r="C2195" s="6">
        <f>IFERROR(__xludf.DUMMYFUNCTION("""COMPUTED_VALUE"""),0.5147)</f>
        <v>0.5147</v>
      </c>
      <c r="D2195" s="2">
        <f>IFERROR(__xludf.DUMMYFUNCTION("""COMPUTED_VALUE"""),0.001574074074074074)</f>
        <v>0.001574074074</v>
      </c>
      <c r="E2195" s="1">
        <f>IFERROR(__xludf.DUMMYFUNCTION("""COMPUTED_VALUE"""),1.07)</f>
        <v>1.07</v>
      </c>
      <c r="F2195" s="1">
        <f>IFERROR(__xludf.DUMMYFUNCTION("""COMPUTED_VALUE"""),4.53)</f>
        <v>4.53</v>
      </c>
      <c r="G2195" s="5">
        <f>IFERROR(__xludf.DUMMYFUNCTION("""COMPUTED_VALUE"""),6484.0)</f>
        <v>6484</v>
      </c>
      <c r="H2195" s="5">
        <f>IFERROR(__xludf.DUMMYFUNCTION("""COMPUTED_VALUE"""),1430.0)</f>
        <v>1430</v>
      </c>
    </row>
    <row r="2196">
      <c r="A2196" s="4">
        <f>IFERROR(__xludf.DUMMYFUNCTION("""COMPUTED_VALUE"""),44564.0)</f>
        <v>44564</v>
      </c>
      <c r="B2196" s="5">
        <f>IFERROR(__xludf.DUMMYFUNCTION("""COMPUTED_VALUE"""),1666.0)</f>
        <v>1666</v>
      </c>
      <c r="C2196" s="6">
        <f>IFERROR(__xludf.DUMMYFUNCTION("""COMPUTED_VALUE"""),0.4556)</f>
        <v>0.4556</v>
      </c>
      <c r="D2196" s="2">
        <f>IFERROR(__xludf.DUMMYFUNCTION("""COMPUTED_VALUE"""),0.0021527777777777778)</f>
        <v>0.002152777778</v>
      </c>
      <c r="E2196" s="1">
        <f>IFERROR(__xludf.DUMMYFUNCTION("""COMPUTED_VALUE"""),1.04)</f>
        <v>1.04</v>
      </c>
      <c r="F2196" s="1">
        <f>IFERROR(__xludf.DUMMYFUNCTION("""COMPUTED_VALUE"""),5.02)</f>
        <v>5.02</v>
      </c>
      <c r="G2196" s="5">
        <f>IFERROR(__xludf.DUMMYFUNCTION("""COMPUTED_VALUE"""),8720.0)</f>
        <v>8720</v>
      </c>
      <c r="H2196" s="5">
        <f>IFERROR(__xludf.DUMMYFUNCTION("""COMPUTED_VALUE"""),1736.0)</f>
        <v>1736</v>
      </c>
    </row>
    <row r="2197">
      <c r="A2197" s="4">
        <f>IFERROR(__xludf.DUMMYFUNCTION("""COMPUTED_VALUE"""),44565.0)</f>
        <v>44565</v>
      </c>
      <c r="B2197" s="5">
        <f>IFERROR(__xludf.DUMMYFUNCTION("""COMPUTED_VALUE"""),2347.0)</f>
        <v>2347</v>
      </c>
      <c r="C2197" s="6">
        <f>IFERROR(__xludf.DUMMYFUNCTION("""COMPUTED_VALUE"""),0.3756)</f>
        <v>0.3756</v>
      </c>
      <c r="D2197" s="2">
        <f>IFERROR(__xludf.DUMMYFUNCTION("""COMPUTED_VALUE"""),0.0026041666666666665)</f>
        <v>0.002604166667</v>
      </c>
      <c r="E2197" s="1">
        <f>IFERROR(__xludf.DUMMYFUNCTION("""COMPUTED_VALUE"""),1.07)</f>
        <v>1.07</v>
      </c>
      <c r="F2197" s="1">
        <f>IFERROR(__xludf.DUMMYFUNCTION("""COMPUTED_VALUE"""),5.42)</f>
        <v>5.42</v>
      </c>
      <c r="G2197" s="5">
        <f>IFERROR(__xludf.DUMMYFUNCTION("""COMPUTED_VALUE"""),13622.0)</f>
        <v>13622</v>
      </c>
      <c r="H2197" s="5">
        <f>IFERROR(__xludf.DUMMYFUNCTION("""COMPUTED_VALUE"""),2513.0)</f>
        <v>2513</v>
      </c>
    </row>
    <row r="2198">
      <c r="A2198" s="4">
        <f>IFERROR(__xludf.DUMMYFUNCTION("""COMPUTED_VALUE"""),44566.0)</f>
        <v>44566</v>
      </c>
      <c r="B2198" s="5">
        <f>IFERROR(__xludf.DUMMYFUNCTION("""COMPUTED_VALUE"""),2305.0)</f>
        <v>2305</v>
      </c>
      <c r="C2198" s="6">
        <f>IFERROR(__xludf.DUMMYFUNCTION("""COMPUTED_VALUE"""),0.4867)</f>
        <v>0.4867</v>
      </c>
      <c r="D2198" s="2">
        <f>IFERROR(__xludf.DUMMYFUNCTION("""COMPUTED_VALUE"""),0.0019675925925925924)</f>
        <v>0.001967592593</v>
      </c>
      <c r="E2198" s="1">
        <f>IFERROR(__xludf.DUMMYFUNCTION("""COMPUTED_VALUE"""),1.13)</f>
        <v>1.13</v>
      </c>
      <c r="F2198" s="1">
        <f>IFERROR(__xludf.DUMMYFUNCTION("""COMPUTED_VALUE"""),5.08)</f>
        <v>5.08</v>
      </c>
      <c r="G2198" s="5">
        <f>IFERROR(__xludf.DUMMYFUNCTION("""COMPUTED_VALUE"""),13191.0)</f>
        <v>13191</v>
      </c>
      <c r="H2198" s="5">
        <f>IFERROR(__xludf.DUMMYFUNCTION("""COMPUTED_VALUE"""),2597.0)</f>
        <v>2597</v>
      </c>
    </row>
    <row r="2199">
      <c r="A2199" s="4">
        <f>IFERROR(__xludf.DUMMYFUNCTION("""COMPUTED_VALUE"""),44567.0)</f>
        <v>44567</v>
      </c>
      <c r="B2199" s="5">
        <f>IFERROR(__xludf.DUMMYFUNCTION("""COMPUTED_VALUE"""),1930.0)</f>
        <v>1930</v>
      </c>
      <c r="C2199" s="6">
        <f>IFERROR(__xludf.DUMMYFUNCTION("""COMPUTED_VALUE"""),0.3913)</f>
        <v>0.3913</v>
      </c>
      <c r="D2199" s="2">
        <f>IFERROR(__xludf.DUMMYFUNCTION("""COMPUTED_VALUE"""),0.002662037037037037)</f>
        <v>0.002662037037</v>
      </c>
      <c r="E2199" s="1">
        <f>IFERROR(__xludf.DUMMYFUNCTION("""COMPUTED_VALUE"""),1.16)</f>
        <v>1.16</v>
      </c>
      <c r="F2199" s="1">
        <f>IFERROR(__xludf.DUMMYFUNCTION("""COMPUTED_VALUE"""),7.05)</f>
        <v>7.05</v>
      </c>
      <c r="G2199" s="5">
        <f>IFERROR(__xludf.DUMMYFUNCTION("""COMPUTED_VALUE"""),15760.0)</f>
        <v>15760</v>
      </c>
      <c r="H2199" s="5">
        <f>IFERROR(__xludf.DUMMYFUNCTION("""COMPUTED_VALUE"""),2236.0)</f>
        <v>2236</v>
      </c>
    </row>
    <row r="2200">
      <c r="A2200" s="4">
        <f>IFERROR(__xludf.DUMMYFUNCTION("""COMPUTED_VALUE"""),44568.0)</f>
        <v>44568</v>
      </c>
      <c r="B2200" s="5">
        <f>IFERROR(__xludf.DUMMYFUNCTION("""COMPUTED_VALUE"""),1930.0)</f>
        <v>1930</v>
      </c>
      <c r="C2200" s="6">
        <f>IFERROR(__xludf.DUMMYFUNCTION("""COMPUTED_VALUE"""),0.4968)</f>
        <v>0.4968</v>
      </c>
      <c r="D2200" s="2">
        <f>IFERROR(__xludf.DUMMYFUNCTION("""COMPUTED_VALUE"""),0.0022453703703703702)</f>
        <v>0.00224537037</v>
      </c>
      <c r="E2200" s="1">
        <f>IFERROR(__xludf.DUMMYFUNCTION("""COMPUTED_VALUE"""),1.13)</f>
        <v>1.13</v>
      </c>
      <c r="F2200" s="1">
        <f>IFERROR(__xludf.DUMMYFUNCTION("""COMPUTED_VALUE"""),5.03)</f>
        <v>5.03</v>
      </c>
      <c r="G2200" s="5">
        <f>IFERROR(__xludf.DUMMYFUNCTION("""COMPUTED_VALUE"""),10969.0)</f>
        <v>10969</v>
      </c>
      <c r="H2200" s="5">
        <f>IFERROR(__xludf.DUMMYFUNCTION("""COMPUTED_VALUE"""),2180.0)</f>
        <v>2180</v>
      </c>
    </row>
    <row r="2201">
      <c r="A2201" s="4">
        <f>IFERROR(__xludf.DUMMYFUNCTION("""COMPUTED_VALUE"""),44569.0)</f>
        <v>44569</v>
      </c>
      <c r="B2201" s="5">
        <f>IFERROR(__xludf.DUMMYFUNCTION("""COMPUTED_VALUE"""),1541.0)</f>
        <v>1541</v>
      </c>
      <c r="C2201" s="6">
        <f>IFERROR(__xludf.DUMMYFUNCTION("""COMPUTED_VALUE"""),0.5258)</f>
        <v>0.5258</v>
      </c>
      <c r="D2201" s="2">
        <f>IFERROR(__xludf.DUMMYFUNCTION("""COMPUTED_VALUE"""),0.0020486111111111113)</f>
        <v>0.002048611111</v>
      </c>
      <c r="E2201" s="1">
        <f>IFERROR(__xludf.DUMMYFUNCTION("""COMPUTED_VALUE"""),1.05)</f>
        <v>1.05</v>
      </c>
      <c r="F2201" s="1">
        <f>IFERROR(__xludf.DUMMYFUNCTION("""COMPUTED_VALUE"""),3.78)</f>
        <v>3.78</v>
      </c>
      <c r="G2201" s="5">
        <f>IFERROR(__xludf.DUMMYFUNCTION("""COMPUTED_VALUE"""),6082.0)</f>
        <v>6082</v>
      </c>
      <c r="H2201" s="5">
        <f>IFERROR(__xludf.DUMMYFUNCTION("""COMPUTED_VALUE"""),1611.0)</f>
        <v>1611</v>
      </c>
    </row>
    <row r="2202">
      <c r="A2202" s="4">
        <f>IFERROR(__xludf.DUMMYFUNCTION("""COMPUTED_VALUE"""),44570.0)</f>
        <v>44570</v>
      </c>
      <c r="B2202" s="5">
        <f>IFERROR(__xludf.DUMMYFUNCTION("""COMPUTED_VALUE"""),1694.0)</f>
        <v>1694</v>
      </c>
      <c r="C2202" s="6">
        <f>IFERROR(__xludf.DUMMYFUNCTION("""COMPUTED_VALUE"""),0.5082)</f>
        <v>0.5082</v>
      </c>
      <c r="D2202" s="2">
        <f>IFERROR(__xludf.DUMMYFUNCTION("""COMPUTED_VALUE"""),0.0013773148148148147)</f>
        <v>0.001377314815</v>
      </c>
      <c r="E2202" s="1">
        <f>IFERROR(__xludf.DUMMYFUNCTION("""COMPUTED_VALUE"""),1.05)</f>
        <v>1.05</v>
      </c>
      <c r="F2202" s="1">
        <f>IFERROR(__xludf.DUMMYFUNCTION("""COMPUTED_VALUE"""),3.24)</f>
        <v>3.24</v>
      </c>
      <c r="G2202" s="5">
        <f>IFERROR(__xludf.DUMMYFUNCTION("""COMPUTED_VALUE"""),5749.0)</f>
        <v>5749</v>
      </c>
      <c r="H2202" s="5">
        <f>IFERROR(__xludf.DUMMYFUNCTION("""COMPUTED_VALUE"""),1777.0)</f>
        <v>1777</v>
      </c>
    </row>
    <row r="2203">
      <c r="A2203" s="4">
        <f>IFERROR(__xludf.DUMMYFUNCTION("""COMPUTED_VALUE"""),44571.0)</f>
        <v>44571</v>
      </c>
      <c r="B2203" s="5">
        <f>IFERROR(__xludf.DUMMYFUNCTION("""COMPUTED_VALUE"""),2444.0)</f>
        <v>2444</v>
      </c>
      <c r="C2203" s="6">
        <f>IFERROR(__xludf.DUMMYFUNCTION("""COMPUTED_VALUE"""),0.5328)</f>
        <v>0.5328</v>
      </c>
      <c r="D2203" s="2">
        <f>IFERROR(__xludf.DUMMYFUNCTION("""COMPUTED_VALUE"""),0.0020949074074074073)</f>
        <v>0.002094907407</v>
      </c>
      <c r="E2203" s="1">
        <f>IFERROR(__xludf.DUMMYFUNCTION("""COMPUTED_VALUE"""),1.13)</f>
        <v>1.13</v>
      </c>
      <c r="F2203" s="1">
        <f>IFERROR(__xludf.DUMMYFUNCTION("""COMPUTED_VALUE"""),4.57)</f>
        <v>4.57</v>
      </c>
      <c r="G2203" s="5">
        <f>IFERROR(__xludf.DUMMYFUNCTION("""COMPUTED_VALUE"""),12636.0)</f>
        <v>12636</v>
      </c>
      <c r="H2203" s="5">
        <f>IFERROR(__xludf.DUMMYFUNCTION("""COMPUTED_VALUE"""),2763.0)</f>
        <v>2763</v>
      </c>
    </row>
    <row r="2204">
      <c r="A2204" s="4">
        <f>IFERROR(__xludf.DUMMYFUNCTION("""COMPUTED_VALUE"""),44572.0)</f>
        <v>44572</v>
      </c>
      <c r="B2204" s="5">
        <f>IFERROR(__xludf.DUMMYFUNCTION("""COMPUTED_VALUE"""),2499.0)</f>
        <v>2499</v>
      </c>
      <c r="C2204" s="6">
        <f>IFERROR(__xludf.DUMMYFUNCTION("""COMPUTED_VALUE"""),0.5122)</f>
        <v>0.5122</v>
      </c>
      <c r="D2204" s="2">
        <f>IFERROR(__xludf.DUMMYFUNCTION("""COMPUTED_VALUE"""),0.002534722222222222)</f>
        <v>0.002534722222</v>
      </c>
      <c r="E2204" s="1">
        <f>IFERROR(__xludf.DUMMYFUNCTION("""COMPUTED_VALUE"""),1.13)</f>
        <v>1.13</v>
      </c>
      <c r="F2204" s="1">
        <f>IFERROR(__xludf.DUMMYFUNCTION("""COMPUTED_VALUE"""),5.27)</f>
        <v>5.27</v>
      </c>
      <c r="G2204" s="5">
        <f>IFERROR(__xludf.DUMMYFUNCTION("""COMPUTED_VALUE"""),14843.0)</f>
        <v>14843</v>
      </c>
      <c r="H2204" s="5">
        <f>IFERROR(__xludf.DUMMYFUNCTION("""COMPUTED_VALUE"""),2819.0)</f>
        <v>2819</v>
      </c>
    </row>
    <row r="2205">
      <c r="A2205" s="4">
        <f>IFERROR(__xludf.DUMMYFUNCTION("""COMPUTED_VALUE"""),44573.0)</f>
        <v>44573</v>
      </c>
      <c r="B2205" s="5">
        <f>IFERROR(__xludf.DUMMYFUNCTION("""COMPUTED_VALUE"""),2513.0)</f>
        <v>2513</v>
      </c>
      <c r="C2205" s="6">
        <f>IFERROR(__xludf.DUMMYFUNCTION("""COMPUTED_VALUE"""),0.4508)</f>
        <v>0.4508</v>
      </c>
      <c r="D2205" s="2">
        <f>IFERROR(__xludf.DUMMYFUNCTION("""COMPUTED_VALUE"""),0.0021296296296296298)</f>
        <v>0.00212962963</v>
      </c>
      <c r="E2205" s="1">
        <f>IFERROR(__xludf.DUMMYFUNCTION("""COMPUTED_VALUE"""),1.13)</f>
        <v>1.13</v>
      </c>
      <c r="F2205" s="1">
        <f>IFERROR(__xludf.DUMMYFUNCTION("""COMPUTED_VALUE"""),5.05)</f>
        <v>5.05</v>
      </c>
      <c r="G2205" s="5">
        <f>IFERROR(__xludf.DUMMYFUNCTION("""COMPUTED_VALUE"""),14316.0)</f>
        <v>14316</v>
      </c>
      <c r="H2205" s="5">
        <f>IFERROR(__xludf.DUMMYFUNCTION("""COMPUTED_VALUE"""),2833.0)</f>
        <v>2833</v>
      </c>
    </row>
    <row r="2206">
      <c r="A2206" s="4">
        <f>IFERROR(__xludf.DUMMYFUNCTION("""COMPUTED_VALUE"""),44574.0)</f>
        <v>44574</v>
      </c>
      <c r="B2206" s="5">
        <f>IFERROR(__xludf.DUMMYFUNCTION("""COMPUTED_VALUE"""),2555.0)</f>
        <v>2555</v>
      </c>
      <c r="C2206" s="6">
        <f>IFERROR(__xludf.DUMMYFUNCTION("""COMPUTED_VALUE"""),0.4394)</f>
        <v>0.4394</v>
      </c>
      <c r="D2206" s="2">
        <f>IFERROR(__xludf.DUMMYFUNCTION("""COMPUTED_VALUE"""),0.0027430555555555554)</f>
        <v>0.002743055556</v>
      </c>
      <c r="E2206" s="1">
        <f>IFERROR(__xludf.DUMMYFUNCTION("""COMPUTED_VALUE"""),1.08)</f>
        <v>1.08</v>
      </c>
      <c r="F2206" s="1">
        <f>IFERROR(__xludf.DUMMYFUNCTION("""COMPUTED_VALUE"""),5.18)</f>
        <v>5.18</v>
      </c>
      <c r="G2206" s="5">
        <f>IFERROR(__xludf.DUMMYFUNCTION("""COMPUTED_VALUE"""),14233.0)</f>
        <v>14233</v>
      </c>
      <c r="H2206" s="5">
        <f>IFERROR(__xludf.DUMMYFUNCTION("""COMPUTED_VALUE"""),2749.0)</f>
        <v>2749</v>
      </c>
    </row>
    <row r="2207">
      <c r="A2207" s="4">
        <f>IFERROR(__xludf.DUMMYFUNCTION("""COMPUTED_VALUE"""),44575.0)</f>
        <v>44575</v>
      </c>
      <c r="B2207" s="5">
        <f>IFERROR(__xludf.DUMMYFUNCTION("""COMPUTED_VALUE"""),2013.0)</f>
        <v>2013</v>
      </c>
      <c r="C2207" s="6">
        <f>IFERROR(__xludf.DUMMYFUNCTION("""COMPUTED_VALUE"""),0.467)</f>
        <v>0.467</v>
      </c>
      <c r="D2207" s="2">
        <f>IFERROR(__xludf.DUMMYFUNCTION("""COMPUTED_VALUE"""),0.002685185185185185)</f>
        <v>0.002685185185</v>
      </c>
      <c r="E2207" s="1">
        <f>IFERROR(__xludf.DUMMYFUNCTION("""COMPUTED_VALUE"""),1.15)</f>
        <v>1.15</v>
      </c>
      <c r="F2207" s="1">
        <f>IFERROR(__xludf.DUMMYFUNCTION("""COMPUTED_VALUE"""),5.08)</f>
        <v>5.08</v>
      </c>
      <c r="G2207" s="5">
        <f>IFERROR(__xludf.DUMMYFUNCTION("""COMPUTED_VALUE"""),11775.0)</f>
        <v>11775</v>
      </c>
      <c r="H2207" s="5">
        <f>IFERROR(__xludf.DUMMYFUNCTION("""COMPUTED_VALUE"""),2319.0)</f>
        <v>2319</v>
      </c>
    </row>
    <row r="2208">
      <c r="A2208" s="4">
        <f>IFERROR(__xludf.DUMMYFUNCTION("""COMPUTED_VALUE"""),44576.0)</f>
        <v>44576</v>
      </c>
      <c r="B2208" s="5">
        <f>IFERROR(__xludf.DUMMYFUNCTION("""COMPUTED_VALUE"""),1583.0)</f>
        <v>1583</v>
      </c>
      <c r="C2208" s="6">
        <f>IFERROR(__xludf.DUMMYFUNCTION("""COMPUTED_VALUE"""),0.5168)</f>
        <v>0.5168</v>
      </c>
      <c r="D2208" s="2">
        <f>IFERROR(__xludf.DUMMYFUNCTION("""COMPUTED_VALUE"""),0.0014236111111111112)</f>
        <v>0.001423611111</v>
      </c>
      <c r="E2208" s="1">
        <f>IFERROR(__xludf.DUMMYFUNCTION("""COMPUTED_VALUE"""),1.05)</f>
        <v>1.05</v>
      </c>
      <c r="F2208" s="1">
        <f>IFERROR(__xludf.DUMMYFUNCTION("""COMPUTED_VALUE"""),4.35)</f>
        <v>4.35</v>
      </c>
      <c r="G2208" s="5">
        <f>IFERROR(__xludf.DUMMYFUNCTION("""COMPUTED_VALUE"""),7248.0)</f>
        <v>7248</v>
      </c>
      <c r="H2208" s="5">
        <f>IFERROR(__xludf.DUMMYFUNCTION("""COMPUTED_VALUE"""),1666.0)</f>
        <v>1666</v>
      </c>
    </row>
    <row r="2209">
      <c r="A2209" s="4">
        <f>IFERROR(__xludf.DUMMYFUNCTION("""COMPUTED_VALUE"""),44577.0)</f>
        <v>44577</v>
      </c>
      <c r="B2209" s="5">
        <f>IFERROR(__xludf.DUMMYFUNCTION("""COMPUTED_VALUE"""),1430.0)</f>
        <v>1430</v>
      </c>
      <c r="C2209" s="6">
        <f>IFERROR(__xludf.DUMMYFUNCTION("""COMPUTED_VALUE"""),0.5963)</f>
        <v>0.5963</v>
      </c>
      <c r="D2209" s="2">
        <f>IFERROR(__xludf.DUMMYFUNCTION("""COMPUTED_VALUE"""),0.0019212962962962964)</f>
        <v>0.001921296296</v>
      </c>
      <c r="E2209" s="1">
        <f>IFERROR(__xludf.DUMMYFUNCTION("""COMPUTED_VALUE"""),1.11)</f>
        <v>1.11</v>
      </c>
      <c r="F2209" s="1">
        <f>IFERROR(__xludf.DUMMYFUNCTION("""COMPUTED_VALUE"""),3.68)</f>
        <v>3.68</v>
      </c>
      <c r="G2209" s="5">
        <f>IFERROR(__xludf.DUMMYFUNCTION("""COMPUTED_VALUE"""),5832.0)</f>
        <v>5832</v>
      </c>
      <c r="H2209" s="5">
        <f>IFERROR(__xludf.DUMMYFUNCTION("""COMPUTED_VALUE"""),1583.0)</f>
        <v>1583</v>
      </c>
    </row>
    <row r="2210">
      <c r="A2210" s="4">
        <f>IFERROR(__xludf.DUMMYFUNCTION("""COMPUTED_VALUE"""),44578.0)</f>
        <v>44578</v>
      </c>
      <c r="B2210" s="5">
        <f>IFERROR(__xludf.DUMMYFUNCTION("""COMPUTED_VALUE"""),1958.0)</f>
        <v>1958</v>
      </c>
      <c r="C2210" s="6">
        <f>IFERROR(__xludf.DUMMYFUNCTION("""COMPUTED_VALUE"""),0.4685)</f>
        <v>0.4685</v>
      </c>
      <c r="D2210" s="2">
        <f>IFERROR(__xludf.DUMMYFUNCTION("""COMPUTED_VALUE"""),0.0018865740740740742)</f>
        <v>0.001886574074</v>
      </c>
      <c r="E2210" s="1">
        <f>IFERROR(__xludf.DUMMYFUNCTION("""COMPUTED_VALUE"""),1.13)</f>
        <v>1.13</v>
      </c>
      <c r="F2210" s="1">
        <f>IFERROR(__xludf.DUMMYFUNCTION("""COMPUTED_VALUE"""),3.69)</f>
        <v>3.69</v>
      </c>
      <c r="G2210" s="5">
        <f>IFERROR(__xludf.DUMMYFUNCTION("""COMPUTED_VALUE"""),8192.0)</f>
        <v>8192</v>
      </c>
      <c r="H2210" s="5">
        <f>IFERROR(__xludf.DUMMYFUNCTION("""COMPUTED_VALUE"""),2222.0)</f>
        <v>2222</v>
      </c>
    </row>
    <row r="2211">
      <c r="A2211" s="4">
        <f>IFERROR(__xludf.DUMMYFUNCTION("""COMPUTED_VALUE"""),44579.0)</f>
        <v>44579</v>
      </c>
      <c r="B2211" s="5">
        <f>IFERROR(__xludf.DUMMYFUNCTION("""COMPUTED_VALUE"""),2569.0)</f>
        <v>2569</v>
      </c>
      <c r="C2211" s="6">
        <f>IFERROR(__xludf.DUMMYFUNCTION("""COMPUTED_VALUE"""),0.4851)</f>
        <v>0.4851</v>
      </c>
      <c r="D2211" s="2">
        <f>IFERROR(__xludf.DUMMYFUNCTION("""COMPUTED_VALUE"""),0.0017592592592592592)</f>
        <v>0.001759259259</v>
      </c>
      <c r="E2211" s="1">
        <f>IFERROR(__xludf.DUMMYFUNCTION("""COMPUTED_VALUE"""),1.08)</f>
        <v>1.08</v>
      </c>
      <c r="F2211" s="1">
        <f>IFERROR(__xludf.DUMMYFUNCTION("""COMPUTED_VALUE"""),3.95)</f>
        <v>3.95</v>
      </c>
      <c r="G2211" s="5">
        <f>IFERROR(__xludf.DUMMYFUNCTION("""COMPUTED_VALUE"""),10956.0)</f>
        <v>10956</v>
      </c>
      <c r="H2211" s="5">
        <f>IFERROR(__xludf.DUMMYFUNCTION("""COMPUTED_VALUE"""),2777.0)</f>
        <v>2777</v>
      </c>
    </row>
    <row r="2212">
      <c r="A2212" s="4">
        <f>IFERROR(__xludf.DUMMYFUNCTION("""COMPUTED_VALUE"""),44580.0)</f>
        <v>44580</v>
      </c>
      <c r="B2212" s="5">
        <f>IFERROR(__xludf.DUMMYFUNCTION("""COMPUTED_VALUE"""),2583.0)</f>
        <v>2583</v>
      </c>
      <c r="C2212" s="6">
        <f>IFERROR(__xludf.DUMMYFUNCTION("""COMPUTED_VALUE"""),0.4547)</f>
        <v>0.4547</v>
      </c>
      <c r="D2212" s="2">
        <f>IFERROR(__xludf.DUMMYFUNCTION("""COMPUTED_VALUE"""),0.0018287037037037037)</f>
        <v>0.001828703704</v>
      </c>
      <c r="E2212" s="1">
        <f>IFERROR(__xludf.DUMMYFUNCTION("""COMPUTED_VALUE"""),1.06)</f>
        <v>1.06</v>
      </c>
      <c r="F2212" s="1">
        <f>IFERROR(__xludf.DUMMYFUNCTION("""COMPUTED_VALUE"""),4.08)</f>
        <v>4.08</v>
      </c>
      <c r="G2212" s="5">
        <f>IFERROR(__xludf.DUMMYFUNCTION("""COMPUTED_VALUE"""),11219.0)</f>
        <v>11219</v>
      </c>
      <c r="H2212" s="5">
        <f>IFERROR(__xludf.DUMMYFUNCTION("""COMPUTED_VALUE"""),2749.0)</f>
        <v>2749</v>
      </c>
    </row>
    <row r="2213">
      <c r="A2213" s="4">
        <f>IFERROR(__xludf.DUMMYFUNCTION("""COMPUTED_VALUE"""),44581.0)</f>
        <v>44581</v>
      </c>
      <c r="B2213" s="5">
        <f>IFERROR(__xludf.DUMMYFUNCTION("""COMPUTED_VALUE"""),2819.0)</f>
        <v>2819</v>
      </c>
      <c r="C2213" s="6">
        <f>IFERROR(__xludf.DUMMYFUNCTION("""COMPUTED_VALUE"""),0.4823)</f>
        <v>0.4823</v>
      </c>
      <c r="D2213" s="2">
        <f>IFERROR(__xludf.DUMMYFUNCTION("""COMPUTED_VALUE"""),0.001724537037037037)</f>
        <v>0.001724537037</v>
      </c>
      <c r="E2213" s="1">
        <f>IFERROR(__xludf.DUMMYFUNCTION("""COMPUTED_VALUE"""),1.12)</f>
        <v>1.12</v>
      </c>
      <c r="F2213" s="1">
        <f>IFERROR(__xludf.DUMMYFUNCTION("""COMPUTED_VALUE"""),3.41)</f>
        <v>3.41</v>
      </c>
      <c r="G2213" s="5">
        <f>IFERROR(__xludf.DUMMYFUNCTION("""COMPUTED_VALUE"""),10803.0)</f>
        <v>10803</v>
      </c>
      <c r="H2213" s="5">
        <f>IFERROR(__xludf.DUMMYFUNCTION("""COMPUTED_VALUE"""),3166.0)</f>
        <v>3166</v>
      </c>
    </row>
    <row r="2214">
      <c r="A2214" s="4">
        <f>IFERROR(__xludf.DUMMYFUNCTION("""COMPUTED_VALUE"""),44582.0)</f>
        <v>44582</v>
      </c>
      <c r="B2214" s="5">
        <f>IFERROR(__xludf.DUMMYFUNCTION("""COMPUTED_VALUE"""),2194.0)</f>
        <v>2194</v>
      </c>
      <c r="C2214" s="6">
        <f>IFERROR(__xludf.DUMMYFUNCTION("""COMPUTED_VALUE"""),0.4477)</f>
        <v>0.4477</v>
      </c>
      <c r="D2214" s="2">
        <f>IFERROR(__xludf.DUMMYFUNCTION("""COMPUTED_VALUE"""),0.0021527777777777778)</f>
        <v>0.002152777778</v>
      </c>
      <c r="E2214" s="1">
        <f>IFERROR(__xludf.DUMMYFUNCTION("""COMPUTED_VALUE"""),1.09)</f>
        <v>1.09</v>
      </c>
      <c r="F2214" s="1">
        <f>IFERROR(__xludf.DUMMYFUNCTION("""COMPUTED_VALUE"""),4.73)</f>
        <v>4.73</v>
      </c>
      <c r="G2214" s="5">
        <f>IFERROR(__xludf.DUMMYFUNCTION("""COMPUTED_VALUE"""),11303.0)</f>
        <v>11303</v>
      </c>
      <c r="H2214" s="5">
        <f>IFERROR(__xludf.DUMMYFUNCTION("""COMPUTED_VALUE"""),2388.0)</f>
        <v>2388</v>
      </c>
    </row>
    <row r="2215">
      <c r="A2215" s="4">
        <f>IFERROR(__xludf.DUMMYFUNCTION("""COMPUTED_VALUE"""),44583.0)</f>
        <v>44583</v>
      </c>
      <c r="B2215" s="5">
        <f>IFERROR(__xludf.DUMMYFUNCTION("""COMPUTED_VALUE"""),1500.0)</f>
        <v>1500</v>
      </c>
      <c r="C2215" s="6">
        <f>IFERROR(__xludf.DUMMYFUNCTION("""COMPUTED_VALUE"""),0.5248)</f>
        <v>0.5248</v>
      </c>
      <c r="D2215" s="2">
        <f>IFERROR(__xludf.DUMMYFUNCTION("""COMPUTED_VALUE"""),0.0014930555555555556)</f>
        <v>0.001493055556</v>
      </c>
      <c r="E2215" s="1">
        <f>IFERROR(__xludf.DUMMYFUNCTION("""COMPUTED_VALUE"""),1.13)</f>
        <v>1.13</v>
      </c>
      <c r="F2215" s="1">
        <f>IFERROR(__xludf.DUMMYFUNCTION("""COMPUTED_VALUE"""),5.2)</f>
        <v>5.2</v>
      </c>
      <c r="G2215" s="5">
        <f>IFERROR(__xludf.DUMMYFUNCTION("""COMPUTED_VALUE"""),8803.0)</f>
        <v>8803</v>
      </c>
      <c r="H2215" s="5">
        <f>IFERROR(__xludf.DUMMYFUNCTION("""COMPUTED_VALUE"""),1694.0)</f>
        <v>1694</v>
      </c>
    </row>
    <row r="2216">
      <c r="A2216" s="4">
        <f>IFERROR(__xludf.DUMMYFUNCTION("""COMPUTED_VALUE"""),44584.0)</f>
        <v>44584</v>
      </c>
      <c r="B2216" s="5">
        <f>IFERROR(__xludf.DUMMYFUNCTION("""COMPUTED_VALUE"""),1708.0)</f>
        <v>1708</v>
      </c>
      <c r="C2216" s="6">
        <f>IFERROR(__xludf.DUMMYFUNCTION("""COMPUTED_VALUE"""),0.5385)</f>
        <v>0.5385</v>
      </c>
      <c r="D2216" s="2">
        <f>IFERROR(__xludf.DUMMYFUNCTION("""COMPUTED_VALUE"""),0.001851851851851852)</f>
        <v>0.001851851852</v>
      </c>
      <c r="E2216" s="1">
        <f>IFERROR(__xludf.DUMMYFUNCTION("""COMPUTED_VALUE"""),1.06)</f>
        <v>1.06</v>
      </c>
      <c r="F2216" s="1">
        <f>IFERROR(__xludf.DUMMYFUNCTION("""COMPUTED_VALUE"""),4.68)</f>
        <v>4.68</v>
      </c>
      <c r="G2216" s="5">
        <f>IFERROR(__xludf.DUMMYFUNCTION("""COMPUTED_VALUE"""),8456.0)</f>
        <v>8456</v>
      </c>
      <c r="H2216" s="5">
        <f>IFERROR(__xludf.DUMMYFUNCTION("""COMPUTED_VALUE"""),1805.0)</f>
        <v>1805</v>
      </c>
    </row>
    <row r="2217">
      <c r="A2217" s="4">
        <f>IFERROR(__xludf.DUMMYFUNCTION("""COMPUTED_VALUE"""),44585.0)</f>
        <v>44585</v>
      </c>
      <c r="B2217" s="5">
        <f>IFERROR(__xludf.DUMMYFUNCTION("""COMPUTED_VALUE"""),2513.0)</f>
        <v>2513</v>
      </c>
      <c r="C2217" s="6">
        <f>IFERROR(__xludf.DUMMYFUNCTION("""COMPUTED_VALUE"""),0.4778)</f>
        <v>0.4778</v>
      </c>
      <c r="D2217" s="2">
        <f>IFERROR(__xludf.DUMMYFUNCTION("""COMPUTED_VALUE"""),0.0024421296296296296)</f>
        <v>0.00244212963</v>
      </c>
      <c r="E2217" s="1">
        <f>IFERROR(__xludf.DUMMYFUNCTION("""COMPUTED_VALUE"""),1.12)</f>
        <v>1.12</v>
      </c>
      <c r="F2217" s="1">
        <f>IFERROR(__xludf.DUMMYFUNCTION("""COMPUTED_VALUE"""),5.17)</f>
        <v>5.17</v>
      </c>
      <c r="G2217" s="5">
        <f>IFERROR(__xludf.DUMMYFUNCTION("""COMPUTED_VALUE"""),14580.0)</f>
        <v>14580</v>
      </c>
      <c r="H2217" s="5">
        <f>IFERROR(__xludf.DUMMYFUNCTION("""COMPUTED_VALUE"""),2819.0)</f>
        <v>2819</v>
      </c>
    </row>
    <row r="2218">
      <c r="A2218" s="4">
        <f>IFERROR(__xludf.DUMMYFUNCTION("""COMPUTED_VALUE"""),44586.0)</f>
        <v>44586</v>
      </c>
      <c r="B2218" s="5">
        <f>IFERROR(__xludf.DUMMYFUNCTION("""COMPUTED_VALUE"""),2902.0)</f>
        <v>2902</v>
      </c>
      <c r="C2218" s="6">
        <f>IFERROR(__xludf.DUMMYFUNCTION("""COMPUTED_VALUE"""),0.4396)</f>
        <v>0.4396</v>
      </c>
      <c r="D2218" s="2">
        <f>IFERROR(__xludf.DUMMYFUNCTION("""COMPUTED_VALUE"""),0.0025810185185185185)</f>
        <v>0.002581018519</v>
      </c>
      <c r="E2218" s="1">
        <f>IFERROR(__xludf.DUMMYFUNCTION("""COMPUTED_VALUE"""),1.11)</f>
        <v>1.11</v>
      </c>
      <c r="F2218" s="1">
        <f>IFERROR(__xludf.DUMMYFUNCTION("""COMPUTED_VALUE"""),4.87)</f>
        <v>4.87</v>
      </c>
      <c r="G2218" s="5">
        <f>IFERROR(__xludf.DUMMYFUNCTION("""COMPUTED_VALUE"""),15677.0)</f>
        <v>15677</v>
      </c>
      <c r="H2218" s="5">
        <f>IFERROR(__xludf.DUMMYFUNCTION("""COMPUTED_VALUE"""),3221.0)</f>
        <v>3221</v>
      </c>
    </row>
    <row r="2219">
      <c r="A2219" s="4">
        <f>IFERROR(__xludf.DUMMYFUNCTION("""COMPUTED_VALUE"""),44587.0)</f>
        <v>44587</v>
      </c>
      <c r="B2219" s="5">
        <f>IFERROR(__xludf.DUMMYFUNCTION("""COMPUTED_VALUE"""),2680.0)</f>
        <v>2680</v>
      </c>
      <c r="C2219" s="6">
        <f>IFERROR(__xludf.DUMMYFUNCTION("""COMPUTED_VALUE"""),0.4534)</f>
        <v>0.4534</v>
      </c>
      <c r="D2219" s="2">
        <f>IFERROR(__xludf.DUMMYFUNCTION("""COMPUTED_VALUE"""),0.002361111111111111)</f>
        <v>0.002361111111</v>
      </c>
      <c r="E2219" s="1">
        <f>IFERROR(__xludf.DUMMYFUNCTION("""COMPUTED_VALUE"""),1.11)</f>
        <v>1.11</v>
      </c>
      <c r="F2219" s="1">
        <f>IFERROR(__xludf.DUMMYFUNCTION("""COMPUTED_VALUE"""),4.61)</f>
        <v>4.61</v>
      </c>
      <c r="G2219" s="5">
        <f>IFERROR(__xludf.DUMMYFUNCTION("""COMPUTED_VALUE"""),13705.0)</f>
        <v>13705</v>
      </c>
      <c r="H2219" s="5">
        <f>IFERROR(__xludf.DUMMYFUNCTION("""COMPUTED_VALUE"""),2971.0)</f>
        <v>2971</v>
      </c>
    </row>
    <row r="2220">
      <c r="A2220" s="4">
        <f>IFERROR(__xludf.DUMMYFUNCTION("""COMPUTED_VALUE"""),44588.0)</f>
        <v>44588</v>
      </c>
      <c r="B2220" s="5">
        <f>IFERROR(__xludf.DUMMYFUNCTION("""COMPUTED_VALUE"""),2763.0)</f>
        <v>2763</v>
      </c>
      <c r="C2220" s="6">
        <f>IFERROR(__xludf.DUMMYFUNCTION("""COMPUTED_VALUE"""),0.444)</f>
        <v>0.444</v>
      </c>
      <c r="D2220" s="2">
        <f>IFERROR(__xludf.DUMMYFUNCTION("""COMPUTED_VALUE"""),0.0021296296296296298)</f>
        <v>0.00212962963</v>
      </c>
      <c r="E2220" s="1">
        <f>IFERROR(__xludf.DUMMYFUNCTION("""COMPUTED_VALUE"""),1.17)</f>
        <v>1.17</v>
      </c>
      <c r="F2220" s="1">
        <f>IFERROR(__xludf.DUMMYFUNCTION("""COMPUTED_VALUE"""),3.75)</f>
        <v>3.75</v>
      </c>
      <c r="G2220" s="5">
        <f>IFERROR(__xludf.DUMMYFUNCTION("""COMPUTED_VALUE"""),12080.0)</f>
        <v>12080</v>
      </c>
      <c r="H2220" s="5">
        <f>IFERROR(__xludf.DUMMYFUNCTION("""COMPUTED_VALUE"""),3221.0)</f>
        <v>3221</v>
      </c>
    </row>
    <row r="2221">
      <c r="A2221" s="4">
        <f>IFERROR(__xludf.DUMMYFUNCTION("""COMPUTED_VALUE"""),44589.0)</f>
        <v>44589</v>
      </c>
      <c r="B2221" s="5">
        <f>IFERROR(__xludf.DUMMYFUNCTION("""COMPUTED_VALUE"""),2472.0)</f>
        <v>2472</v>
      </c>
      <c r="C2221" s="6">
        <f>IFERROR(__xludf.DUMMYFUNCTION("""COMPUTED_VALUE"""),0.4951)</f>
        <v>0.4951</v>
      </c>
      <c r="D2221" s="2">
        <f>IFERROR(__xludf.DUMMYFUNCTION("""COMPUTED_VALUE"""),0.001979166666666667)</f>
        <v>0.001979166667</v>
      </c>
      <c r="E2221" s="1">
        <f>IFERROR(__xludf.DUMMYFUNCTION("""COMPUTED_VALUE"""),1.11)</f>
        <v>1.11</v>
      </c>
      <c r="F2221" s="1">
        <f>IFERROR(__xludf.DUMMYFUNCTION("""COMPUTED_VALUE"""),5.23)</f>
        <v>5.23</v>
      </c>
      <c r="G2221" s="5">
        <f>IFERROR(__xludf.DUMMYFUNCTION("""COMPUTED_VALUE"""),14371.0)</f>
        <v>14371</v>
      </c>
      <c r="H2221" s="5">
        <f>IFERROR(__xludf.DUMMYFUNCTION("""COMPUTED_VALUE"""),2749.0)</f>
        <v>2749</v>
      </c>
    </row>
    <row r="2222">
      <c r="A2222" s="4">
        <f>IFERROR(__xludf.DUMMYFUNCTION("""COMPUTED_VALUE"""),44590.0)</f>
        <v>44590</v>
      </c>
      <c r="B2222" s="5">
        <f>IFERROR(__xludf.DUMMYFUNCTION("""COMPUTED_VALUE"""),1652.0)</f>
        <v>1652</v>
      </c>
      <c r="C2222" s="6">
        <f>IFERROR(__xludf.DUMMYFUNCTION("""COMPUTED_VALUE"""),0.5042)</f>
        <v>0.5042</v>
      </c>
      <c r="D2222" s="2">
        <f>IFERROR(__xludf.DUMMYFUNCTION("""COMPUTED_VALUE"""),0.0018402777777777777)</f>
        <v>0.001840277778</v>
      </c>
      <c r="E2222" s="1">
        <f>IFERROR(__xludf.DUMMYFUNCTION("""COMPUTED_VALUE"""),1.08)</f>
        <v>1.08</v>
      </c>
      <c r="F2222" s="1">
        <f>IFERROR(__xludf.DUMMYFUNCTION("""COMPUTED_VALUE"""),4.01)</f>
        <v>4.01</v>
      </c>
      <c r="G2222" s="5">
        <f>IFERROR(__xludf.DUMMYFUNCTION("""COMPUTED_VALUE"""),7179.0)</f>
        <v>7179</v>
      </c>
      <c r="H2222" s="5">
        <f>IFERROR(__xludf.DUMMYFUNCTION("""COMPUTED_VALUE"""),1791.0)</f>
        <v>1791</v>
      </c>
    </row>
    <row r="2223">
      <c r="A2223" s="4">
        <f>IFERROR(__xludf.DUMMYFUNCTION("""COMPUTED_VALUE"""),44591.0)</f>
        <v>44591</v>
      </c>
      <c r="B2223" s="5">
        <f>IFERROR(__xludf.DUMMYFUNCTION("""COMPUTED_VALUE"""),1486.0)</f>
        <v>1486</v>
      </c>
      <c r="C2223" s="6">
        <f>IFERROR(__xludf.DUMMYFUNCTION("""COMPUTED_VALUE"""),0.5312)</f>
        <v>0.5312</v>
      </c>
      <c r="D2223" s="2">
        <f>IFERROR(__xludf.DUMMYFUNCTION("""COMPUTED_VALUE"""),0.002395833333333333)</f>
        <v>0.002395833333</v>
      </c>
      <c r="E2223" s="1">
        <f>IFERROR(__xludf.DUMMYFUNCTION("""COMPUTED_VALUE"""),1.2)</f>
        <v>1.2</v>
      </c>
      <c r="F2223" s="1">
        <f>IFERROR(__xludf.DUMMYFUNCTION("""COMPUTED_VALUE"""),4.52)</f>
        <v>4.52</v>
      </c>
      <c r="G2223" s="5">
        <f>IFERROR(__xludf.DUMMYFUNCTION("""COMPUTED_VALUE"""),8026.0)</f>
        <v>8026</v>
      </c>
      <c r="H2223" s="5">
        <f>IFERROR(__xludf.DUMMYFUNCTION("""COMPUTED_VALUE"""),1777.0)</f>
        <v>1777</v>
      </c>
    </row>
    <row r="2224">
      <c r="A2224" s="4">
        <f>IFERROR(__xludf.DUMMYFUNCTION("""COMPUTED_VALUE"""),44592.0)</f>
        <v>44592</v>
      </c>
      <c r="B2224" s="5">
        <f>IFERROR(__xludf.DUMMYFUNCTION("""COMPUTED_VALUE"""),2402.0)</f>
        <v>2402</v>
      </c>
      <c r="C2224" s="6">
        <f>IFERROR(__xludf.DUMMYFUNCTION("""COMPUTED_VALUE"""),0.4696)</f>
        <v>0.4696</v>
      </c>
      <c r="D2224" s="2">
        <f>IFERROR(__xludf.DUMMYFUNCTION("""COMPUTED_VALUE"""),0.0024189814814814816)</f>
        <v>0.002418981481</v>
      </c>
      <c r="E2224" s="1">
        <f>IFERROR(__xludf.DUMMYFUNCTION("""COMPUTED_VALUE"""),1.14)</f>
        <v>1.14</v>
      </c>
      <c r="F2224" s="1">
        <f>IFERROR(__xludf.DUMMYFUNCTION("""COMPUTED_VALUE"""),4.77)</f>
        <v>4.77</v>
      </c>
      <c r="G2224" s="5">
        <f>IFERROR(__xludf.DUMMYFUNCTION("""COMPUTED_VALUE"""),13108.0)</f>
        <v>13108</v>
      </c>
      <c r="H2224" s="5">
        <f>IFERROR(__xludf.DUMMYFUNCTION("""COMPUTED_VALUE"""),2749.0)</f>
        <v>2749</v>
      </c>
    </row>
    <row r="2225">
      <c r="A2225" s="4">
        <f>IFERROR(__xludf.DUMMYFUNCTION("""COMPUTED_VALUE"""),44593.0)</f>
        <v>44593</v>
      </c>
      <c r="B2225" s="5">
        <f>IFERROR(__xludf.DUMMYFUNCTION("""COMPUTED_VALUE"""),2680.0)</f>
        <v>2680</v>
      </c>
      <c r="C2225" s="6">
        <f>IFERROR(__xludf.DUMMYFUNCTION("""COMPUTED_VALUE"""),0.4597)</f>
        <v>0.4597</v>
      </c>
      <c r="D2225" s="2">
        <f>IFERROR(__xludf.DUMMYFUNCTION("""COMPUTED_VALUE"""),0.0022453703703703702)</f>
        <v>0.00224537037</v>
      </c>
      <c r="E2225" s="1">
        <f>IFERROR(__xludf.DUMMYFUNCTION("""COMPUTED_VALUE"""),1.09)</f>
        <v>1.09</v>
      </c>
      <c r="F2225" s="1">
        <f>IFERROR(__xludf.DUMMYFUNCTION("""COMPUTED_VALUE"""),5.15)</f>
        <v>5.15</v>
      </c>
      <c r="G2225" s="5">
        <f>IFERROR(__xludf.DUMMYFUNCTION("""COMPUTED_VALUE"""),15080.0)</f>
        <v>15080</v>
      </c>
      <c r="H2225" s="5">
        <f>IFERROR(__xludf.DUMMYFUNCTION("""COMPUTED_VALUE"""),2930.0)</f>
        <v>2930</v>
      </c>
    </row>
    <row r="2226">
      <c r="A2226" s="4">
        <f>IFERROR(__xludf.DUMMYFUNCTION("""COMPUTED_VALUE"""),44594.0)</f>
        <v>44594</v>
      </c>
      <c r="B2226" s="5">
        <f>IFERROR(__xludf.DUMMYFUNCTION("""COMPUTED_VALUE"""),2833.0)</f>
        <v>2833</v>
      </c>
      <c r="C2226" s="6">
        <f>IFERROR(__xludf.DUMMYFUNCTION("""COMPUTED_VALUE"""),0.4823)</f>
        <v>0.4823</v>
      </c>
      <c r="D2226" s="2">
        <f>IFERROR(__xludf.DUMMYFUNCTION("""COMPUTED_VALUE"""),0.0022569444444444442)</f>
        <v>0.002256944444</v>
      </c>
      <c r="E2226" s="1">
        <f>IFERROR(__xludf.DUMMYFUNCTION("""COMPUTED_VALUE"""),1.12)</f>
        <v>1.12</v>
      </c>
      <c r="F2226" s="1">
        <f>IFERROR(__xludf.DUMMYFUNCTION("""COMPUTED_VALUE"""),5.38)</f>
        <v>5.38</v>
      </c>
      <c r="G2226" s="5">
        <f>IFERROR(__xludf.DUMMYFUNCTION("""COMPUTED_VALUE"""),17037.0)</f>
        <v>17037</v>
      </c>
      <c r="H2226" s="5">
        <f>IFERROR(__xludf.DUMMYFUNCTION("""COMPUTED_VALUE"""),3166.0)</f>
        <v>3166</v>
      </c>
    </row>
    <row r="2227">
      <c r="A2227" s="4">
        <f>IFERROR(__xludf.DUMMYFUNCTION("""COMPUTED_VALUE"""),44595.0)</f>
        <v>44595</v>
      </c>
      <c r="B2227" s="5">
        <f>IFERROR(__xludf.DUMMYFUNCTION("""COMPUTED_VALUE"""),2735.0)</f>
        <v>2735</v>
      </c>
      <c r="C2227" s="6">
        <f>IFERROR(__xludf.DUMMYFUNCTION("""COMPUTED_VALUE"""),0.4404)</f>
        <v>0.4404</v>
      </c>
      <c r="D2227" s="2">
        <f>IFERROR(__xludf.DUMMYFUNCTION("""COMPUTED_VALUE"""),0.0020601851851851853)</f>
        <v>0.002060185185</v>
      </c>
      <c r="E2227" s="1">
        <f>IFERROR(__xludf.DUMMYFUNCTION("""COMPUTED_VALUE"""),1.11)</f>
        <v>1.11</v>
      </c>
      <c r="F2227" s="1">
        <f>IFERROR(__xludf.DUMMYFUNCTION("""COMPUTED_VALUE"""),4.52)</f>
        <v>4.52</v>
      </c>
      <c r="G2227" s="5">
        <f>IFERROR(__xludf.DUMMYFUNCTION("""COMPUTED_VALUE"""),13677.0)</f>
        <v>13677</v>
      </c>
      <c r="H2227" s="5">
        <f>IFERROR(__xludf.DUMMYFUNCTION("""COMPUTED_VALUE"""),3027.0)</f>
        <v>3027</v>
      </c>
    </row>
    <row r="2228">
      <c r="A2228" s="4">
        <f>IFERROR(__xludf.DUMMYFUNCTION("""COMPUTED_VALUE"""),44596.0)</f>
        <v>44596</v>
      </c>
      <c r="B2228" s="5">
        <f>IFERROR(__xludf.DUMMYFUNCTION("""COMPUTED_VALUE"""),2555.0)</f>
        <v>2555</v>
      </c>
      <c r="C2228" s="6">
        <f>IFERROR(__xludf.DUMMYFUNCTION("""COMPUTED_VALUE"""),0.4103)</f>
        <v>0.4103</v>
      </c>
      <c r="D2228" s="2">
        <f>IFERROR(__xludf.DUMMYFUNCTION("""COMPUTED_VALUE"""),0.002199074074074074)</f>
        <v>0.002199074074</v>
      </c>
      <c r="E2228" s="1">
        <f>IFERROR(__xludf.DUMMYFUNCTION("""COMPUTED_VALUE"""),1.15)</f>
        <v>1.15</v>
      </c>
      <c r="F2228" s="1">
        <f>IFERROR(__xludf.DUMMYFUNCTION("""COMPUTED_VALUE"""),5.56)</f>
        <v>5.56</v>
      </c>
      <c r="G2228" s="5">
        <f>IFERROR(__xludf.DUMMYFUNCTION("""COMPUTED_VALUE"""),16357.0)</f>
        <v>16357</v>
      </c>
      <c r="H2228" s="5">
        <f>IFERROR(__xludf.DUMMYFUNCTION("""COMPUTED_VALUE"""),2944.0)</f>
        <v>2944</v>
      </c>
    </row>
    <row r="2229">
      <c r="A2229" s="4">
        <f>IFERROR(__xludf.DUMMYFUNCTION("""COMPUTED_VALUE"""),44597.0)</f>
        <v>44597</v>
      </c>
      <c r="B2229" s="5">
        <f>IFERROR(__xludf.DUMMYFUNCTION("""COMPUTED_VALUE"""),1708.0)</f>
        <v>1708</v>
      </c>
      <c r="C2229" s="6">
        <f>IFERROR(__xludf.DUMMYFUNCTION("""COMPUTED_VALUE"""),0.5651)</f>
        <v>0.5651</v>
      </c>
      <c r="D2229" s="2">
        <f>IFERROR(__xludf.DUMMYFUNCTION("""COMPUTED_VALUE"""),0.0013773148148148147)</f>
        <v>0.001377314815</v>
      </c>
      <c r="E2229" s="1">
        <f>IFERROR(__xludf.DUMMYFUNCTION("""COMPUTED_VALUE"""),1.06)</f>
        <v>1.06</v>
      </c>
      <c r="F2229" s="1">
        <f>IFERROR(__xludf.DUMMYFUNCTION("""COMPUTED_VALUE"""),3.68)</f>
        <v>3.68</v>
      </c>
      <c r="G2229" s="5">
        <f>IFERROR(__xludf.DUMMYFUNCTION("""COMPUTED_VALUE"""),6693.0)</f>
        <v>6693</v>
      </c>
      <c r="H2229" s="5">
        <f>IFERROR(__xludf.DUMMYFUNCTION("""COMPUTED_VALUE"""),1819.0)</f>
        <v>1819</v>
      </c>
    </row>
    <row r="2230">
      <c r="A2230" s="4">
        <f>IFERROR(__xludf.DUMMYFUNCTION("""COMPUTED_VALUE"""),44598.0)</f>
        <v>44598</v>
      </c>
      <c r="B2230" s="5">
        <f>IFERROR(__xludf.DUMMYFUNCTION("""COMPUTED_VALUE"""),1819.0)</f>
        <v>1819</v>
      </c>
      <c r="C2230" s="6">
        <f>IFERROR(__xludf.DUMMYFUNCTION("""COMPUTED_VALUE"""),0.5176)</f>
        <v>0.5176</v>
      </c>
      <c r="D2230" s="2">
        <f>IFERROR(__xludf.DUMMYFUNCTION("""COMPUTED_VALUE"""),0.002488425925925926)</f>
        <v>0.002488425926</v>
      </c>
      <c r="E2230" s="1">
        <f>IFERROR(__xludf.DUMMYFUNCTION("""COMPUTED_VALUE"""),1.09)</f>
        <v>1.09</v>
      </c>
      <c r="F2230" s="1">
        <f>IFERROR(__xludf.DUMMYFUNCTION("""COMPUTED_VALUE"""),3.63)</f>
        <v>3.63</v>
      </c>
      <c r="G2230" s="5">
        <f>IFERROR(__xludf.DUMMYFUNCTION("""COMPUTED_VALUE"""),7207.0)</f>
        <v>7207</v>
      </c>
      <c r="H2230" s="5">
        <f>IFERROR(__xludf.DUMMYFUNCTION("""COMPUTED_VALUE"""),1986.0)</f>
        <v>1986</v>
      </c>
    </row>
    <row r="2231">
      <c r="A2231" s="4">
        <f>IFERROR(__xludf.DUMMYFUNCTION("""COMPUTED_VALUE"""),44599.0)</f>
        <v>44599</v>
      </c>
      <c r="B2231" s="5">
        <f>IFERROR(__xludf.DUMMYFUNCTION("""COMPUTED_VALUE"""),2791.0)</f>
        <v>2791</v>
      </c>
      <c r="C2231" s="6">
        <f>IFERROR(__xludf.DUMMYFUNCTION("""COMPUTED_VALUE"""),0.4751)</f>
        <v>0.4751</v>
      </c>
      <c r="D2231" s="2">
        <f>IFERROR(__xludf.DUMMYFUNCTION("""COMPUTED_VALUE"""),0.0014467592592592592)</f>
        <v>0.001446759259</v>
      </c>
      <c r="E2231" s="1">
        <f>IFERROR(__xludf.DUMMYFUNCTION("""COMPUTED_VALUE"""),1.1)</f>
        <v>1.1</v>
      </c>
      <c r="F2231" s="1">
        <f>IFERROR(__xludf.DUMMYFUNCTION("""COMPUTED_VALUE"""),4.38)</f>
        <v>4.38</v>
      </c>
      <c r="G2231" s="5">
        <f>IFERROR(__xludf.DUMMYFUNCTION("""COMPUTED_VALUE"""),13441.0)</f>
        <v>13441</v>
      </c>
      <c r="H2231" s="5">
        <f>IFERROR(__xludf.DUMMYFUNCTION("""COMPUTED_VALUE"""),3069.0)</f>
        <v>3069</v>
      </c>
    </row>
    <row r="2232">
      <c r="A2232" s="4">
        <f>IFERROR(__xludf.DUMMYFUNCTION("""COMPUTED_VALUE"""),44600.0)</f>
        <v>44600</v>
      </c>
      <c r="B2232" s="5">
        <f>IFERROR(__xludf.DUMMYFUNCTION("""COMPUTED_VALUE"""),2888.0)</f>
        <v>2888</v>
      </c>
      <c r="C2232" s="6">
        <f>IFERROR(__xludf.DUMMYFUNCTION("""COMPUTED_VALUE"""),0.5455)</f>
        <v>0.5455</v>
      </c>
      <c r="D2232" s="2">
        <f>IFERROR(__xludf.DUMMYFUNCTION("""COMPUTED_VALUE"""),0.0030439814814814813)</f>
        <v>0.003043981481</v>
      </c>
      <c r="E2232" s="1">
        <f>IFERROR(__xludf.DUMMYFUNCTION("""COMPUTED_VALUE"""),1.16)</f>
        <v>1.16</v>
      </c>
      <c r="F2232" s="1">
        <f>IFERROR(__xludf.DUMMYFUNCTION("""COMPUTED_VALUE"""),5.25)</f>
        <v>5.25</v>
      </c>
      <c r="G2232" s="5">
        <f>IFERROR(__xludf.DUMMYFUNCTION("""COMPUTED_VALUE"""),17634.0)</f>
        <v>17634</v>
      </c>
      <c r="H2232" s="5">
        <f>IFERROR(__xludf.DUMMYFUNCTION("""COMPUTED_VALUE"""),3360.0)</f>
        <v>3360</v>
      </c>
    </row>
    <row r="2233">
      <c r="A2233" s="4">
        <f>IFERROR(__xludf.DUMMYFUNCTION("""COMPUTED_VALUE"""),44601.0)</f>
        <v>44601</v>
      </c>
      <c r="B2233" s="5">
        <f>IFERROR(__xludf.DUMMYFUNCTION("""COMPUTED_VALUE"""),3249.0)</f>
        <v>3249</v>
      </c>
      <c r="C2233" s="6">
        <f>IFERROR(__xludf.DUMMYFUNCTION("""COMPUTED_VALUE"""),0.4654)</f>
        <v>0.4654</v>
      </c>
      <c r="D2233" s="2">
        <f>IFERROR(__xludf.DUMMYFUNCTION("""COMPUTED_VALUE"""),0.0023263888888888887)</f>
        <v>0.002326388889</v>
      </c>
      <c r="E2233" s="1">
        <f>IFERROR(__xludf.DUMMYFUNCTION("""COMPUTED_VALUE"""),1.11)</f>
        <v>1.11</v>
      </c>
      <c r="F2233" s="1">
        <f>IFERROR(__xludf.DUMMYFUNCTION("""COMPUTED_VALUE"""),5.4)</f>
        <v>5.4</v>
      </c>
      <c r="G2233" s="5">
        <f>IFERROR(__xludf.DUMMYFUNCTION("""COMPUTED_VALUE"""),19509.0)</f>
        <v>19509</v>
      </c>
      <c r="H2233" s="5">
        <f>IFERROR(__xludf.DUMMYFUNCTION("""COMPUTED_VALUE"""),3610.0)</f>
        <v>3610</v>
      </c>
    </row>
    <row r="2234">
      <c r="A2234" s="4">
        <f>IFERROR(__xludf.DUMMYFUNCTION("""COMPUTED_VALUE"""),44602.0)</f>
        <v>44602</v>
      </c>
      <c r="B2234" s="5">
        <f>IFERROR(__xludf.DUMMYFUNCTION("""COMPUTED_VALUE"""),2985.0)</f>
        <v>2985</v>
      </c>
      <c r="C2234" s="6">
        <f>IFERROR(__xludf.DUMMYFUNCTION("""COMPUTED_VALUE"""),0.4998)</f>
        <v>0.4998</v>
      </c>
      <c r="D2234" s="2">
        <f>IFERROR(__xludf.DUMMYFUNCTION("""COMPUTED_VALUE"""),0.0024189814814814816)</f>
        <v>0.002418981481</v>
      </c>
      <c r="E2234" s="1">
        <f>IFERROR(__xludf.DUMMYFUNCTION("""COMPUTED_VALUE"""),1.11)</f>
        <v>1.11</v>
      </c>
      <c r="F2234" s="1">
        <f>IFERROR(__xludf.DUMMYFUNCTION("""COMPUTED_VALUE"""),4.42)</f>
        <v>4.42</v>
      </c>
      <c r="G2234" s="5">
        <f>IFERROR(__xludf.DUMMYFUNCTION("""COMPUTED_VALUE"""),14594.0)</f>
        <v>14594</v>
      </c>
      <c r="H2234" s="5">
        <f>IFERROR(__xludf.DUMMYFUNCTION("""COMPUTED_VALUE"""),3305.0)</f>
        <v>3305</v>
      </c>
    </row>
    <row r="2235">
      <c r="A2235" s="4">
        <f>IFERROR(__xludf.DUMMYFUNCTION("""COMPUTED_VALUE"""),44603.0)</f>
        <v>44603</v>
      </c>
      <c r="B2235" s="5">
        <f>IFERROR(__xludf.DUMMYFUNCTION("""COMPUTED_VALUE"""),2749.0)</f>
        <v>2749</v>
      </c>
      <c r="C2235" s="6">
        <f>IFERROR(__xludf.DUMMYFUNCTION("""COMPUTED_VALUE"""),0.579)</f>
        <v>0.579</v>
      </c>
      <c r="D2235" s="2">
        <f>IFERROR(__xludf.DUMMYFUNCTION("""COMPUTED_VALUE"""),0.0011689814814814816)</f>
        <v>0.001168981481</v>
      </c>
      <c r="E2235" s="1">
        <f>IFERROR(__xludf.DUMMYFUNCTION("""COMPUTED_VALUE"""),1.12)</f>
        <v>1.12</v>
      </c>
      <c r="F2235" s="1">
        <f>IFERROR(__xludf.DUMMYFUNCTION("""COMPUTED_VALUE"""),3.27)</f>
        <v>3.27</v>
      </c>
      <c r="G2235" s="5">
        <f>IFERROR(__xludf.DUMMYFUNCTION("""COMPUTED_VALUE"""),10039.0)</f>
        <v>10039</v>
      </c>
      <c r="H2235" s="5">
        <f>IFERROR(__xludf.DUMMYFUNCTION("""COMPUTED_VALUE"""),3069.0)</f>
        <v>3069</v>
      </c>
    </row>
    <row r="2236">
      <c r="A2236" s="4">
        <f>IFERROR(__xludf.DUMMYFUNCTION("""COMPUTED_VALUE"""),44604.0)</f>
        <v>44604</v>
      </c>
      <c r="B2236" s="5">
        <f>IFERROR(__xludf.DUMMYFUNCTION("""COMPUTED_VALUE"""),1666.0)</f>
        <v>1666</v>
      </c>
      <c r="C2236" s="6">
        <f>IFERROR(__xludf.DUMMYFUNCTION("""COMPUTED_VALUE"""),0.504)</f>
        <v>0.504</v>
      </c>
      <c r="D2236" s="2">
        <f>IFERROR(__xludf.DUMMYFUNCTION("""COMPUTED_VALUE"""),0.002476851851851852)</f>
        <v>0.002476851852</v>
      </c>
      <c r="E2236" s="1">
        <f>IFERROR(__xludf.DUMMYFUNCTION("""COMPUTED_VALUE"""),1.04)</f>
        <v>1.04</v>
      </c>
      <c r="F2236" s="1">
        <f>IFERROR(__xludf.DUMMYFUNCTION("""COMPUTED_VALUE"""),4.33)</f>
        <v>4.33</v>
      </c>
      <c r="G2236" s="5">
        <f>IFERROR(__xludf.DUMMYFUNCTION("""COMPUTED_VALUE"""),7512.0)</f>
        <v>7512</v>
      </c>
      <c r="H2236" s="5">
        <f>IFERROR(__xludf.DUMMYFUNCTION("""COMPUTED_VALUE"""),1736.0)</f>
        <v>1736</v>
      </c>
    </row>
    <row r="2237">
      <c r="A2237" s="4">
        <f>IFERROR(__xludf.DUMMYFUNCTION("""COMPUTED_VALUE"""),44605.0)</f>
        <v>44605</v>
      </c>
      <c r="B2237" s="5">
        <f>IFERROR(__xludf.DUMMYFUNCTION("""COMPUTED_VALUE"""),1722.0)</f>
        <v>1722</v>
      </c>
      <c r="C2237" s="6">
        <f>IFERROR(__xludf.DUMMYFUNCTION("""COMPUTED_VALUE"""),0.5913)</f>
        <v>0.5913</v>
      </c>
      <c r="D2237" s="2">
        <f>IFERROR(__xludf.DUMMYFUNCTION("""COMPUTED_VALUE"""),0.0014814814814814814)</f>
        <v>0.001481481481</v>
      </c>
      <c r="E2237" s="1">
        <f>IFERROR(__xludf.DUMMYFUNCTION("""COMPUTED_VALUE"""),1.15)</f>
        <v>1.15</v>
      </c>
      <c r="F2237" s="1">
        <f>IFERROR(__xludf.DUMMYFUNCTION("""COMPUTED_VALUE"""),3.31)</f>
        <v>3.31</v>
      </c>
      <c r="G2237" s="5">
        <f>IFERROR(__xludf.DUMMYFUNCTION("""COMPUTED_VALUE"""),6526.0)</f>
        <v>6526</v>
      </c>
      <c r="H2237" s="5">
        <f>IFERROR(__xludf.DUMMYFUNCTION("""COMPUTED_VALUE"""),1972.0)</f>
        <v>1972</v>
      </c>
    </row>
    <row r="2238">
      <c r="A2238" s="4">
        <f>IFERROR(__xludf.DUMMYFUNCTION("""COMPUTED_VALUE"""),44606.0)</f>
        <v>44606</v>
      </c>
      <c r="B2238" s="5">
        <f>IFERROR(__xludf.DUMMYFUNCTION("""COMPUTED_VALUE"""),2569.0)</f>
        <v>2569</v>
      </c>
      <c r="C2238" s="6">
        <f>IFERROR(__xludf.DUMMYFUNCTION("""COMPUTED_VALUE"""),0.5049)</f>
        <v>0.5049</v>
      </c>
      <c r="D2238" s="2">
        <f>IFERROR(__xludf.DUMMYFUNCTION("""COMPUTED_VALUE"""),0.0016319444444444445)</f>
        <v>0.001631944444</v>
      </c>
      <c r="E2238" s="1">
        <f>IFERROR(__xludf.DUMMYFUNCTION("""COMPUTED_VALUE"""),1.08)</f>
        <v>1.08</v>
      </c>
      <c r="F2238" s="1">
        <f>IFERROR(__xludf.DUMMYFUNCTION("""COMPUTED_VALUE"""),4.19)</f>
        <v>4.19</v>
      </c>
      <c r="G2238" s="5">
        <f>IFERROR(__xludf.DUMMYFUNCTION("""COMPUTED_VALUE"""),11636.0)</f>
        <v>11636</v>
      </c>
      <c r="H2238" s="5">
        <f>IFERROR(__xludf.DUMMYFUNCTION("""COMPUTED_VALUE"""),2777.0)</f>
        <v>2777</v>
      </c>
    </row>
    <row r="2239">
      <c r="A2239" s="4">
        <f>IFERROR(__xludf.DUMMYFUNCTION("""COMPUTED_VALUE"""),44607.0)</f>
        <v>44607</v>
      </c>
      <c r="B2239" s="5">
        <f>IFERROR(__xludf.DUMMYFUNCTION("""COMPUTED_VALUE"""),2763.0)</f>
        <v>2763</v>
      </c>
      <c r="C2239" s="6">
        <f>IFERROR(__xludf.DUMMYFUNCTION("""COMPUTED_VALUE"""),0.4868)</f>
        <v>0.4868</v>
      </c>
      <c r="D2239" s="2">
        <f>IFERROR(__xludf.DUMMYFUNCTION("""COMPUTED_VALUE"""),0.002511574074074074)</f>
        <v>0.002511574074</v>
      </c>
      <c r="E2239" s="1">
        <f>IFERROR(__xludf.DUMMYFUNCTION("""COMPUTED_VALUE"""),1.13)</f>
        <v>1.13</v>
      </c>
      <c r="F2239" s="1">
        <f>IFERROR(__xludf.DUMMYFUNCTION("""COMPUTED_VALUE"""),5.51)</f>
        <v>5.51</v>
      </c>
      <c r="G2239" s="5">
        <f>IFERROR(__xludf.DUMMYFUNCTION("""COMPUTED_VALUE"""),17135.0)</f>
        <v>17135</v>
      </c>
      <c r="H2239" s="5">
        <f>IFERROR(__xludf.DUMMYFUNCTION("""COMPUTED_VALUE"""),3110.0)</f>
        <v>3110</v>
      </c>
    </row>
    <row r="2240">
      <c r="A2240" s="4">
        <f>IFERROR(__xludf.DUMMYFUNCTION("""COMPUTED_VALUE"""),44608.0)</f>
        <v>44608</v>
      </c>
      <c r="B2240" s="5">
        <f>IFERROR(__xludf.DUMMYFUNCTION("""COMPUTED_VALUE"""),3235.0)</f>
        <v>3235</v>
      </c>
      <c r="C2240" s="6">
        <f>IFERROR(__xludf.DUMMYFUNCTION("""COMPUTED_VALUE"""),0.459)</f>
        <v>0.459</v>
      </c>
      <c r="D2240" s="2">
        <f>IFERROR(__xludf.DUMMYFUNCTION("""COMPUTED_VALUE"""),0.002395833333333333)</f>
        <v>0.002395833333</v>
      </c>
      <c r="E2240" s="1">
        <f>IFERROR(__xludf.DUMMYFUNCTION("""COMPUTED_VALUE"""),1.1)</f>
        <v>1.1</v>
      </c>
      <c r="F2240" s="1">
        <f>IFERROR(__xludf.DUMMYFUNCTION("""COMPUTED_VALUE"""),4.9)</f>
        <v>4.9</v>
      </c>
      <c r="G2240" s="5">
        <f>IFERROR(__xludf.DUMMYFUNCTION("""COMPUTED_VALUE"""),17482.0)</f>
        <v>17482</v>
      </c>
      <c r="H2240" s="5">
        <f>IFERROR(__xludf.DUMMYFUNCTION("""COMPUTED_VALUE"""),3569.0)</f>
        <v>3569</v>
      </c>
    </row>
    <row r="2241">
      <c r="A2241" s="4">
        <f>IFERROR(__xludf.DUMMYFUNCTION("""COMPUTED_VALUE"""),44609.0)</f>
        <v>44609</v>
      </c>
      <c r="B2241" s="5">
        <f>IFERROR(__xludf.DUMMYFUNCTION("""COMPUTED_VALUE"""),2888.0)</f>
        <v>2888</v>
      </c>
      <c r="C2241" s="6">
        <f>IFERROR(__xludf.DUMMYFUNCTION("""COMPUTED_VALUE"""),0.4409)</f>
        <v>0.4409</v>
      </c>
      <c r="D2241" s="2">
        <f>IFERROR(__xludf.DUMMYFUNCTION("""COMPUTED_VALUE"""),0.0027430555555555554)</f>
        <v>0.002743055556</v>
      </c>
      <c r="E2241" s="1">
        <f>IFERROR(__xludf.DUMMYFUNCTION("""COMPUTED_VALUE"""),1.06)</f>
        <v>1.06</v>
      </c>
      <c r="F2241" s="1">
        <f>IFERROR(__xludf.DUMMYFUNCTION("""COMPUTED_VALUE"""),4.8)</f>
        <v>4.8</v>
      </c>
      <c r="G2241" s="5">
        <f>IFERROR(__xludf.DUMMYFUNCTION("""COMPUTED_VALUE"""),14677.0)</f>
        <v>14677</v>
      </c>
      <c r="H2241" s="5">
        <f>IFERROR(__xludf.DUMMYFUNCTION("""COMPUTED_VALUE"""),3055.0)</f>
        <v>3055</v>
      </c>
    </row>
    <row r="2242">
      <c r="A2242" s="4">
        <f>IFERROR(__xludf.DUMMYFUNCTION("""COMPUTED_VALUE"""),44610.0)</f>
        <v>44610</v>
      </c>
      <c r="B2242" s="5">
        <f>IFERROR(__xludf.DUMMYFUNCTION("""COMPUTED_VALUE"""),2152.0)</f>
        <v>2152</v>
      </c>
      <c r="C2242" s="6">
        <f>IFERROR(__xludf.DUMMYFUNCTION("""COMPUTED_VALUE"""),0.4567)</f>
        <v>0.4567</v>
      </c>
      <c r="D2242" s="2">
        <f>IFERROR(__xludf.DUMMYFUNCTION("""COMPUTED_VALUE"""),0.002002314814814815)</f>
        <v>0.002002314815</v>
      </c>
      <c r="E2242" s="1">
        <f>IFERROR(__xludf.DUMMYFUNCTION("""COMPUTED_VALUE"""),1.12)</f>
        <v>1.12</v>
      </c>
      <c r="F2242" s="1">
        <f>IFERROR(__xludf.DUMMYFUNCTION("""COMPUTED_VALUE"""),4.5)</f>
        <v>4.5</v>
      </c>
      <c r="G2242" s="5">
        <f>IFERROR(__xludf.DUMMYFUNCTION("""COMPUTED_VALUE"""),10803.0)</f>
        <v>10803</v>
      </c>
      <c r="H2242" s="5">
        <f>IFERROR(__xludf.DUMMYFUNCTION("""COMPUTED_VALUE"""),2402.0)</f>
        <v>2402</v>
      </c>
    </row>
    <row r="2243">
      <c r="A2243" s="4">
        <f>IFERROR(__xludf.DUMMYFUNCTION("""COMPUTED_VALUE"""),44611.0)</f>
        <v>44611</v>
      </c>
      <c r="B2243" s="5">
        <f>IFERROR(__xludf.DUMMYFUNCTION("""COMPUTED_VALUE"""),1347.0)</f>
        <v>1347</v>
      </c>
      <c r="C2243" s="6">
        <f>IFERROR(__xludf.DUMMYFUNCTION("""COMPUTED_VALUE"""),0.5872)</f>
        <v>0.5872</v>
      </c>
      <c r="D2243" s="2">
        <f>IFERROR(__xludf.DUMMYFUNCTION("""COMPUTED_VALUE"""),0.001979166666666667)</f>
        <v>0.001979166667</v>
      </c>
      <c r="E2243" s="1">
        <f>IFERROR(__xludf.DUMMYFUNCTION("""COMPUTED_VALUE"""),1.12)</f>
        <v>1.12</v>
      </c>
      <c r="F2243" s="1">
        <f>IFERROR(__xludf.DUMMYFUNCTION("""COMPUTED_VALUE"""),4.68)</f>
        <v>4.68</v>
      </c>
      <c r="G2243" s="5">
        <f>IFERROR(__xludf.DUMMYFUNCTION("""COMPUTED_VALUE"""),7082.0)</f>
        <v>7082</v>
      </c>
      <c r="H2243" s="5">
        <f>IFERROR(__xludf.DUMMYFUNCTION("""COMPUTED_VALUE"""),1514.0)</f>
        <v>1514</v>
      </c>
    </row>
    <row r="2244">
      <c r="A2244" s="4">
        <f>IFERROR(__xludf.DUMMYFUNCTION("""COMPUTED_VALUE"""),44612.0)</f>
        <v>44612</v>
      </c>
      <c r="B2244" s="5">
        <f>IFERROR(__xludf.DUMMYFUNCTION("""COMPUTED_VALUE"""),1333.0)</f>
        <v>1333</v>
      </c>
      <c r="C2244" s="6">
        <f>IFERROR(__xludf.DUMMYFUNCTION("""COMPUTED_VALUE"""),0.5807)</f>
        <v>0.5807</v>
      </c>
      <c r="D2244" s="2">
        <f>IFERROR(__xludf.DUMMYFUNCTION("""COMPUTED_VALUE"""),0.0016666666666666668)</f>
        <v>0.001666666667</v>
      </c>
      <c r="E2244" s="1">
        <f>IFERROR(__xludf.DUMMYFUNCTION("""COMPUTED_VALUE"""),1.17)</f>
        <v>1.17</v>
      </c>
      <c r="F2244" s="1">
        <f>IFERROR(__xludf.DUMMYFUNCTION("""COMPUTED_VALUE"""),4.28)</f>
        <v>4.28</v>
      </c>
      <c r="G2244" s="5">
        <f>IFERROR(__xludf.DUMMYFUNCTION("""COMPUTED_VALUE"""),6651.0)</f>
        <v>6651</v>
      </c>
      <c r="H2244" s="5">
        <f>IFERROR(__xludf.DUMMYFUNCTION("""COMPUTED_VALUE"""),1555.0)</f>
        <v>1555</v>
      </c>
    </row>
    <row r="2245">
      <c r="A2245" s="4">
        <f>IFERROR(__xludf.DUMMYFUNCTION("""COMPUTED_VALUE"""),44613.0)</f>
        <v>44613</v>
      </c>
      <c r="B2245" s="5">
        <f>IFERROR(__xludf.DUMMYFUNCTION("""COMPUTED_VALUE"""),1986.0)</f>
        <v>1986</v>
      </c>
      <c r="C2245" s="6">
        <f>IFERROR(__xludf.DUMMYFUNCTION("""COMPUTED_VALUE"""),0.5065)</f>
        <v>0.5065</v>
      </c>
      <c r="D2245" s="2">
        <f>IFERROR(__xludf.DUMMYFUNCTION("""COMPUTED_VALUE"""),0.0022453703703703702)</f>
        <v>0.00224537037</v>
      </c>
      <c r="E2245" s="1">
        <f>IFERROR(__xludf.DUMMYFUNCTION("""COMPUTED_VALUE"""),1.09)</f>
        <v>1.09</v>
      </c>
      <c r="F2245" s="1">
        <f>IFERROR(__xludf.DUMMYFUNCTION("""COMPUTED_VALUE"""),4.31)</f>
        <v>4.31</v>
      </c>
      <c r="G2245" s="5">
        <f>IFERROR(__xludf.DUMMYFUNCTION("""COMPUTED_VALUE"""),9331.0)</f>
        <v>9331</v>
      </c>
      <c r="H2245" s="5">
        <f>IFERROR(__xludf.DUMMYFUNCTION("""COMPUTED_VALUE"""),2166.0)</f>
        <v>2166</v>
      </c>
    </row>
    <row r="2246">
      <c r="A2246" s="4">
        <f>IFERROR(__xludf.DUMMYFUNCTION("""COMPUTED_VALUE"""),44614.0)</f>
        <v>44614</v>
      </c>
      <c r="B2246" s="5">
        <f>IFERROR(__xludf.DUMMYFUNCTION("""COMPUTED_VALUE"""),2541.0)</f>
        <v>2541</v>
      </c>
      <c r="C2246" s="6">
        <f>IFERROR(__xludf.DUMMYFUNCTION("""COMPUTED_VALUE"""),0.4729)</f>
        <v>0.4729</v>
      </c>
      <c r="D2246" s="2">
        <f>IFERROR(__xludf.DUMMYFUNCTION("""COMPUTED_VALUE"""),0.0020949074074074073)</f>
        <v>0.002094907407</v>
      </c>
      <c r="E2246" s="1">
        <f>IFERROR(__xludf.DUMMYFUNCTION("""COMPUTED_VALUE"""),1.11)</f>
        <v>1.11</v>
      </c>
      <c r="F2246" s="1">
        <f>IFERROR(__xludf.DUMMYFUNCTION("""COMPUTED_VALUE"""),4.72)</f>
        <v>4.72</v>
      </c>
      <c r="G2246" s="5">
        <f>IFERROR(__xludf.DUMMYFUNCTION("""COMPUTED_VALUE"""),13302.0)</f>
        <v>13302</v>
      </c>
      <c r="H2246" s="5">
        <f>IFERROR(__xludf.DUMMYFUNCTION("""COMPUTED_VALUE"""),2819.0)</f>
        <v>2819</v>
      </c>
    </row>
    <row r="2247">
      <c r="A2247" s="4">
        <f>IFERROR(__xludf.DUMMYFUNCTION("""COMPUTED_VALUE"""),44615.0)</f>
        <v>44615</v>
      </c>
      <c r="B2247" s="5">
        <f>IFERROR(__xludf.DUMMYFUNCTION("""COMPUTED_VALUE"""),2444.0)</f>
        <v>2444</v>
      </c>
      <c r="C2247" s="6">
        <f>IFERROR(__xludf.DUMMYFUNCTION("""COMPUTED_VALUE"""),0.4397)</f>
        <v>0.4397</v>
      </c>
      <c r="D2247" s="2">
        <f>IFERROR(__xludf.DUMMYFUNCTION("""COMPUTED_VALUE"""),0.0020486111111111113)</f>
        <v>0.002048611111</v>
      </c>
      <c r="E2247" s="1">
        <f>IFERROR(__xludf.DUMMYFUNCTION("""COMPUTED_VALUE"""),1.09)</f>
        <v>1.09</v>
      </c>
      <c r="F2247" s="1">
        <f>IFERROR(__xludf.DUMMYFUNCTION("""COMPUTED_VALUE"""),4.82)</f>
        <v>4.82</v>
      </c>
      <c r="G2247" s="5">
        <f>IFERROR(__xludf.DUMMYFUNCTION("""COMPUTED_VALUE"""),12788.0)</f>
        <v>12788</v>
      </c>
      <c r="H2247" s="5">
        <f>IFERROR(__xludf.DUMMYFUNCTION("""COMPUTED_VALUE"""),2652.0)</f>
        <v>2652</v>
      </c>
    </row>
    <row r="2248">
      <c r="A2248" s="4">
        <f>IFERROR(__xludf.DUMMYFUNCTION("""COMPUTED_VALUE"""),44616.0)</f>
        <v>44616</v>
      </c>
      <c r="B2248" s="5">
        <f>IFERROR(__xludf.DUMMYFUNCTION("""COMPUTED_VALUE"""),2402.0)</f>
        <v>2402</v>
      </c>
      <c r="C2248" s="6">
        <f>IFERROR(__xludf.DUMMYFUNCTION("""COMPUTED_VALUE"""),0.4139)</f>
        <v>0.4139</v>
      </c>
      <c r="D2248" s="2">
        <f>IFERROR(__xludf.DUMMYFUNCTION("""COMPUTED_VALUE"""),0.0022685185185185187)</f>
        <v>0.002268518519</v>
      </c>
      <c r="E2248" s="1">
        <f>IFERROR(__xludf.DUMMYFUNCTION("""COMPUTED_VALUE"""),1.08)</f>
        <v>1.08</v>
      </c>
      <c r="F2248" s="1">
        <f>IFERROR(__xludf.DUMMYFUNCTION("""COMPUTED_VALUE"""),4.91)</f>
        <v>4.91</v>
      </c>
      <c r="G2248" s="5">
        <f>IFERROR(__xludf.DUMMYFUNCTION("""COMPUTED_VALUE"""),12691.0)</f>
        <v>12691</v>
      </c>
      <c r="H2248" s="5">
        <f>IFERROR(__xludf.DUMMYFUNCTION("""COMPUTED_VALUE"""),2583.0)</f>
        <v>2583</v>
      </c>
    </row>
    <row r="2249">
      <c r="A2249" s="4">
        <f>IFERROR(__xludf.DUMMYFUNCTION("""COMPUTED_VALUE"""),44617.0)</f>
        <v>44617</v>
      </c>
      <c r="B2249" s="5">
        <f>IFERROR(__xludf.DUMMYFUNCTION("""COMPUTED_VALUE"""),2097.0)</f>
        <v>2097</v>
      </c>
      <c r="C2249" s="6">
        <f>IFERROR(__xludf.DUMMYFUNCTION("""COMPUTED_VALUE"""),0.473)</f>
        <v>0.473</v>
      </c>
      <c r="D2249" s="2">
        <f>IFERROR(__xludf.DUMMYFUNCTION("""COMPUTED_VALUE"""),0.0024305555555555556)</f>
        <v>0.002430555556</v>
      </c>
      <c r="E2249" s="1">
        <f>IFERROR(__xludf.DUMMYFUNCTION("""COMPUTED_VALUE"""),1.11)</f>
        <v>1.11</v>
      </c>
      <c r="F2249" s="1">
        <f>IFERROR(__xludf.DUMMYFUNCTION("""COMPUTED_VALUE"""),5.19)</f>
        <v>5.19</v>
      </c>
      <c r="G2249" s="5">
        <f>IFERROR(__xludf.DUMMYFUNCTION("""COMPUTED_VALUE"""),12025.0)</f>
        <v>12025</v>
      </c>
      <c r="H2249" s="5">
        <f>IFERROR(__xludf.DUMMYFUNCTION("""COMPUTED_VALUE"""),2319.0)</f>
        <v>2319</v>
      </c>
    </row>
    <row r="2250">
      <c r="A2250" s="4">
        <f>IFERROR(__xludf.DUMMYFUNCTION("""COMPUTED_VALUE"""),44618.0)</f>
        <v>44618</v>
      </c>
      <c r="B2250" s="5">
        <f>IFERROR(__xludf.DUMMYFUNCTION("""COMPUTED_VALUE"""),1486.0)</f>
        <v>1486</v>
      </c>
      <c r="C2250" s="6">
        <f>IFERROR(__xludf.DUMMYFUNCTION("""COMPUTED_VALUE"""),0.5309)</f>
        <v>0.5309</v>
      </c>
      <c r="D2250" s="2">
        <f>IFERROR(__xludf.DUMMYFUNCTION("""COMPUTED_VALUE"""),0.0013657407407407407)</f>
        <v>0.001365740741</v>
      </c>
      <c r="E2250" s="1">
        <f>IFERROR(__xludf.DUMMYFUNCTION("""COMPUTED_VALUE"""),1.06)</f>
        <v>1.06</v>
      </c>
      <c r="F2250" s="1">
        <f>IFERROR(__xludf.DUMMYFUNCTION("""COMPUTED_VALUE"""),3.73)</f>
        <v>3.73</v>
      </c>
      <c r="G2250" s="5">
        <f>IFERROR(__xludf.DUMMYFUNCTION("""COMPUTED_VALUE"""),5860.0)</f>
        <v>5860</v>
      </c>
      <c r="H2250" s="5">
        <f>IFERROR(__xludf.DUMMYFUNCTION("""COMPUTED_VALUE"""),1569.0)</f>
        <v>1569</v>
      </c>
    </row>
    <row r="2251">
      <c r="A2251" s="4">
        <f>IFERROR(__xludf.DUMMYFUNCTION("""COMPUTED_VALUE"""),44619.0)</f>
        <v>44619</v>
      </c>
      <c r="B2251" s="5">
        <f>IFERROR(__xludf.DUMMYFUNCTION("""COMPUTED_VALUE"""),1416.0)</f>
        <v>1416</v>
      </c>
      <c r="C2251" s="6">
        <f>IFERROR(__xludf.DUMMYFUNCTION("""COMPUTED_VALUE"""),0.4868)</f>
        <v>0.4868</v>
      </c>
      <c r="D2251" s="2">
        <f>IFERROR(__xludf.DUMMYFUNCTION("""COMPUTED_VALUE"""),0.0016666666666666668)</f>
        <v>0.001666666667</v>
      </c>
      <c r="E2251" s="1">
        <f>IFERROR(__xludf.DUMMYFUNCTION("""COMPUTED_VALUE"""),1.15)</f>
        <v>1.15</v>
      </c>
      <c r="F2251" s="1">
        <f>IFERROR(__xludf.DUMMYFUNCTION("""COMPUTED_VALUE"""),3.85)</f>
        <v>3.85</v>
      </c>
      <c r="G2251" s="5">
        <f>IFERROR(__xludf.DUMMYFUNCTION("""COMPUTED_VALUE"""),6262.0)</f>
        <v>6262</v>
      </c>
      <c r="H2251" s="5">
        <f>IFERROR(__xludf.DUMMYFUNCTION("""COMPUTED_VALUE"""),1625.0)</f>
        <v>1625</v>
      </c>
    </row>
    <row r="2252">
      <c r="A2252" s="4">
        <f>IFERROR(__xludf.DUMMYFUNCTION("""COMPUTED_VALUE"""),44620.0)</f>
        <v>44620</v>
      </c>
      <c r="B2252" s="5">
        <f>IFERROR(__xludf.DUMMYFUNCTION("""COMPUTED_VALUE"""),2305.0)</f>
        <v>2305</v>
      </c>
      <c r="C2252" s="6">
        <f>IFERROR(__xludf.DUMMYFUNCTION("""COMPUTED_VALUE"""),0.4406)</f>
        <v>0.4406</v>
      </c>
      <c r="D2252" s="2">
        <f>IFERROR(__xludf.DUMMYFUNCTION("""COMPUTED_VALUE"""),0.0025578703703703705)</f>
        <v>0.00255787037</v>
      </c>
      <c r="E2252" s="1">
        <f>IFERROR(__xludf.DUMMYFUNCTION("""COMPUTED_VALUE"""),1.07)</f>
        <v>1.07</v>
      </c>
      <c r="F2252" s="1">
        <f>IFERROR(__xludf.DUMMYFUNCTION("""COMPUTED_VALUE"""),5.32)</f>
        <v>5.32</v>
      </c>
      <c r="G2252" s="5">
        <f>IFERROR(__xludf.DUMMYFUNCTION("""COMPUTED_VALUE"""),13080.0)</f>
        <v>13080</v>
      </c>
      <c r="H2252" s="5">
        <f>IFERROR(__xludf.DUMMYFUNCTION("""COMPUTED_VALUE"""),2458.0)</f>
        <v>2458</v>
      </c>
    </row>
    <row r="2253">
      <c r="A2253" s="4">
        <f>IFERROR(__xludf.DUMMYFUNCTION("""COMPUTED_VALUE"""),44621.0)</f>
        <v>44621</v>
      </c>
      <c r="B2253" s="5">
        <f>IFERROR(__xludf.DUMMYFUNCTION("""COMPUTED_VALUE"""),2416.0)</f>
        <v>2416</v>
      </c>
      <c r="C2253" s="6">
        <f>IFERROR(__xludf.DUMMYFUNCTION("""COMPUTED_VALUE"""),0.5126)</f>
        <v>0.5126</v>
      </c>
      <c r="D2253" s="2">
        <f>IFERROR(__xludf.DUMMYFUNCTION("""COMPUTED_VALUE"""),0.0016087962962962963)</f>
        <v>0.001608796296</v>
      </c>
      <c r="E2253" s="1">
        <f>IFERROR(__xludf.DUMMYFUNCTION("""COMPUTED_VALUE"""),1.13)</f>
        <v>1.13</v>
      </c>
      <c r="F2253" s="1">
        <f>IFERROR(__xludf.DUMMYFUNCTION("""COMPUTED_VALUE"""),4.31)</f>
        <v>4.31</v>
      </c>
      <c r="G2253" s="5">
        <f>IFERROR(__xludf.DUMMYFUNCTION("""COMPUTED_VALUE"""),11789.0)</f>
        <v>11789</v>
      </c>
      <c r="H2253" s="5">
        <f>IFERROR(__xludf.DUMMYFUNCTION("""COMPUTED_VALUE"""),2735.0)</f>
        <v>2735</v>
      </c>
    </row>
    <row r="2254">
      <c r="A2254" s="4">
        <f>IFERROR(__xludf.DUMMYFUNCTION("""COMPUTED_VALUE"""),44622.0)</f>
        <v>44622</v>
      </c>
      <c r="B2254" s="5">
        <f>IFERROR(__xludf.DUMMYFUNCTION("""COMPUTED_VALUE"""),2749.0)</f>
        <v>2749</v>
      </c>
      <c r="C2254" s="6">
        <f>IFERROR(__xludf.DUMMYFUNCTION("""COMPUTED_VALUE"""),0.4857)</f>
        <v>0.4857</v>
      </c>
      <c r="D2254" s="2">
        <f>IFERROR(__xludf.DUMMYFUNCTION("""COMPUTED_VALUE"""),0.001736111111111111)</f>
        <v>0.001736111111</v>
      </c>
      <c r="E2254" s="1">
        <f>IFERROR(__xludf.DUMMYFUNCTION("""COMPUTED_VALUE"""),1.07)</f>
        <v>1.07</v>
      </c>
      <c r="F2254" s="1">
        <f>IFERROR(__xludf.DUMMYFUNCTION("""COMPUTED_VALUE"""),4.5)</f>
        <v>4.5</v>
      </c>
      <c r="G2254" s="5">
        <f>IFERROR(__xludf.DUMMYFUNCTION("""COMPUTED_VALUE"""),13261.0)</f>
        <v>13261</v>
      </c>
      <c r="H2254" s="5">
        <f>IFERROR(__xludf.DUMMYFUNCTION("""COMPUTED_VALUE"""),2944.0)</f>
        <v>2944</v>
      </c>
    </row>
    <row r="2255">
      <c r="A2255" s="4">
        <f>IFERROR(__xludf.DUMMYFUNCTION("""COMPUTED_VALUE"""),44623.0)</f>
        <v>44623</v>
      </c>
      <c r="B2255" s="5">
        <f>IFERROR(__xludf.DUMMYFUNCTION("""COMPUTED_VALUE"""),2583.0)</f>
        <v>2583</v>
      </c>
      <c r="C2255" s="6">
        <f>IFERROR(__xludf.DUMMYFUNCTION("""COMPUTED_VALUE"""),0.4335)</f>
        <v>0.4335</v>
      </c>
      <c r="D2255" s="2">
        <f>IFERROR(__xludf.DUMMYFUNCTION("""COMPUTED_VALUE"""),0.0022453703703703702)</f>
        <v>0.00224537037</v>
      </c>
      <c r="E2255" s="1">
        <f>IFERROR(__xludf.DUMMYFUNCTION("""COMPUTED_VALUE"""),1.09)</f>
        <v>1.09</v>
      </c>
      <c r="F2255" s="1">
        <f>IFERROR(__xludf.DUMMYFUNCTION("""COMPUTED_VALUE"""),4.41)</f>
        <v>4.41</v>
      </c>
      <c r="G2255" s="5">
        <f>IFERROR(__xludf.DUMMYFUNCTION("""COMPUTED_VALUE"""),12427.0)</f>
        <v>12427</v>
      </c>
      <c r="H2255" s="5">
        <f>IFERROR(__xludf.DUMMYFUNCTION("""COMPUTED_VALUE"""),2819.0)</f>
        <v>2819</v>
      </c>
    </row>
    <row r="2256">
      <c r="A2256" s="4">
        <f>IFERROR(__xludf.DUMMYFUNCTION("""COMPUTED_VALUE"""),44624.0)</f>
        <v>44624</v>
      </c>
      <c r="B2256" s="5">
        <f>IFERROR(__xludf.DUMMYFUNCTION("""COMPUTED_VALUE"""),2124.0)</f>
        <v>2124</v>
      </c>
      <c r="C2256" s="6">
        <f>IFERROR(__xludf.DUMMYFUNCTION("""COMPUTED_VALUE"""),0.4295)</f>
        <v>0.4295</v>
      </c>
      <c r="D2256" s="2">
        <f>IFERROR(__xludf.DUMMYFUNCTION("""COMPUTED_VALUE"""),0.002662037037037037)</f>
        <v>0.002662037037</v>
      </c>
      <c r="E2256" s="1">
        <f>IFERROR(__xludf.DUMMYFUNCTION("""COMPUTED_VALUE"""),1.07)</f>
        <v>1.07</v>
      </c>
      <c r="F2256" s="1">
        <f>IFERROR(__xludf.DUMMYFUNCTION("""COMPUTED_VALUE"""),5.68)</f>
        <v>5.68</v>
      </c>
      <c r="G2256" s="5">
        <f>IFERROR(__xludf.DUMMYFUNCTION("""COMPUTED_VALUE"""),12844.0)</f>
        <v>12844</v>
      </c>
      <c r="H2256" s="5">
        <f>IFERROR(__xludf.DUMMYFUNCTION("""COMPUTED_VALUE"""),2263.0)</f>
        <v>2263</v>
      </c>
    </row>
    <row r="2257">
      <c r="A2257" s="4">
        <f>IFERROR(__xludf.DUMMYFUNCTION("""COMPUTED_VALUE"""),44625.0)</f>
        <v>44625</v>
      </c>
      <c r="B2257" s="5">
        <f>IFERROR(__xludf.DUMMYFUNCTION("""COMPUTED_VALUE"""),1541.0)</f>
        <v>1541</v>
      </c>
      <c r="C2257" s="6">
        <f>IFERROR(__xludf.DUMMYFUNCTION("""COMPUTED_VALUE"""),0.504)</f>
        <v>0.504</v>
      </c>
      <c r="D2257" s="2">
        <f>IFERROR(__xludf.DUMMYFUNCTION("""COMPUTED_VALUE"""),0.002199074074074074)</f>
        <v>0.002199074074</v>
      </c>
      <c r="E2257" s="1">
        <f>IFERROR(__xludf.DUMMYFUNCTION("""COMPUTED_VALUE"""),1.13)</f>
        <v>1.13</v>
      </c>
      <c r="F2257" s="1">
        <f>IFERROR(__xludf.DUMMYFUNCTION("""COMPUTED_VALUE"""),4.65)</f>
        <v>4.65</v>
      </c>
      <c r="G2257" s="5">
        <f>IFERROR(__xludf.DUMMYFUNCTION("""COMPUTED_VALUE"""),8067.0)</f>
        <v>8067</v>
      </c>
      <c r="H2257" s="5">
        <f>IFERROR(__xludf.DUMMYFUNCTION("""COMPUTED_VALUE"""),1736.0)</f>
        <v>1736</v>
      </c>
    </row>
    <row r="2258">
      <c r="A2258" s="4">
        <f>IFERROR(__xludf.DUMMYFUNCTION("""COMPUTED_VALUE"""),44626.0)</f>
        <v>44626</v>
      </c>
      <c r="B2258" s="5">
        <f>IFERROR(__xludf.DUMMYFUNCTION("""COMPUTED_VALUE"""),1472.0)</f>
        <v>1472</v>
      </c>
      <c r="C2258" s="6">
        <f>IFERROR(__xludf.DUMMYFUNCTION("""COMPUTED_VALUE"""),0.4669)</f>
        <v>0.4669</v>
      </c>
      <c r="D2258" s="2">
        <f>IFERROR(__xludf.DUMMYFUNCTION("""COMPUTED_VALUE"""),0.002916666666666667)</f>
        <v>0.002916666667</v>
      </c>
      <c r="E2258" s="1">
        <f>IFERROR(__xludf.DUMMYFUNCTION("""COMPUTED_VALUE"""),1.15)</f>
        <v>1.15</v>
      </c>
      <c r="F2258" s="1">
        <f>IFERROR(__xludf.DUMMYFUNCTION("""COMPUTED_VALUE"""),4.8)</f>
        <v>4.8</v>
      </c>
      <c r="G2258" s="5">
        <f>IFERROR(__xludf.DUMMYFUNCTION("""COMPUTED_VALUE"""),8137.0)</f>
        <v>8137</v>
      </c>
      <c r="H2258" s="5">
        <f>IFERROR(__xludf.DUMMYFUNCTION("""COMPUTED_VALUE"""),1694.0)</f>
        <v>1694</v>
      </c>
    </row>
    <row r="2259">
      <c r="A2259" s="4">
        <f>IFERROR(__xludf.DUMMYFUNCTION("""COMPUTED_VALUE"""),44627.0)</f>
        <v>44627</v>
      </c>
      <c r="B2259" s="5">
        <f>IFERROR(__xludf.DUMMYFUNCTION("""COMPUTED_VALUE"""),2499.0)</f>
        <v>2499</v>
      </c>
      <c r="C2259" s="6">
        <f>IFERROR(__xludf.DUMMYFUNCTION("""COMPUTED_VALUE"""),0.4778)</f>
        <v>0.4778</v>
      </c>
      <c r="D2259" s="2">
        <f>IFERROR(__xludf.DUMMYFUNCTION("""COMPUTED_VALUE"""),0.002476851851851852)</f>
        <v>0.002476851852</v>
      </c>
      <c r="E2259" s="1">
        <f>IFERROR(__xludf.DUMMYFUNCTION("""COMPUTED_VALUE"""),1.13)</f>
        <v>1.13</v>
      </c>
      <c r="F2259" s="1">
        <f>IFERROR(__xludf.DUMMYFUNCTION("""COMPUTED_VALUE"""),4.46)</f>
        <v>4.46</v>
      </c>
      <c r="G2259" s="5">
        <f>IFERROR(__xludf.DUMMYFUNCTION("""COMPUTED_VALUE"""),12580.0)</f>
        <v>12580</v>
      </c>
      <c r="H2259" s="5">
        <f>IFERROR(__xludf.DUMMYFUNCTION("""COMPUTED_VALUE"""),2819.0)</f>
        <v>2819</v>
      </c>
    </row>
    <row r="2260">
      <c r="A2260" s="4">
        <f>IFERROR(__xludf.DUMMYFUNCTION("""COMPUTED_VALUE"""),44628.0)</f>
        <v>44628</v>
      </c>
      <c r="B2260" s="5">
        <f>IFERROR(__xludf.DUMMYFUNCTION("""COMPUTED_VALUE"""),2708.0)</f>
        <v>2708</v>
      </c>
      <c r="C2260" s="6">
        <f>IFERROR(__xludf.DUMMYFUNCTION("""COMPUTED_VALUE"""),0.4614)</f>
        <v>0.4614</v>
      </c>
      <c r="D2260" s="2">
        <f>IFERROR(__xludf.DUMMYFUNCTION("""COMPUTED_VALUE"""),0.0024652777777777776)</f>
        <v>0.002465277778</v>
      </c>
      <c r="E2260" s="1">
        <f>IFERROR(__xludf.DUMMYFUNCTION("""COMPUTED_VALUE"""),1.13)</f>
        <v>1.13</v>
      </c>
      <c r="F2260" s="1">
        <f>IFERROR(__xludf.DUMMYFUNCTION("""COMPUTED_VALUE"""),4.69)</f>
        <v>4.69</v>
      </c>
      <c r="G2260" s="5">
        <f>IFERROR(__xludf.DUMMYFUNCTION("""COMPUTED_VALUE"""),14399.0)</f>
        <v>14399</v>
      </c>
      <c r="H2260" s="5">
        <f>IFERROR(__xludf.DUMMYFUNCTION("""COMPUTED_VALUE"""),3069.0)</f>
        <v>3069</v>
      </c>
    </row>
    <row r="2261">
      <c r="A2261" s="4">
        <f>IFERROR(__xludf.DUMMYFUNCTION("""COMPUTED_VALUE"""),44629.0)</f>
        <v>44629</v>
      </c>
      <c r="B2261" s="5">
        <f>IFERROR(__xludf.DUMMYFUNCTION("""COMPUTED_VALUE"""),2833.0)</f>
        <v>2833</v>
      </c>
      <c r="C2261" s="6">
        <f>IFERROR(__xludf.DUMMYFUNCTION("""COMPUTED_VALUE"""),0.4554)</f>
        <v>0.4554</v>
      </c>
      <c r="D2261" s="2">
        <f>IFERROR(__xludf.DUMMYFUNCTION("""COMPUTED_VALUE"""),0.0024305555555555556)</f>
        <v>0.002430555556</v>
      </c>
      <c r="E2261" s="1">
        <f>IFERROR(__xludf.DUMMYFUNCTION("""COMPUTED_VALUE"""),1.15)</f>
        <v>1.15</v>
      </c>
      <c r="F2261" s="1">
        <f>IFERROR(__xludf.DUMMYFUNCTION("""COMPUTED_VALUE"""),4.4)</f>
        <v>4.4</v>
      </c>
      <c r="G2261" s="5">
        <f>IFERROR(__xludf.DUMMYFUNCTION("""COMPUTED_VALUE"""),14371.0)</f>
        <v>14371</v>
      </c>
      <c r="H2261" s="5">
        <f>IFERROR(__xludf.DUMMYFUNCTION("""COMPUTED_VALUE"""),3263.0)</f>
        <v>3263</v>
      </c>
    </row>
    <row r="2262">
      <c r="A2262" s="4">
        <f>IFERROR(__xludf.DUMMYFUNCTION("""COMPUTED_VALUE"""),44630.0)</f>
        <v>44630</v>
      </c>
      <c r="B2262" s="5">
        <f>IFERROR(__xludf.DUMMYFUNCTION("""COMPUTED_VALUE"""),2624.0)</f>
        <v>2624</v>
      </c>
      <c r="C2262" s="6">
        <f>IFERROR(__xludf.DUMMYFUNCTION("""COMPUTED_VALUE"""),0.4762)</f>
        <v>0.4762</v>
      </c>
      <c r="D2262" s="2">
        <f>IFERROR(__xludf.DUMMYFUNCTION("""COMPUTED_VALUE"""),0.0017592592592592592)</f>
        <v>0.001759259259</v>
      </c>
      <c r="E2262" s="1">
        <f>IFERROR(__xludf.DUMMYFUNCTION("""COMPUTED_VALUE"""),1.12)</f>
        <v>1.12</v>
      </c>
      <c r="F2262" s="1">
        <f>IFERROR(__xludf.DUMMYFUNCTION("""COMPUTED_VALUE"""),4.12)</f>
        <v>4.12</v>
      </c>
      <c r="G2262" s="5">
        <f>IFERROR(__xludf.DUMMYFUNCTION("""COMPUTED_VALUE"""),12136.0)</f>
        <v>12136</v>
      </c>
      <c r="H2262" s="5">
        <f>IFERROR(__xludf.DUMMYFUNCTION("""COMPUTED_VALUE"""),2944.0)</f>
        <v>2944</v>
      </c>
    </row>
    <row r="2263">
      <c r="A2263" s="4">
        <f>IFERROR(__xludf.DUMMYFUNCTION("""COMPUTED_VALUE"""),44631.0)</f>
        <v>44631</v>
      </c>
      <c r="B2263" s="5">
        <f>IFERROR(__xludf.DUMMYFUNCTION("""COMPUTED_VALUE"""),1875.0)</f>
        <v>1875</v>
      </c>
      <c r="C2263" s="6">
        <f>IFERROR(__xludf.DUMMYFUNCTION("""COMPUTED_VALUE"""),0.4964)</f>
        <v>0.4964</v>
      </c>
      <c r="D2263" s="2">
        <f>IFERROR(__xludf.DUMMYFUNCTION("""COMPUTED_VALUE"""),0.0027430555555555554)</f>
        <v>0.002743055556</v>
      </c>
      <c r="E2263" s="1">
        <f>IFERROR(__xludf.DUMMYFUNCTION("""COMPUTED_VALUE"""),1.12)</f>
        <v>1.12</v>
      </c>
      <c r="F2263" s="1">
        <f>IFERROR(__xludf.DUMMYFUNCTION("""COMPUTED_VALUE"""),4.43)</f>
        <v>4.43</v>
      </c>
      <c r="G2263" s="5">
        <f>IFERROR(__xludf.DUMMYFUNCTION("""COMPUTED_VALUE"""),9289.0)</f>
        <v>9289</v>
      </c>
      <c r="H2263" s="5">
        <f>IFERROR(__xludf.DUMMYFUNCTION("""COMPUTED_VALUE"""),2097.0)</f>
        <v>2097</v>
      </c>
    </row>
    <row r="2264">
      <c r="A2264" s="4">
        <f>IFERROR(__xludf.DUMMYFUNCTION("""COMPUTED_VALUE"""),44632.0)</f>
        <v>44632</v>
      </c>
      <c r="B2264" s="5">
        <f>IFERROR(__xludf.DUMMYFUNCTION("""COMPUTED_VALUE"""),1291.0)</f>
        <v>1291</v>
      </c>
      <c r="C2264" s="6">
        <f>IFERROR(__xludf.DUMMYFUNCTION("""COMPUTED_VALUE"""),0.5531)</f>
        <v>0.5531</v>
      </c>
      <c r="D2264" s="2">
        <f>IFERROR(__xludf.DUMMYFUNCTION("""COMPUTED_VALUE"""),0.0016898148148148148)</f>
        <v>0.001689814815</v>
      </c>
      <c r="E2264" s="1">
        <f>IFERROR(__xludf.DUMMYFUNCTION("""COMPUTED_VALUE"""),1.11)</f>
        <v>1.11</v>
      </c>
      <c r="F2264" s="1">
        <f>IFERROR(__xludf.DUMMYFUNCTION("""COMPUTED_VALUE"""),4.23)</f>
        <v>4.23</v>
      </c>
      <c r="G2264" s="5">
        <f>IFERROR(__xludf.DUMMYFUNCTION("""COMPUTED_VALUE"""),6054.0)</f>
        <v>6054</v>
      </c>
      <c r="H2264" s="5">
        <f>IFERROR(__xludf.DUMMYFUNCTION("""COMPUTED_VALUE"""),1430.0)</f>
        <v>1430</v>
      </c>
    </row>
    <row r="2265">
      <c r="A2265" s="4">
        <f>IFERROR(__xludf.DUMMYFUNCTION("""COMPUTED_VALUE"""),44633.0)</f>
        <v>44633</v>
      </c>
      <c r="B2265" s="5">
        <f>IFERROR(__xludf.DUMMYFUNCTION("""COMPUTED_VALUE"""),1514.0)</f>
        <v>1514</v>
      </c>
      <c r="C2265" s="6">
        <f>IFERROR(__xludf.DUMMYFUNCTION("""COMPUTED_VALUE"""),0.4953)</f>
        <v>0.4953</v>
      </c>
      <c r="D2265" s="2">
        <f>IFERROR(__xludf.DUMMYFUNCTION("""COMPUTED_VALUE"""),0.0013310185185185185)</f>
        <v>0.001331018519</v>
      </c>
      <c r="E2265" s="1">
        <f>IFERROR(__xludf.DUMMYFUNCTION("""COMPUTED_VALUE"""),1.05)</f>
        <v>1.05</v>
      </c>
      <c r="F2265" s="1">
        <f>IFERROR(__xludf.DUMMYFUNCTION("""COMPUTED_VALUE"""),4.69)</f>
        <v>4.69</v>
      </c>
      <c r="G2265" s="5">
        <f>IFERROR(__xludf.DUMMYFUNCTION("""COMPUTED_VALUE"""),7484.0)</f>
        <v>7484</v>
      </c>
      <c r="H2265" s="5">
        <f>IFERROR(__xludf.DUMMYFUNCTION("""COMPUTED_VALUE"""),1597.0)</f>
        <v>1597</v>
      </c>
    </row>
    <row r="2266">
      <c r="A2266" s="4">
        <f>IFERROR(__xludf.DUMMYFUNCTION("""COMPUTED_VALUE"""),44634.0)</f>
        <v>44634</v>
      </c>
      <c r="B2266" s="5">
        <f>IFERROR(__xludf.DUMMYFUNCTION("""COMPUTED_VALUE"""),2305.0)</f>
        <v>2305</v>
      </c>
      <c r="C2266" s="6">
        <f>IFERROR(__xludf.DUMMYFUNCTION("""COMPUTED_VALUE"""),0.3999)</f>
        <v>0.3999</v>
      </c>
      <c r="D2266" s="2">
        <f>IFERROR(__xludf.DUMMYFUNCTION("""COMPUTED_VALUE"""),0.0031134259259259257)</f>
        <v>0.003113425926</v>
      </c>
      <c r="E2266" s="1">
        <f>IFERROR(__xludf.DUMMYFUNCTION("""COMPUTED_VALUE"""),1.17)</f>
        <v>1.17</v>
      </c>
      <c r="F2266" s="1">
        <f>IFERROR(__xludf.DUMMYFUNCTION("""COMPUTED_VALUE"""),6.31)</f>
        <v>6.31</v>
      </c>
      <c r="G2266" s="5">
        <f>IFERROR(__xludf.DUMMYFUNCTION("""COMPUTED_VALUE"""),17093.0)</f>
        <v>17093</v>
      </c>
      <c r="H2266" s="5">
        <f>IFERROR(__xludf.DUMMYFUNCTION("""COMPUTED_VALUE"""),2708.0)</f>
        <v>2708</v>
      </c>
    </row>
    <row r="2267">
      <c r="A2267" s="4">
        <f>IFERROR(__xludf.DUMMYFUNCTION("""COMPUTED_VALUE"""),44635.0)</f>
        <v>44635</v>
      </c>
      <c r="B2267" s="5">
        <f>IFERROR(__xludf.DUMMYFUNCTION("""COMPUTED_VALUE"""),2458.0)</f>
        <v>2458</v>
      </c>
      <c r="C2267" s="6">
        <f>IFERROR(__xludf.DUMMYFUNCTION("""COMPUTED_VALUE"""),0.4265)</f>
        <v>0.4265</v>
      </c>
      <c r="D2267" s="2">
        <f>IFERROR(__xludf.DUMMYFUNCTION("""COMPUTED_VALUE"""),0.001990740740740741)</f>
        <v>0.001990740741</v>
      </c>
      <c r="E2267" s="1">
        <f>IFERROR(__xludf.DUMMYFUNCTION("""COMPUTED_VALUE"""),1.07)</f>
        <v>1.07</v>
      </c>
      <c r="F2267" s="1">
        <f>IFERROR(__xludf.DUMMYFUNCTION("""COMPUTED_VALUE"""),5.8)</f>
        <v>5.8</v>
      </c>
      <c r="G2267" s="5">
        <f>IFERROR(__xludf.DUMMYFUNCTION("""COMPUTED_VALUE"""),15288.0)</f>
        <v>15288</v>
      </c>
      <c r="H2267" s="5">
        <f>IFERROR(__xludf.DUMMYFUNCTION("""COMPUTED_VALUE"""),2638.0)</f>
        <v>2638</v>
      </c>
    </row>
    <row r="2268">
      <c r="A2268" s="4">
        <f>IFERROR(__xludf.DUMMYFUNCTION("""COMPUTED_VALUE"""),44636.0)</f>
        <v>44636</v>
      </c>
      <c r="B2268" s="5">
        <f>IFERROR(__xludf.DUMMYFUNCTION("""COMPUTED_VALUE"""),2680.0)</f>
        <v>2680</v>
      </c>
      <c r="C2268" s="6">
        <f>IFERROR(__xludf.DUMMYFUNCTION("""COMPUTED_VALUE"""),0.4715)</f>
        <v>0.4715</v>
      </c>
      <c r="D2268" s="2">
        <f>IFERROR(__xludf.DUMMYFUNCTION("""COMPUTED_VALUE"""),0.0022569444444444442)</f>
        <v>0.002256944444</v>
      </c>
      <c r="E2268" s="1">
        <f>IFERROR(__xludf.DUMMYFUNCTION("""COMPUTED_VALUE"""),1.09)</f>
        <v>1.09</v>
      </c>
      <c r="F2268" s="1">
        <f>IFERROR(__xludf.DUMMYFUNCTION("""COMPUTED_VALUE"""),4.78)</f>
        <v>4.78</v>
      </c>
      <c r="G2268" s="5">
        <f>IFERROR(__xludf.DUMMYFUNCTION("""COMPUTED_VALUE"""),13941.0)</f>
        <v>13941</v>
      </c>
      <c r="H2268" s="5">
        <f>IFERROR(__xludf.DUMMYFUNCTION("""COMPUTED_VALUE"""),2916.0)</f>
        <v>2916</v>
      </c>
    </row>
    <row r="2269">
      <c r="A2269" s="4">
        <f>IFERROR(__xludf.DUMMYFUNCTION("""COMPUTED_VALUE"""),44637.0)</f>
        <v>44637</v>
      </c>
      <c r="B2269" s="5">
        <f>IFERROR(__xludf.DUMMYFUNCTION("""COMPUTED_VALUE"""),2749.0)</f>
        <v>2749</v>
      </c>
      <c r="C2269" s="6">
        <f>IFERROR(__xludf.DUMMYFUNCTION("""COMPUTED_VALUE"""),0.3869)</f>
        <v>0.3869</v>
      </c>
      <c r="D2269" s="2">
        <f>IFERROR(__xludf.DUMMYFUNCTION("""COMPUTED_VALUE"""),0.002951388888888889)</f>
        <v>0.002951388889</v>
      </c>
      <c r="E2269" s="1">
        <f>IFERROR(__xludf.DUMMYFUNCTION("""COMPUTED_VALUE"""),1.07)</f>
        <v>1.07</v>
      </c>
      <c r="F2269" s="1">
        <f>IFERROR(__xludf.DUMMYFUNCTION("""COMPUTED_VALUE"""),5.38)</f>
        <v>5.38</v>
      </c>
      <c r="G2269" s="5">
        <f>IFERROR(__xludf.DUMMYFUNCTION("""COMPUTED_VALUE"""),15829.0)</f>
        <v>15829</v>
      </c>
      <c r="H2269" s="5">
        <f>IFERROR(__xludf.DUMMYFUNCTION("""COMPUTED_VALUE"""),2944.0)</f>
        <v>2944</v>
      </c>
    </row>
    <row r="2270">
      <c r="A2270" s="4">
        <f>IFERROR(__xludf.DUMMYFUNCTION("""COMPUTED_VALUE"""),44638.0)</f>
        <v>44638</v>
      </c>
      <c r="B2270" s="5">
        <f>IFERROR(__xludf.DUMMYFUNCTION("""COMPUTED_VALUE"""),2194.0)</f>
        <v>2194</v>
      </c>
      <c r="C2270" s="6">
        <f>IFERROR(__xludf.DUMMYFUNCTION("""COMPUTED_VALUE"""),0.4173)</f>
        <v>0.4173</v>
      </c>
      <c r="D2270" s="2">
        <f>IFERROR(__xludf.DUMMYFUNCTION("""COMPUTED_VALUE"""),0.0022916666666666667)</f>
        <v>0.002291666667</v>
      </c>
      <c r="E2270" s="1">
        <f>IFERROR(__xludf.DUMMYFUNCTION("""COMPUTED_VALUE"""),1.11)</f>
        <v>1.11</v>
      </c>
      <c r="F2270" s="1">
        <f>IFERROR(__xludf.DUMMYFUNCTION("""COMPUTED_VALUE"""),5.95)</f>
        <v>5.95</v>
      </c>
      <c r="G2270" s="5">
        <f>IFERROR(__xludf.DUMMYFUNCTION("""COMPUTED_VALUE"""),14469.0)</f>
        <v>14469</v>
      </c>
      <c r="H2270" s="5">
        <f>IFERROR(__xludf.DUMMYFUNCTION("""COMPUTED_VALUE"""),2430.0)</f>
        <v>2430</v>
      </c>
    </row>
    <row r="2271">
      <c r="A2271" s="4">
        <f>IFERROR(__xludf.DUMMYFUNCTION("""COMPUTED_VALUE"""),44639.0)</f>
        <v>44639</v>
      </c>
      <c r="B2271" s="5">
        <f>IFERROR(__xludf.DUMMYFUNCTION("""COMPUTED_VALUE"""),1458.0)</f>
        <v>1458</v>
      </c>
      <c r="C2271" s="6">
        <f>IFERROR(__xludf.DUMMYFUNCTION("""COMPUTED_VALUE"""),0.4709)</f>
        <v>0.4709</v>
      </c>
      <c r="D2271" s="2">
        <f>IFERROR(__xludf.DUMMYFUNCTION("""COMPUTED_VALUE"""),0.002766203703703704)</f>
        <v>0.002766203704</v>
      </c>
      <c r="E2271" s="1">
        <f>IFERROR(__xludf.DUMMYFUNCTION("""COMPUTED_VALUE"""),1.13)</f>
        <v>1.13</v>
      </c>
      <c r="F2271" s="1">
        <f>IFERROR(__xludf.DUMMYFUNCTION("""COMPUTED_VALUE"""),5.07)</f>
        <v>5.07</v>
      </c>
      <c r="G2271" s="5">
        <f>IFERROR(__xludf.DUMMYFUNCTION("""COMPUTED_VALUE"""),8373.0)</f>
        <v>8373</v>
      </c>
      <c r="H2271" s="5">
        <f>IFERROR(__xludf.DUMMYFUNCTION("""COMPUTED_VALUE"""),1652.0)</f>
        <v>1652</v>
      </c>
    </row>
    <row r="2272">
      <c r="A2272" s="4">
        <f>IFERROR(__xludf.DUMMYFUNCTION("""COMPUTED_VALUE"""),44640.0)</f>
        <v>44640</v>
      </c>
      <c r="B2272" s="5">
        <f>IFERROR(__xludf.DUMMYFUNCTION("""COMPUTED_VALUE"""),1500.0)</f>
        <v>1500</v>
      </c>
      <c r="C2272" s="6">
        <f>IFERROR(__xludf.DUMMYFUNCTION("""COMPUTED_VALUE"""),0.4631)</f>
        <v>0.4631</v>
      </c>
      <c r="D2272" s="2">
        <f>IFERROR(__xludf.DUMMYFUNCTION("""COMPUTED_VALUE"""),0.002511574074074074)</f>
        <v>0.002511574074</v>
      </c>
      <c r="E2272" s="1">
        <f>IFERROR(__xludf.DUMMYFUNCTION("""COMPUTED_VALUE"""),1.14)</f>
        <v>1.14</v>
      </c>
      <c r="F2272" s="1">
        <f>IFERROR(__xludf.DUMMYFUNCTION("""COMPUTED_VALUE"""),5.28)</f>
        <v>5.28</v>
      </c>
      <c r="G2272" s="5">
        <f>IFERROR(__xludf.DUMMYFUNCTION("""COMPUTED_VALUE"""),9025.0)</f>
        <v>9025</v>
      </c>
      <c r="H2272" s="5">
        <f>IFERROR(__xludf.DUMMYFUNCTION("""COMPUTED_VALUE"""),1708.0)</f>
        <v>1708</v>
      </c>
    </row>
    <row r="2273">
      <c r="A2273" s="4">
        <f>IFERROR(__xludf.DUMMYFUNCTION("""COMPUTED_VALUE"""),44641.0)</f>
        <v>44641</v>
      </c>
      <c r="B2273" s="5">
        <f>IFERROR(__xludf.DUMMYFUNCTION("""COMPUTED_VALUE"""),2777.0)</f>
        <v>2777</v>
      </c>
      <c r="C2273" s="6">
        <f>IFERROR(__xludf.DUMMYFUNCTION("""COMPUTED_VALUE"""),0.4727)</f>
        <v>0.4727</v>
      </c>
      <c r="D2273" s="2">
        <f>IFERROR(__xludf.DUMMYFUNCTION("""COMPUTED_VALUE"""),0.0021643518518518518)</f>
        <v>0.002164351852</v>
      </c>
      <c r="E2273" s="1">
        <f>IFERROR(__xludf.DUMMYFUNCTION("""COMPUTED_VALUE"""),1.1)</f>
        <v>1.1</v>
      </c>
      <c r="F2273" s="1">
        <f>IFERROR(__xludf.DUMMYFUNCTION("""COMPUTED_VALUE"""),4.43)</f>
        <v>4.43</v>
      </c>
      <c r="G2273" s="5">
        <f>IFERROR(__xludf.DUMMYFUNCTION("""COMPUTED_VALUE"""),13524.0)</f>
        <v>13524</v>
      </c>
      <c r="H2273" s="5">
        <f>IFERROR(__xludf.DUMMYFUNCTION("""COMPUTED_VALUE"""),3055.0)</f>
        <v>3055</v>
      </c>
    </row>
    <row r="2274">
      <c r="A2274" s="4">
        <f>IFERROR(__xludf.DUMMYFUNCTION("""COMPUTED_VALUE"""),44642.0)</f>
        <v>44642</v>
      </c>
      <c r="B2274" s="5">
        <f>IFERROR(__xludf.DUMMYFUNCTION("""COMPUTED_VALUE"""),2791.0)</f>
        <v>2791</v>
      </c>
      <c r="C2274" s="6">
        <f>IFERROR(__xludf.DUMMYFUNCTION("""COMPUTED_VALUE"""),0.3591)</f>
        <v>0.3591</v>
      </c>
      <c r="D2274" s="2">
        <f>IFERROR(__xludf.DUMMYFUNCTION("""COMPUTED_VALUE"""),0.002037037037037037)</f>
        <v>0.002037037037</v>
      </c>
      <c r="E2274" s="1">
        <f>IFERROR(__xludf.DUMMYFUNCTION("""COMPUTED_VALUE"""),1.09)</f>
        <v>1.09</v>
      </c>
      <c r="F2274" s="1">
        <f>IFERROR(__xludf.DUMMYFUNCTION("""COMPUTED_VALUE"""),4.22)</f>
        <v>4.22</v>
      </c>
      <c r="G2274" s="5">
        <f>IFERROR(__xludf.DUMMYFUNCTION("""COMPUTED_VALUE"""),12900.0)</f>
        <v>12900</v>
      </c>
      <c r="H2274" s="5">
        <f>IFERROR(__xludf.DUMMYFUNCTION("""COMPUTED_VALUE"""),3055.0)</f>
        <v>3055</v>
      </c>
    </row>
    <row r="2275">
      <c r="A2275" s="4">
        <f>IFERROR(__xludf.DUMMYFUNCTION("""COMPUTED_VALUE"""),44643.0)</f>
        <v>44643</v>
      </c>
      <c r="B2275" s="5">
        <f>IFERROR(__xludf.DUMMYFUNCTION("""COMPUTED_VALUE"""),2847.0)</f>
        <v>2847</v>
      </c>
      <c r="C2275" s="6">
        <f>IFERROR(__xludf.DUMMYFUNCTION("""COMPUTED_VALUE"""),0.4723)</f>
        <v>0.4723</v>
      </c>
      <c r="D2275" s="2">
        <f>IFERROR(__xludf.DUMMYFUNCTION("""COMPUTED_VALUE"""),0.002349537037037037)</f>
        <v>0.002349537037</v>
      </c>
      <c r="E2275" s="1">
        <f>IFERROR(__xludf.DUMMYFUNCTION("""COMPUTED_VALUE"""),1.15)</f>
        <v>1.15</v>
      </c>
      <c r="F2275" s="1">
        <f>IFERROR(__xludf.DUMMYFUNCTION("""COMPUTED_VALUE"""),4.4)</f>
        <v>4.4</v>
      </c>
      <c r="G2275" s="5">
        <f>IFERROR(__xludf.DUMMYFUNCTION("""COMPUTED_VALUE"""),14344.0)</f>
        <v>14344</v>
      </c>
      <c r="H2275" s="5">
        <f>IFERROR(__xludf.DUMMYFUNCTION("""COMPUTED_VALUE"""),3263.0)</f>
        <v>3263</v>
      </c>
    </row>
    <row r="2276">
      <c r="A2276" s="4">
        <f>IFERROR(__xludf.DUMMYFUNCTION("""COMPUTED_VALUE"""),44644.0)</f>
        <v>44644</v>
      </c>
      <c r="B2276" s="5">
        <f>IFERROR(__xludf.DUMMYFUNCTION("""COMPUTED_VALUE"""),3582.0)</f>
        <v>3582</v>
      </c>
      <c r="C2276" s="6">
        <f>IFERROR(__xludf.DUMMYFUNCTION("""COMPUTED_VALUE"""),0.4332)</f>
        <v>0.4332</v>
      </c>
      <c r="D2276" s="2">
        <f>IFERROR(__xludf.DUMMYFUNCTION("""COMPUTED_VALUE"""),0.0023148148148148147)</f>
        <v>0.002314814815</v>
      </c>
      <c r="E2276" s="1">
        <f>IFERROR(__xludf.DUMMYFUNCTION("""COMPUTED_VALUE"""),1.07)</f>
        <v>1.07</v>
      </c>
      <c r="F2276" s="1">
        <f>IFERROR(__xludf.DUMMYFUNCTION("""COMPUTED_VALUE"""),5.77)</f>
        <v>5.77</v>
      </c>
      <c r="G2276" s="5">
        <f>IFERROR(__xludf.DUMMYFUNCTION("""COMPUTED_VALUE"""),22203.0)</f>
        <v>22203</v>
      </c>
      <c r="H2276" s="5">
        <f>IFERROR(__xludf.DUMMYFUNCTION("""COMPUTED_VALUE"""),3846.0)</f>
        <v>3846</v>
      </c>
    </row>
    <row r="2277">
      <c r="A2277" s="4">
        <f>IFERROR(__xludf.DUMMYFUNCTION("""COMPUTED_VALUE"""),44645.0)</f>
        <v>44645</v>
      </c>
      <c r="B2277" s="5">
        <f>IFERROR(__xludf.DUMMYFUNCTION("""COMPUTED_VALUE"""),2541.0)</f>
        <v>2541</v>
      </c>
      <c r="C2277" s="6">
        <f>IFERROR(__xludf.DUMMYFUNCTION("""COMPUTED_VALUE"""),0.4313)</f>
        <v>0.4313</v>
      </c>
      <c r="D2277" s="2">
        <f>IFERROR(__xludf.DUMMYFUNCTION("""COMPUTED_VALUE"""),0.003159722222222222)</f>
        <v>0.003159722222</v>
      </c>
      <c r="E2277" s="1">
        <f>IFERROR(__xludf.DUMMYFUNCTION("""COMPUTED_VALUE"""),1.11)</f>
        <v>1.11</v>
      </c>
      <c r="F2277" s="1">
        <f>IFERROR(__xludf.DUMMYFUNCTION("""COMPUTED_VALUE"""),5.45)</f>
        <v>5.45</v>
      </c>
      <c r="G2277" s="5">
        <f>IFERROR(__xludf.DUMMYFUNCTION("""COMPUTED_VALUE"""),15454.0)</f>
        <v>15454</v>
      </c>
      <c r="H2277" s="5">
        <f>IFERROR(__xludf.DUMMYFUNCTION("""COMPUTED_VALUE"""),2833.0)</f>
        <v>2833</v>
      </c>
    </row>
    <row r="2278">
      <c r="A2278" s="4">
        <f>IFERROR(__xludf.DUMMYFUNCTION("""COMPUTED_VALUE"""),44646.0)</f>
        <v>44646</v>
      </c>
      <c r="B2278" s="5">
        <f>IFERROR(__xludf.DUMMYFUNCTION("""COMPUTED_VALUE"""),1444.0)</f>
        <v>1444</v>
      </c>
      <c r="C2278" s="6">
        <f>IFERROR(__xludf.DUMMYFUNCTION("""COMPUTED_VALUE"""),0.5714)</f>
        <v>0.5714</v>
      </c>
      <c r="D2278" s="2">
        <f>IFERROR(__xludf.DUMMYFUNCTION("""COMPUTED_VALUE"""),0.0028125)</f>
        <v>0.0028125</v>
      </c>
      <c r="E2278" s="1">
        <f>IFERROR(__xludf.DUMMYFUNCTION("""COMPUTED_VALUE"""),1.14)</f>
        <v>1.14</v>
      </c>
      <c r="F2278" s="1">
        <f>IFERROR(__xludf.DUMMYFUNCTION("""COMPUTED_VALUE"""),4.98)</f>
        <v>4.98</v>
      </c>
      <c r="G2278" s="5">
        <f>IFERROR(__xludf.DUMMYFUNCTION("""COMPUTED_VALUE"""),8234.0)</f>
        <v>8234</v>
      </c>
      <c r="H2278" s="5">
        <f>IFERROR(__xludf.DUMMYFUNCTION("""COMPUTED_VALUE"""),1652.0)</f>
        <v>1652</v>
      </c>
    </row>
    <row r="2279">
      <c r="A2279" s="4">
        <f>IFERROR(__xludf.DUMMYFUNCTION("""COMPUTED_VALUE"""),44647.0)</f>
        <v>44647</v>
      </c>
      <c r="B2279" s="5">
        <f>IFERROR(__xludf.DUMMYFUNCTION("""COMPUTED_VALUE"""),1847.0)</f>
        <v>1847</v>
      </c>
      <c r="C2279" s="6">
        <f>IFERROR(__xludf.DUMMYFUNCTION("""COMPUTED_VALUE"""),0.5216)</f>
        <v>0.5216</v>
      </c>
      <c r="D2279" s="2">
        <f>IFERROR(__xludf.DUMMYFUNCTION("""COMPUTED_VALUE"""),0.0018402777777777777)</f>
        <v>0.001840277778</v>
      </c>
      <c r="E2279" s="1">
        <f>IFERROR(__xludf.DUMMYFUNCTION("""COMPUTED_VALUE"""),1.05)</f>
        <v>1.05</v>
      </c>
      <c r="F2279" s="1">
        <f>IFERROR(__xludf.DUMMYFUNCTION("""COMPUTED_VALUE"""),3.84)</f>
        <v>3.84</v>
      </c>
      <c r="G2279" s="5">
        <f>IFERROR(__xludf.DUMMYFUNCTION("""COMPUTED_VALUE"""),7456.0)</f>
        <v>7456</v>
      </c>
      <c r="H2279" s="5">
        <f>IFERROR(__xludf.DUMMYFUNCTION("""COMPUTED_VALUE"""),1944.0)</f>
        <v>1944</v>
      </c>
    </row>
    <row r="2280">
      <c r="A2280" s="4">
        <f>IFERROR(__xludf.DUMMYFUNCTION("""COMPUTED_VALUE"""),44648.0)</f>
        <v>44648</v>
      </c>
      <c r="B2280" s="5">
        <f>IFERROR(__xludf.DUMMYFUNCTION("""COMPUTED_VALUE"""),2708.0)</f>
        <v>2708</v>
      </c>
      <c r="C2280" s="6">
        <f>IFERROR(__xludf.DUMMYFUNCTION("""COMPUTED_VALUE"""),0.4748)</f>
        <v>0.4748</v>
      </c>
      <c r="D2280" s="2">
        <f>IFERROR(__xludf.DUMMYFUNCTION("""COMPUTED_VALUE"""),0.002037037037037037)</f>
        <v>0.002037037037</v>
      </c>
      <c r="E2280" s="1">
        <f>IFERROR(__xludf.DUMMYFUNCTION("""COMPUTED_VALUE"""),1.12)</f>
        <v>1.12</v>
      </c>
      <c r="F2280" s="1">
        <f>IFERROR(__xludf.DUMMYFUNCTION("""COMPUTED_VALUE"""),4.37)</f>
        <v>4.37</v>
      </c>
      <c r="G2280" s="5">
        <f>IFERROR(__xludf.DUMMYFUNCTION("""COMPUTED_VALUE"""),13288.0)</f>
        <v>13288</v>
      </c>
      <c r="H2280" s="5">
        <f>IFERROR(__xludf.DUMMYFUNCTION("""COMPUTED_VALUE"""),3041.0)</f>
        <v>3041</v>
      </c>
    </row>
    <row r="2281">
      <c r="A2281" s="4">
        <f>IFERROR(__xludf.DUMMYFUNCTION("""COMPUTED_VALUE"""),44649.0)</f>
        <v>44649</v>
      </c>
      <c r="B2281" s="5">
        <f>IFERROR(__xludf.DUMMYFUNCTION("""COMPUTED_VALUE"""),2624.0)</f>
        <v>2624</v>
      </c>
      <c r="C2281" s="6">
        <f>IFERROR(__xludf.DUMMYFUNCTION("""COMPUTED_VALUE"""),0.4878)</f>
        <v>0.4878</v>
      </c>
      <c r="D2281" s="2">
        <f>IFERROR(__xludf.DUMMYFUNCTION("""COMPUTED_VALUE"""),0.001990740740740741)</f>
        <v>0.001990740741</v>
      </c>
      <c r="E2281" s="1">
        <f>IFERROR(__xludf.DUMMYFUNCTION("""COMPUTED_VALUE"""),1.1)</f>
        <v>1.1</v>
      </c>
      <c r="F2281" s="1">
        <f>IFERROR(__xludf.DUMMYFUNCTION("""COMPUTED_VALUE"""),5.06)</f>
        <v>5.06</v>
      </c>
      <c r="G2281" s="5">
        <f>IFERROR(__xludf.DUMMYFUNCTION("""COMPUTED_VALUE"""),14552.0)</f>
        <v>14552</v>
      </c>
      <c r="H2281" s="5">
        <f>IFERROR(__xludf.DUMMYFUNCTION("""COMPUTED_VALUE"""),2874.0)</f>
        <v>2874</v>
      </c>
    </row>
    <row r="2282">
      <c r="A2282" s="4">
        <f>IFERROR(__xludf.DUMMYFUNCTION("""COMPUTED_VALUE"""),44650.0)</f>
        <v>44650</v>
      </c>
      <c r="B2282" s="5">
        <f>IFERROR(__xludf.DUMMYFUNCTION("""COMPUTED_VALUE"""),2610.0)</f>
        <v>2610</v>
      </c>
      <c r="C2282" s="6">
        <f>IFERROR(__xludf.DUMMYFUNCTION("""COMPUTED_VALUE"""),0.4492)</f>
        <v>0.4492</v>
      </c>
      <c r="D2282" s="2">
        <f>IFERROR(__xludf.DUMMYFUNCTION("""COMPUTED_VALUE"""),0.002384259259259259)</f>
        <v>0.002384259259</v>
      </c>
      <c r="E2282" s="1">
        <f>IFERROR(__xludf.DUMMYFUNCTION("""COMPUTED_VALUE"""),1.1)</f>
        <v>1.1</v>
      </c>
      <c r="F2282" s="1">
        <f>IFERROR(__xludf.DUMMYFUNCTION("""COMPUTED_VALUE"""),5.49)</f>
        <v>5.49</v>
      </c>
      <c r="G2282" s="5">
        <f>IFERROR(__xludf.DUMMYFUNCTION("""COMPUTED_VALUE"""),15788.0)</f>
        <v>15788</v>
      </c>
      <c r="H2282" s="5">
        <f>IFERROR(__xludf.DUMMYFUNCTION("""COMPUTED_VALUE"""),2874.0)</f>
        <v>2874</v>
      </c>
    </row>
    <row r="2283">
      <c r="A2283" s="4">
        <f>IFERROR(__xludf.DUMMYFUNCTION("""COMPUTED_VALUE"""),44651.0)</f>
        <v>44651</v>
      </c>
      <c r="B2283" s="5">
        <f>IFERROR(__xludf.DUMMYFUNCTION("""COMPUTED_VALUE"""),2749.0)</f>
        <v>2749</v>
      </c>
      <c r="C2283" s="6">
        <f>IFERROR(__xludf.DUMMYFUNCTION("""COMPUTED_VALUE"""),0.4298)</f>
        <v>0.4298</v>
      </c>
      <c r="D2283" s="2">
        <f>IFERROR(__xludf.DUMMYFUNCTION("""COMPUTED_VALUE"""),0.0021643518518518518)</f>
        <v>0.002164351852</v>
      </c>
      <c r="E2283" s="1">
        <f>IFERROR(__xludf.DUMMYFUNCTION("""COMPUTED_VALUE"""),1.12)</f>
        <v>1.12</v>
      </c>
      <c r="F2283" s="1">
        <f>IFERROR(__xludf.DUMMYFUNCTION("""COMPUTED_VALUE"""),4.73)</f>
        <v>4.73</v>
      </c>
      <c r="G2283" s="5">
        <f>IFERROR(__xludf.DUMMYFUNCTION("""COMPUTED_VALUE"""),14510.0)</f>
        <v>14510</v>
      </c>
      <c r="H2283" s="5">
        <f>IFERROR(__xludf.DUMMYFUNCTION("""COMPUTED_VALUE"""),3069.0)</f>
        <v>3069</v>
      </c>
    </row>
    <row r="2284">
      <c r="A2284" s="4">
        <f>IFERROR(__xludf.DUMMYFUNCTION("""COMPUTED_VALUE"""),44652.0)</f>
        <v>44652</v>
      </c>
      <c r="B2284" s="5">
        <f>IFERROR(__xludf.DUMMYFUNCTION("""COMPUTED_VALUE"""),2152.0)</f>
        <v>2152</v>
      </c>
      <c r="C2284" s="6">
        <f>IFERROR(__xludf.DUMMYFUNCTION("""COMPUTED_VALUE"""),0.4081)</f>
        <v>0.4081</v>
      </c>
      <c r="D2284" s="2">
        <f>IFERROR(__xludf.DUMMYFUNCTION("""COMPUTED_VALUE"""),0.001863425925925926)</f>
        <v>0.001863425926</v>
      </c>
      <c r="E2284" s="1">
        <f>IFERROR(__xludf.DUMMYFUNCTION("""COMPUTED_VALUE"""),1.12)</f>
        <v>1.12</v>
      </c>
      <c r="F2284" s="1">
        <f>IFERROR(__xludf.DUMMYFUNCTION("""COMPUTED_VALUE"""),4.08)</f>
        <v>4.08</v>
      </c>
      <c r="G2284" s="5">
        <f>IFERROR(__xludf.DUMMYFUNCTION("""COMPUTED_VALUE"""),9859.0)</f>
        <v>9859</v>
      </c>
      <c r="H2284" s="5">
        <f>IFERROR(__xludf.DUMMYFUNCTION("""COMPUTED_VALUE"""),2416.0)</f>
        <v>2416</v>
      </c>
    </row>
    <row r="2285">
      <c r="A2285" s="4">
        <f>IFERROR(__xludf.DUMMYFUNCTION("""COMPUTED_VALUE"""),44653.0)</f>
        <v>44653</v>
      </c>
      <c r="B2285" s="5">
        <f>IFERROR(__xludf.DUMMYFUNCTION("""COMPUTED_VALUE"""),1486.0)</f>
        <v>1486</v>
      </c>
      <c r="C2285" s="6">
        <f>IFERROR(__xludf.DUMMYFUNCTION("""COMPUTED_VALUE"""),0.4997)</f>
        <v>0.4997</v>
      </c>
      <c r="D2285" s="2">
        <f>IFERROR(__xludf.DUMMYFUNCTION("""COMPUTED_VALUE"""),0.0021180555555555558)</f>
        <v>0.002118055556</v>
      </c>
      <c r="E2285" s="1">
        <f>IFERROR(__xludf.DUMMYFUNCTION("""COMPUTED_VALUE"""),1.07)</f>
        <v>1.07</v>
      </c>
      <c r="F2285" s="1">
        <f>IFERROR(__xludf.DUMMYFUNCTION("""COMPUTED_VALUE"""),4.98)</f>
        <v>4.98</v>
      </c>
      <c r="G2285" s="5">
        <f>IFERROR(__xludf.DUMMYFUNCTION("""COMPUTED_VALUE"""),7887.0)</f>
        <v>7887</v>
      </c>
      <c r="H2285" s="5">
        <f>IFERROR(__xludf.DUMMYFUNCTION("""COMPUTED_VALUE"""),1583.0)</f>
        <v>1583</v>
      </c>
    </row>
    <row r="2286">
      <c r="A2286" s="4">
        <f>IFERROR(__xludf.DUMMYFUNCTION("""COMPUTED_VALUE"""),44654.0)</f>
        <v>44654</v>
      </c>
      <c r="B2286" s="5">
        <f>IFERROR(__xludf.DUMMYFUNCTION("""COMPUTED_VALUE"""),1597.0)</f>
        <v>1597</v>
      </c>
      <c r="C2286" s="6">
        <f>IFERROR(__xludf.DUMMYFUNCTION("""COMPUTED_VALUE"""),0.5394)</f>
        <v>0.5394</v>
      </c>
      <c r="D2286" s="2">
        <f>IFERROR(__xludf.DUMMYFUNCTION("""COMPUTED_VALUE"""),0.0024652777777777776)</f>
        <v>0.002465277778</v>
      </c>
      <c r="E2286" s="1">
        <f>IFERROR(__xludf.DUMMYFUNCTION("""COMPUTED_VALUE"""),1.1)</f>
        <v>1.1</v>
      </c>
      <c r="F2286" s="1">
        <f>IFERROR(__xludf.DUMMYFUNCTION("""COMPUTED_VALUE"""),4.79)</f>
        <v>4.79</v>
      </c>
      <c r="G2286" s="5">
        <f>IFERROR(__xludf.DUMMYFUNCTION("""COMPUTED_VALUE"""),8387.0)</f>
        <v>8387</v>
      </c>
      <c r="H2286" s="5">
        <f>IFERROR(__xludf.DUMMYFUNCTION("""COMPUTED_VALUE"""),1750.0)</f>
        <v>1750</v>
      </c>
    </row>
    <row r="2287">
      <c r="A2287" s="4">
        <f>IFERROR(__xludf.DUMMYFUNCTION("""COMPUTED_VALUE"""),44655.0)</f>
        <v>44655</v>
      </c>
      <c r="B2287" s="5">
        <f>IFERROR(__xludf.DUMMYFUNCTION("""COMPUTED_VALUE"""),2777.0)</f>
        <v>2777</v>
      </c>
      <c r="C2287" s="6">
        <f>IFERROR(__xludf.DUMMYFUNCTION("""COMPUTED_VALUE"""),0.4267)</f>
        <v>0.4267</v>
      </c>
      <c r="D2287" s="2">
        <f>IFERROR(__xludf.DUMMYFUNCTION("""COMPUTED_VALUE"""),0.00318287037037037)</f>
        <v>0.00318287037</v>
      </c>
      <c r="E2287" s="1">
        <f>IFERROR(__xludf.DUMMYFUNCTION("""COMPUTED_VALUE"""),1.12)</f>
        <v>1.12</v>
      </c>
      <c r="F2287" s="1">
        <f>IFERROR(__xludf.DUMMYFUNCTION("""COMPUTED_VALUE"""),6.19)</f>
        <v>6.19</v>
      </c>
      <c r="G2287" s="5">
        <f>IFERROR(__xludf.DUMMYFUNCTION("""COMPUTED_VALUE"""),19342.0)</f>
        <v>19342</v>
      </c>
      <c r="H2287" s="5">
        <f>IFERROR(__xludf.DUMMYFUNCTION("""COMPUTED_VALUE"""),3124.0)</f>
        <v>3124</v>
      </c>
    </row>
    <row r="2288">
      <c r="A2288" s="4">
        <f>IFERROR(__xludf.DUMMYFUNCTION("""COMPUTED_VALUE"""),44656.0)</f>
        <v>44656</v>
      </c>
      <c r="B2288" s="5">
        <f>IFERROR(__xludf.DUMMYFUNCTION("""COMPUTED_VALUE"""),2666.0)</f>
        <v>2666</v>
      </c>
      <c r="C2288" s="6">
        <f>IFERROR(__xludf.DUMMYFUNCTION("""COMPUTED_VALUE"""),0.448)</f>
        <v>0.448</v>
      </c>
      <c r="D2288" s="2">
        <f>IFERROR(__xludf.DUMMYFUNCTION("""COMPUTED_VALUE"""),0.002395833333333333)</f>
        <v>0.002395833333</v>
      </c>
      <c r="E2288" s="1">
        <f>IFERROR(__xludf.DUMMYFUNCTION("""COMPUTED_VALUE"""),1.15)</f>
        <v>1.15</v>
      </c>
      <c r="F2288" s="1">
        <f>IFERROR(__xludf.DUMMYFUNCTION("""COMPUTED_VALUE"""),5.15)</f>
        <v>5.15</v>
      </c>
      <c r="G2288" s="5">
        <f>IFERROR(__xludf.DUMMYFUNCTION("""COMPUTED_VALUE"""),15815.0)</f>
        <v>15815</v>
      </c>
      <c r="H2288" s="5">
        <f>IFERROR(__xludf.DUMMYFUNCTION("""COMPUTED_VALUE"""),3069.0)</f>
        <v>3069</v>
      </c>
    </row>
    <row r="2289">
      <c r="A2289" s="4">
        <f>IFERROR(__xludf.DUMMYFUNCTION("""COMPUTED_VALUE"""),44657.0)</f>
        <v>44657</v>
      </c>
      <c r="B2289" s="5">
        <f>IFERROR(__xludf.DUMMYFUNCTION("""COMPUTED_VALUE"""),6707.0)</f>
        <v>6707</v>
      </c>
      <c r="C2289" s="6">
        <f>IFERROR(__xludf.DUMMYFUNCTION("""COMPUTED_VALUE"""),0.3785)</f>
        <v>0.3785</v>
      </c>
      <c r="D2289" s="2">
        <f>IFERROR(__xludf.DUMMYFUNCTION("""COMPUTED_VALUE"""),0.0020717592592592593)</f>
        <v>0.002071759259</v>
      </c>
      <c r="E2289" s="1">
        <f>IFERROR(__xludf.DUMMYFUNCTION("""COMPUTED_VALUE"""),1.08)</f>
        <v>1.08</v>
      </c>
      <c r="F2289" s="1">
        <f>IFERROR(__xludf.DUMMYFUNCTION("""COMPUTED_VALUE"""),4.87)</f>
        <v>4.87</v>
      </c>
      <c r="G2289" s="5">
        <f>IFERROR(__xludf.DUMMYFUNCTION("""COMPUTED_VALUE"""),35366.0)</f>
        <v>35366</v>
      </c>
      <c r="H2289" s="5">
        <f>IFERROR(__xludf.DUMMYFUNCTION("""COMPUTED_VALUE"""),7262.0)</f>
        <v>7262</v>
      </c>
    </row>
    <row r="2290">
      <c r="A2290" s="4">
        <f>IFERROR(__xludf.DUMMYFUNCTION("""COMPUTED_VALUE"""),44658.0)</f>
        <v>44658</v>
      </c>
      <c r="B2290" s="5">
        <f>IFERROR(__xludf.DUMMYFUNCTION("""COMPUTED_VALUE"""),4957.0)</f>
        <v>4957</v>
      </c>
      <c r="C2290" s="6">
        <f>IFERROR(__xludf.DUMMYFUNCTION("""COMPUTED_VALUE"""),0.4652)</f>
        <v>0.4652</v>
      </c>
      <c r="D2290" s="2">
        <f>IFERROR(__xludf.DUMMYFUNCTION("""COMPUTED_VALUE"""),0.0017592592592592592)</f>
        <v>0.001759259259</v>
      </c>
      <c r="E2290" s="1">
        <f>IFERROR(__xludf.DUMMYFUNCTION("""COMPUTED_VALUE"""),1.13)</f>
        <v>1.13</v>
      </c>
      <c r="F2290" s="1">
        <f>IFERROR(__xludf.DUMMYFUNCTION("""COMPUTED_VALUE"""),4.54)</f>
        <v>4.54</v>
      </c>
      <c r="G2290" s="5">
        <f>IFERROR(__xludf.DUMMYFUNCTION("""COMPUTED_VALUE"""),25466.0)</f>
        <v>25466</v>
      </c>
      <c r="H2290" s="5">
        <f>IFERROR(__xludf.DUMMYFUNCTION("""COMPUTED_VALUE"""),5610.0)</f>
        <v>5610</v>
      </c>
    </row>
    <row r="2291">
      <c r="A2291" s="4">
        <f>IFERROR(__xludf.DUMMYFUNCTION("""COMPUTED_VALUE"""),44659.0)</f>
        <v>44659</v>
      </c>
      <c r="B2291" s="5">
        <f>IFERROR(__xludf.DUMMYFUNCTION("""COMPUTED_VALUE"""),3332.0)</f>
        <v>3332</v>
      </c>
      <c r="C2291" s="6">
        <f>IFERROR(__xludf.DUMMYFUNCTION("""COMPUTED_VALUE"""),0.461)</f>
        <v>0.461</v>
      </c>
      <c r="D2291" s="2">
        <f>IFERROR(__xludf.DUMMYFUNCTION("""COMPUTED_VALUE"""),0.0019444444444444444)</f>
        <v>0.001944444444</v>
      </c>
      <c r="E2291" s="1">
        <f>IFERROR(__xludf.DUMMYFUNCTION("""COMPUTED_VALUE"""),1.12)</f>
        <v>1.12</v>
      </c>
      <c r="F2291" s="1">
        <f>IFERROR(__xludf.DUMMYFUNCTION("""COMPUTED_VALUE"""),5.13)</f>
        <v>5.13</v>
      </c>
      <c r="G2291" s="5">
        <f>IFERROR(__xludf.DUMMYFUNCTION("""COMPUTED_VALUE"""),19148.0)</f>
        <v>19148</v>
      </c>
      <c r="H2291" s="5">
        <f>IFERROR(__xludf.DUMMYFUNCTION("""COMPUTED_VALUE"""),3735.0)</f>
        <v>3735</v>
      </c>
    </row>
    <row r="2292">
      <c r="A2292" s="4">
        <f>IFERROR(__xludf.DUMMYFUNCTION("""COMPUTED_VALUE"""),44660.0)</f>
        <v>44660</v>
      </c>
      <c r="B2292" s="5">
        <f>IFERROR(__xludf.DUMMYFUNCTION("""COMPUTED_VALUE"""),2305.0)</f>
        <v>2305</v>
      </c>
      <c r="C2292" s="6">
        <f>IFERROR(__xludf.DUMMYFUNCTION("""COMPUTED_VALUE"""),0.5162)</f>
        <v>0.5162</v>
      </c>
      <c r="D2292" s="2">
        <f>IFERROR(__xludf.DUMMYFUNCTION("""COMPUTED_VALUE"""),0.0016435185185185185)</f>
        <v>0.001643518519</v>
      </c>
      <c r="E2292" s="1">
        <f>IFERROR(__xludf.DUMMYFUNCTION("""COMPUTED_VALUE"""),1.11)</f>
        <v>1.11</v>
      </c>
      <c r="F2292" s="1">
        <f>IFERROR(__xludf.DUMMYFUNCTION("""COMPUTED_VALUE"""),3.29)</f>
        <v>3.29</v>
      </c>
      <c r="G2292" s="5">
        <f>IFERROR(__xludf.DUMMYFUNCTION("""COMPUTED_VALUE"""),8415.0)</f>
        <v>8415</v>
      </c>
      <c r="H2292" s="5">
        <f>IFERROR(__xludf.DUMMYFUNCTION("""COMPUTED_VALUE"""),2555.0)</f>
        <v>2555</v>
      </c>
    </row>
    <row r="2293">
      <c r="A2293" s="4">
        <f>IFERROR(__xludf.DUMMYFUNCTION("""COMPUTED_VALUE"""),44661.0)</f>
        <v>44661</v>
      </c>
      <c r="B2293" s="5">
        <f>IFERROR(__xludf.DUMMYFUNCTION("""COMPUTED_VALUE"""),2124.0)</f>
        <v>2124</v>
      </c>
      <c r="C2293" s="6">
        <f>IFERROR(__xludf.DUMMYFUNCTION("""COMPUTED_VALUE"""),0.4939)</f>
        <v>0.4939</v>
      </c>
      <c r="D2293" s="2">
        <f>IFERROR(__xludf.DUMMYFUNCTION("""COMPUTED_VALUE"""),0.0019212962962962964)</f>
        <v>0.001921296296</v>
      </c>
      <c r="E2293" s="1">
        <f>IFERROR(__xludf.DUMMYFUNCTION("""COMPUTED_VALUE"""),1.11)</f>
        <v>1.11</v>
      </c>
      <c r="F2293" s="1">
        <f>IFERROR(__xludf.DUMMYFUNCTION("""COMPUTED_VALUE"""),4.12)</f>
        <v>4.12</v>
      </c>
      <c r="G2293" s="5">
        <f>IFERROR(__xludf.DUMMYFUNCTION("""COMPUTED_VALUE"""),9734.0)</f>
        <v>9734</v>
      </c>
      <c r="H2293" s="5">
        <f>IFERROR(__xludf.DUMMYFUNCTION("""COMPUTED_VALUE"""),2361.0)</f>
        <v>2361</v>
      </c>
    </row>
    <row r="2294">
      <c r="A2294" s="4">
        <f>IFERROR(__xludf.DUMMYFUNCTION("""COMPUTED_VALUE"""),44662.0)</f>
        <v>44662</v>
      </c>
      <c r="B2294" s="5">
        <f>IFERROR(__xludf.DUMMYFUNCTION("""COMPUTED_VALUE"""),3263.0)</f>
        <v>3263</v>
      </c>
      <c r="C2294" s="6">
        <f>IFERROR(__xludf.DUMMYFUNCTION("""COMPUTED_VALUE"""),0.4886)</f>
        <v>0.4886</v>
      </c>
      <c r="D2294" s="2">
        <f>IFERROR(__xludf.DUMMYFUNCTION("""COMPUTED_VALUE"""),0.001979166666666667)</f>
        <v>0.001979166667</v>
      </c>
      <c r="E2294" s="1">
        <f>IFERROR(__xludf.DUMMYFUNCTION("""COMPUTED_VALUE"""),1.1)</f>
        <v>1.1</v>
      </c>
      <c r="F2294" s="1">
        <f>IFERROR(__xludf.DUMMYFUNCTION("""COMPUTED_VALUE"""),4.71)</f>
        <v>4.71</v>
      </c>
      <c r="G2294" s="5">
        <f>IFERROR(__xludf.DUMMYFUNCTION("""COMPUTED_VALUE"""),16871.0)</f>
        <v>16871</v>
      </c>
      <c r="H2294" s="5">
        <f>IFERROR(__xludf.DUMMYFUNCTION("""COMPUTED_VALUE"""),3582.0)</f>
        <v>3582</v>
      </c>
    </row>
    <row r="2295">
      <c r="A2295" s="4">
        <f>IFERROR(__xludf.DUMMYFUNCTION("""COMPUTED_VALUE"""),44663.0)</f>
        <v>44663</v>
      </c>
      <c r="B2295" s="5">
        <f>IFERROR(__xludf.DUMMYFUNCTION("""COMPUTED_VALUE"""),3138.0)</f>
        <v>3138</v>
      </c>
      <c r="C2295" s="6">
        <f>IFERROR(__xludf.DUMMYFUNCTION("""COMPUTED_VALUE"""),0.4023)</f>
        <v>0.4023</v>
      </c>
      <c r="D2295" s="2">
        <f>IFERROR(__xludf.DUMMYFUNCTION("""COMPUTED_VALUE"""),0.002025462962962963)</f>
        <v>0.002025462963</v>
      </c>
      <c r="E2295" s="1">
        <f>IFERROR(__xludf.DUMMYFUNCTION("""COMPUTED_VALUE"""),1.11)</f>
        <v>1.11</v>
      </c>
      <c r="F2295" s="1">
        <f>IFERROR(__xludf.DUMMYFUNCTION("""COMPUTED_VALUE"""),4.27)</f>
        <v>4.27</v>
      </c>
      <c r="G2295" s="5">
        <f>IFERROR(__xludf.DUMMYFUNCTION("""COMPUTED_VALUE"""),14885.0)</f>
        <v>14885</v>
      </c>
      <c r="H2295" s="5">
        <f>IFERROR(__xludf.DUMMYFUNCTION("""COMPUTED_VALUE"""),3485.0)</f>
        <v>3485</v>
      </c>
    </row>
    <row r="2296">
      <c r="A2296" s="4">
        <f>IFERROR(__xludf.DUMMYFUNCTION("""COMPUTED_VALUE"""),44664.0)</f>
        <v>44664</v>
      </c>
      <c r="B2296" s="5">
        <f>IFERROR(__xludf.DUMMYFUNCTION("""COMPUTED_VALUE"""),3027.0)</f>
        <v>3027</v>
      </c>
      <c r="C2296" s="6">
        <f>IFERROR(__xludf.DUMMYFUNCTION("""COMPUTED_VALUE"""),0.3982)</f>
        <v>0.3982</v>
      </c>
      <c r="D2296" s="2">
        <f>IFERROR(__xludf.DUMMYFUNCTION("""COMPUTED_VALUE"""),0.0020833333333333333)</f>
        <v>0.002083333333</v>
      </c>
      <c r="E2296" s="1">
        <f>IFERROR(__xludf.DUMMYFUNCTION("""COMPUTED_VALUE"""),1.08)</f>
        <v>1.08</v>
      </c>
      <c r="F2296" s="1">
        <f>IFERROR(__xludf.DUMMYFUNCTION("""COMPUTED_VALUE"""),5.09)</f>
        <v>5.09</v>
      </c>
      <c r="G2296" s="5">
        <f>IFERROR(__xludf.DUMMYFUNCTION("""COMPUTED_VALUE"""),16676.0)</f>
        <v>16676</v>
      </c>
      <c r="H2296" s="5">
        <f>IFERROR(__xludf.DUMMYFUNCTION("""COMPUTED_VALUE"""),3277.0)</f>
        <v>3277</v>
      </c>
    </row>
    <row r="2297">
      <c r="A2297" s="4">
        <f>IFERROR(__xludf.DUMMYFUNCTION("""COMPUTED_VALUE"""),44665.0)</f>
        <v>44665</v>
      </c>
      <c r="B2297" s="5">
        <f>IFERROR(__xludf.DUMMYFUNCTION("""COMPUTED_VALUE"""),2888.0)</f>
        <v>2888</v>
      </c>
      <c r="C2297" s="6">
        <f>IFERROR(__xludf.DUMMYFUNCTION("""COMPUTED_VALUE"""),0.466)</f>
        <v>0.466</v>
      </c>
      <c r="D2297" s="2">
        <f>IFERROR(__xludf.DUMMYFUNCTION("""COMPUTED_VALUE"""),0.0024305555555555556)</f>
        <v>0.002430555556</v>
      </c>
      <c r="E2297" s="1">
        <f>IFERROR(__xludf.DUMMYFUNCTION("""COMPUTED_VALUE"""),1.12)</f>
        <v>1.12</v>
      </c>
      <c r="F2297" s="1">
        <f>IFERROR(__xludf.DUMMYFUNCTION("""COMPUTED_VALUE"""),5.2)</f>
        <v>5.2</v>
      </c>
      <c r="G2297" s="5">
        <f>IFERROR(__xludf.DUMMYFUNCTION("""COMPUTED_VALUE"""),16885.0)</f>
        <v>16885</v>
      </c>
      <c r="H2297" s="5">
        <f>IFERROR(__xludf.DUMMYFUNCTION("""COMPUTED_VALUE"""),3249.0)</f>
        <v>3249</v>
      </c>
    </row>
    <row r="2298">
      <c r="A2298" s="4">
        <f>IFERROR(__xludf.DUMMYFUNCTION("""COMPUTED_VALUE"""),44666.0)</f>
        <v>44666</v>
      </c>
      <c r="B2298" s="5">
        <f>IFERROR(__xludf.DUMMYFUNCTION("""COMPUTED_VALUE"""),2569.0)</f>
        <v>2569</v>
      </c>
      <c r="C2298" s="6">
        <f>IFERROR(__xludf.DUMMYFUNCTION("""COMPUTED_VALUE"""),0.4122)</f>
        <v>0.4122</v>
      </c>
      <c r="D2298" s="2">
        <f>IFERROR(__xludf.DUMMYFUNCTION("""COMPUTED_VALUE"""),0.002002314814814815)</f>
        <v>0.002002314815</v>
      </c>
      <c r="E2298" s="1">
        <f>IFERROR(__xludf.DUMMYFUNCTION("""COMPUTED_VALUE"""),1.08)</f>
        <v>1.08</v>
      </c>
      <c r="F2298" s="1">
        <f>IFERROR(__xludf.DUMMYFUNCTION("""COMPUTED_VALUE"""),6.33)</f>
        <v>6.33</v>
      </c>
      <c r="G2298" s="5">
        <f>IFERROR(__xludf.DUMMYFUNCTION("""COMPUTED_VALUE"""),17496.0)</f>
        <v>17496</v>
      </c>
      <c r="H2298" s="5">
        <f>IFERROR(__xludf.DUMMYFUNCTION("""COMPUTED_VALUE"""),2763.0)</f>
        <v>2763</v>
      </c>
    </row>
    <row r="2299">
      <c r="A2299" s="4">
        <f>IFERROR(__xludf.DUMMYFUNCTION("""COMPUTED_VALUE"""),44667.0)</f>
        <v>44667</v>
      </c>
      <c r="B2299" s="5">
        <f>IFERROR(__xludf.DUMMYFUNCTION("""COMPUTED_VALUE"""),1763.0)</f>
        <v>1763</v>
      </c>
      <c r="C2299" s="6">
        <f>IFERROR(__xludf.DUMMYFUNCTION("""COMPUTED_VALUE"""),0.5371)</f>
        <v>0.5371</v>
      </c>
      <c r="D2299" s="2">
        <f>IFERROR(__xludf.DUMMYFUNCTION("""COMPUTED_VALUE"""),0.001724537037037037)</f>
        <v>0.001724537037</v>
      </c>
      <c r="E2299" s="1">
        <f>IFERROR(__xludf.DUMMYFUNCTION("""COMPUTED_VALUE"""),1.07)</f>
        <v>1.07</v>
      </c>
      <c r="F2299" s="1">
        <f>IFERROR(__xludf.DUMMYFUNCTION("""COMPUTED_VALUE"""),4.03)</f>
        <v>4.03</v>
      </c>
      <c r="G2299" s="5">
        <f>IFERROR(__xludf.DUMMYFUNCTION("""COMPUTED_VALUE"""),7609.0)</f>
        <v>7609</v>
      </c>
      <c r="H2299" s="5">
        <f>IFERROR(__xludf.DUMMYFUNCTION("""COMPUTED_VALUE"""),1888.0)</f>
        <v>1888</v>
      </c>
    </row>
    <row r="2300">
      <c r="A2300" s="4">
        <f>IFERROR(__xludf.DUMMYFUNCTION("""COMPUTED_VALUE"""),44668.0)</f>
        <v>44668</v>
      </c>
      <c r="B2300" s="5">
        <f>IFERROR(__xludf.DUMMYFUNCTION("""COMPUTED_VALUE"""),1611.0)</f>
        <v>1611</v>
      </c>
      <c r="C2300" s="6">
        <f>IFERROR(__xludf.DUMMYFUNCTION("""COMPUTED_VALUE"""),0.5807)</f>
        <v>0.5807</v>
      </c>
      <c r="D2300" s="2">
        <f>IFERROR(__xludf.DUMMYFUNCTION("""COMPUTED_VALUE"""),0.0014236111111111112)</f>
        <v>0.001423611111</v>
      </c>
      <c r="E2300" s="1">
        <f>IFERROR(__xludf.DUMMYFUNCTION("""COMPUTED_VALUE"""),1.07)</f>
        <v>1.07</v>
      </c>
      <c r="F2300" s="1">
        <f>IFERROR(__xludf.DUMMYFUNCTION("""COMPUTED_VALUE"""),3.5)</f>
        <v>3.5</v>
      </c>
      <c r="G2300" s="5">
        <f>IFERROR(__xludf.DUMMYFUNCTION("""COMPUTED_VALUE"""),6026.0)</f>
        <v>6026</v>
      </c>
      <c r="H2300" s="5">
        <f>IFERROR(__xludf.DUMMYFUNCTION("""COMPUTED_VALUE"""),1722.0)</f>
        <v>1722</v>
      </c>
    </row>
    <row r="2301">
      <c r="A2301" s="4">
        <f>IFERROR(__xludf.DUMMYFUNCTION("""COMPUTED_VALUE"""),44669.0)</f>
        <v>44669</v>
      </c>
      <c r="B2301" s="5">
        <f>IFERROR(__xludf.DUMMYFUNCTION("""COMPUTED_VALUE"""),2888.0)</f>
        <v>2888</v>
      </c>
      <c r="C2301" s="6">
        <f>IFERROR(__xludf.DUMMYFUNCTION("""COMPUTED_VALUE"""),0.4349)</f>
        <v>0.4349</v>
      </c>
      <c r="D2301" s="2">
        <f>IFERROR(__xludf.DUMMYFUNCTION("""COMPUTED_VALUE"""),0.002650462962962963)</f>
        <v>0.002650462963</v>
      </c>
      <c r="E2301" s="1">
        <f>IFERROR(__xludf.DUMMYFUNCTION("""COMPUTED_VALUE"""),1.11)</f>
        <v>1.11</v>
      </c>
      <c r="F2301" s="1">
        <f>IFERROR(__xludf.DUMMYFUNCTION("""COMPUTED_VALUE"""),5.82)</f>
        <v>5.82</v>
      </c>
      <c r="G2301" s="5">
        <f>IFERROR(__xludf.DUMMYFUNCTION("""COMPUTED_VALUE"""),18579.0)</f>
        <v>18579</v>
      </c>
      <c r="H2301" s="5">
        <f>IFERROR(__xludf.DUMMYFUNCTION("""COMPUTED_VALUE"""),3194.0)</f>
        <v>3194</v>
      </c>
    </row>
    <row r="2302">
      <c r="A2302" s="4">
        <f>IFERROR(__xludf.DUMMYFUNCTION("""COMPUTED_VALUE"""),44670.0)</f>
        <v>44670</v>
      </c>
      <c r="B2302" s="5">
        <f>IFERROR(__xludf.DUMMYFUNCTION("""COMPUTED_VALUE"""),3221.0)</f>
        <v>3221</v>
      </c>
      <c r="C2302" s="6">
        <f>IFERROR(__xludf.DUMMYFUNCTION("""COMPUTED_VALUE"""),0.4346)</f>
        <v>0.4346</v>
      </c>
      <c r="D2302" s="2">
        <f>IFERROR(__xludf.DUMMYFUNCTION("""COMPUTED_VALUE"""),0.0024189814814814816)</f>
        <v>0.002418981481</v>
      </c>
      <c r="E2302" s="1">
        <f>IFERROR(__xludf.DUMMYFUNCTION("""COMPUTED_VALUE"""),1.12)</f>
        <v>1.12</v>
      </c>
      <c r="F2302" s="1">
        <f>IFERROR(__xludf.DUMMYFUNCTION("""COMPUTED_VALUE"""),4.45)</f>
        <v>4.45</v>
      </c>
      <c r="G2302" s="5">
        <f>IFERROR(__xludf.DUMMYFUNCTION("""COMPUTED_VALUE"""),16051.0)</f>
        <v>16051</v>
      </c>
      <c r="H2302" s="5">
        <f>IFERROR(__xludf.DUMMYFUNCTION("""COMPUTED_VALUE"""),3610.0)</f>
        <v>3610</v>
      </c>
    </row>
    <row r="2303">
      <c r="A2303" s="4">
        <f>IFERROR(__xludf.DUMMYFUNCTION("""COMPUTED_VALUE"""),44671.0)</f>
        <v>44671</v>
      </c>
      <c r="B2303" s="5">
        <f>IFERROR(__xludf.DUMMYFUNCTION("""COMPUTED_VALUE"""),3166.0)</f>
        <v>3166</v>
      </c>
      <c r="C2303" s="6">
        <f>IFERROR(__xludf.DUMMYFUNCTION("""COMPUTED_VALUE"""),0.4942)</f>
        <v>0.4942</v>
      </c>
      <c r="D2303" s="2">
        <f>IFERROR(__xludf.DUMMYFUNCTION("""COMPUTED_VALUE"""),0.002488425925925926)</f>
        <v>0.002488425926</v>
      </c>
      <c r="E2303" s="1">
        <f>IFERROR(__xludf.DUMMYFUNCTION("""COMPUTED_VALUE"""),1.14)</f>
        <v>1.14</v>
      </c>
      <c r="F2303" s="1">
        <f>IFERROR(__xludf.DUMMYFUNCTION("""COMPUTED_VALUE"""),5.62)</f>
        <v>5.62</v>
      </c>
      <c r="G2303" s="5">
        <f>IFERROR(__xludf.DUMMYFUNCTION("""COMPUTED_VALUE"""),20217.0)</f>
        <v>20217</v>
      </c>
      <c r="H2303" s="5">
        <f>IFERROR(__xludf.DUMMYFUNCTION("""COMPUTED_VALUE"""),3596.0)</f>
        <v>3596</v>
      </c>
    </row>
    <row r="2304">
      <c r="A2304" s="4">
        <f>IFERROR(__xludf.DUMMYFUNCTION("""COMPUTED_VALUE"""),44672.0)</f>
        <v>44672</v>
      </c>
      <c r="B2304" s="5">
        <f>IFERROR(__xludf.DUMMYFUNCTION("""COMPUTED_VALUE"""),3152.0)</f>
        <v>3152</v>
      </c>
      <c r="C2304" s="6">
        <f>IFERROR(__xludf.DUMMYFUNCTION("""COMPUTED_VALUE"""),0.4269)</f>
        <v>0.4269</v>
      </c>
      <c r="D2304" s="2">
        <f>IFERROR(__xludf.DUMMYFUNCTION("""COMPUTED_VALUE"""),0.0028587962962962963)</f>
        <v>0.002858796296</v>
      </c>
      <c r="E2304" s="1">
        <f>IFERROR(__xludf.DUMMYFUNCTION("""COMPUTED_VALUE"""),1.15)</f>
        <v>1.15</v>
      </c>
      <c r="F2304" s="1">
        <f>IFERROR(__xludf.DUMMYFUNCTION("""COMPUTED_VALUE"""),5.59)</f>
        <v>5.59</v>
      </c>
      <c r="G2304" s="5">
        <f>IFERROR(__xludf.DUMMYFUNCTION("""COMPUTED_VALUE"""),20162.0)</f>
        <v>20162</v>
      </c>
      <c r="H2304" s="5">
        <f>IFERROR(__xludf.DUMMYFUNCTION("""COMPUTED_VALUE"""),3610.0)</f>
        <v>3610</v>
      </c>
    </row>
    <row r="2305">
      <c r="A2305" s="4">
        <f>IFERROR(__xludf.DUMMYFUNCTION("""COMPUTED_VALUE"""),44673.0)</f>
        <v>44673</v>
      </c>
      <c r="B2305" s="5">
        <f>IFERROR(__xludf.DUMMYFUNCTION("""COMPUTED_VALUE"""),2624.0)</f>
        <v>2624</v>
      </c>
      <c r="C2305" s="6">
        <f>IFERROR(__xludf.DUMMYFUNCTION("""COMPUTED_VALUE"""),0.4854)</f>
        <v>0.4854</v>
      </c>
      <c r="D2305" s="2">
        <f>IFERROR(__xludf.DUMMYFUNCTION("""COMPUTED_VALUE"""),0.002349537037037037)</f>
        <v>0.002349537037</v>
      </c>
      <c r="E2305" s="1">
        <f>IFERROR(__xludf.DUMMYFUNCTION("""COMPUTED_VALUE"""),1.08)</f>
        <v>1.08</v>
      </c>
      <c r="F2305" s="1">
        <f>IFERROR(__xludf.DUMMYFUNCTION("""COMPUTED_VALUE"""),4.51)</f>
        <v>4.51</v>
      </c>
      <c r="G2305" s="5">
        <f>IFERROR(__xludf.DUMMYFUNCTION("""COMPUTED_VALUE"""),12775.0)</f>
        <v>12775</v>
      </c>
      <c r="H2305" s="5">
        <f>IFERROR(__xludf.DUMMYFUNCTION("""COMPUTED_VALUE"""),2833.0)</f>
        <v>2833</v>
      </c>
    </row>
    <row r="2306">
      <c r="A2306" s="4">
        <f>IFERROR(__xludf.DUMMYFUNCTION("""COMPUTED_VALUE"""),44674.0)</f>
        <v>44674</v>
      </c>
      <c r="B2306" s="5">
        <f>IFERROR(__xludf.DUMMYFUNCTION("""COMPUTED_VALUE"""),1666.0)</f>
        <v>1666</v>
      </c>
      <c r="C2306" s="6">
        <f>IFERROR(__xludf.DUMMYFUNCTION("""COMPUTED_VALUE"""),0.4651)</f>
        <v>0.4651</v>
      </c>
      <c r="D2306" s="2">
        <f>IFERROR(__xludf.DUMMYFUNCTION("""COMPUTED_VALUE"""),0.0011921296296296296)</f>
        <v>0.00119212963</v>
      </c>
      <c r="E2306" s="1">
        <f>IFERROR(__xludf.DUMMYFUNCTION("""COMPUTED_VALUE"""),1.08)</f>
        <v>1.08</v>
      </c>
      <c r="F2306" s="1">
        <f>IFERROR(__xludf.DUMMYFUNCTION("""COMPUTED_VALUE"""),3.47)</f>
        <v>3.47</v>
      </c>
      <c r="G2306" s="5">
        <f>IFERROR(__xludf.DUMMYFUNCTION("""COMPUTED_VALUE"""),6221.0)</f>
        <v>6221</v>
      </c>
      <c r="H2306" s="5">
        <f>IFERROR(__xludf.DUMMYFUNCTION("""COMPUTED_VALUE"""),1791.0)</f>
        <v>1791</v>
      </c>
    </row>
    <row r="2307">
      <c r="A2307" s="4">
        <f>IFERROR(__xludf.DUMMYFUNCTION("""COMPUTED_VALUE"""),44675.0)</f>
        <v>44675</v>
      </c>
      <c r="B2307" s="5">
        <f>IFERROR(__xludf.DUMMYFUNCTION("""COMPUTED_VALUE"""),1833.0)</f>
        <v>1833</v>
      </c>
      <c r="C2307" s="6">
        <f>IFERROR(__xludf.DUMMYFUNCTION("""COMPUTED_VALUE"""),0.6124)</f>
        <v>0.6124</v>
      </c>
      <c r="D2307" s="2">
        <f>IFERROR(__xludf.DUMMYFUNCTION("""COMPUTED_VALUE"""),0.0013194444444444445)</f>
        <v>0.001319444444</v>
      </c>
      <c r="E2307" s="1">
        <f>IFERROR(__xludf.DUMMYFUNCTION("""COMPUTED_VALUE"""),1.11)</f>
        <v>1.11</v>
      </c>
      <c r="F2307" s="1">
        <f>IFERROR(__xludf.DUMMYFUNCTION("""COMPUTED_VALUE"""),2.71)</f>
        <v>2.71</v>
      </c>
      <c r="G2307" s="5">
        <f>IFERROR(__xludf.DUMMYFUNCTION("""COMPUTED_VALUE"""),5540.0)</f>
        <v>5540</v>
      </c>
      <c r="H2307" s="5">
        <f>IFERROR(__xludf.DUMMYFUNCTION("""COMPUTED_VALUE"""),2041.0)</f>
        <v>2041</v>
      </c>
    </row>
    <row r="2308">
      <c r="A2308" s="4">
        <f>IFERROR(__xludf.DUMMYFUNCTION("""COMPUTED_VALUE"""),44676.0)</f>
        <v>44676</v>
      </c>
      <c r="B2308" s="5">
        <f>IFERROR(__xludf.DUMMYFUNCTION("""COMPUTED_VALUE"""),3166.0)</f>
        <v>3166</v>
      </c>
      <c r="C2308" s="6">
        <f>IFERROR(__xludf.DUMMYFUNCTION("""COMPUTED_VALUE"""),0.4128)</f>
        <v>0.4128</v>
      </c>
      <c r="D2308" s="2">
        <f>IFERROR(__xludf.DUMMYFUNCTION("""COMPUTED_VALUE"""),0.002199074074074074)</f>
        <v>0.002199074074</v>
      </c>
      <c r="E2308" s="1">
        <f>IFERROR(__xludf.DUMMYFUNCTION("""COMPUTED_VALUE"""),1.08)</f>
        <v>1.08</v>
      </c>
      <c r="F2308" s="1">
        <f>IFERROR(__xludf.DUMMYFUNCTION("""COMPUTED_VALUE"""),5.38)</f>
        <v>5.38</v>
      </c>
      <c r="G2308" s="5">
        <f>IFERROR(__xludf.DUMMYFUNCTION("""COMPUTED_VALUE"""),18468.0)</f>
        <v>18468</v>
      </c>
      <c r="H2308" s="5">
        <f>IFERROR(__xludf.DUMMYFUNCTION("""COMPUTED_VALUE"""),3430.0)</f>
        <v>3430</v>
      </c>
    </row>
    <row r="2309">
      <c r="A2309" s="4">
        <f>IFERROR(__xludf.DUMMYFUNCTION("""COMPUTED_VALUE"""),44677.0)</f>
        <v>44677</v>
      </c>
      <c r="B2309" s="5">
        <f>IFERROR(__xludf.DUMMYFUNCTION("""COMPUTED_VALUE"""),3083.0)</f>
        <v>3083</v>
      </c>
      <c r="C2309" s="6">
        <f>IFERROR(__xludf.DUMMYFUNCTION("""COMPUTED_VALUE"""),0.5461)</f>
        <v>0.5461</v>
      </c>
      <c r="D2309" s="2">
        <f>IFERROR(__xludf.DUMMYFUNCTION("""COMPUTED_VALUE"""),0.0021759259259259258)</f>
        <v>0.002175925926</v>
      </c>
      <c r="E2309" s="1">
        <f>IFERROR(__xludf.DUMMYFUNCTION("""COMPUTED_VALUE"""),1.12)</f>
        <v>1.12</v>
      </c>
      <c r="F2309" s="1">
        <f>IFERROR(__xludf.DUMMYFUNCTION("""COMPUTED_VALUE"""),3.93)</f>
        <v>3.93</v>
      </c>
      <c r="G2309" s="5">
        <f>IFERROR(__xludf.DUMMYFUNCTION("""COMPUTED_VALUE"""),13580.0)</f>
        <v>13580</v>
      </c>
      <c r="H2309" s="5">
        <f>IFERROR(__xludf.DUMMYFUNCTION("""COMPUTED_VALUE"""),3457.0)</f>
        <v>3457</v>
      </c>
    </row>
    <row r="2310">
      <c r="A2310" s="4">
        <f>IFERROR(__xludf.DUMMYFUNCTION("""COMPUTED_VALUE"""),44678.0)</f>
        <v>44678</v>
      </c>
      <c r="B2310" s="5">
        <f>IFERROR(__xludf.DUMMYFUNCTION("""COMPUTED_VALUE"""),3138.0)</f>
        <v>3138</v>
      </c>
      <c r="C2310" s="6">
        <f>IFERROR(__xludf.DUMMYFUNCTION("""COMPUTED_VALUE"""),0.4707)</f>
        <v>0.4707</v>
      </c>
      <c r="D2310" s="2">
        <f>IFERROR(__xludf.DUMMYFUNCTION("""COMPUTED_VALUE"""),0.0022337962962962962)</f>
        <v>0.002233796296</v>
      </c>
      <c r="E2310" s="1">
        <f>IFERROR(__xludf.DUMMYFUNCTION("""COMPUTED_VALUE"""),1.14)</f>
        <v>1.14</v>
      </c>
      <c r="F2310" s="1">
        <f>IFERROR(__xludf.DUMMYFUNCTION("""COMPUTED_VALUE"""),4.73)</f>
        <v>4.73</v>
      </c>
      <c r="G2310" s="5">
        <f>IFERROR(__xludf.DUMMYFUNCTION("""COMPUTED_VALUE"""),16899.0)</f>
        <v>16899</v>
      </c>
      <c r="H2310" s="5">
        <f>IFERROR(__xludf.DUMMYFUNCTION("""COMPUTED_VALUE"""),3569.0)</f>
        <v>3569</v>
      </c>
    </row>
    <row r="2311">
      <c r="A2311" s="4">
        <f>IFERROR(__xludf.DUMMYFUNCTION("""COMPUTED_VALUE"""),44679.0)</f>
        <v>44679</v>
      </c>
      <c r="B2311" s="5">
        <f>IFERROR(__xludf.DUMMYFUNCTION("""COMPUTED_VALUE"""),3110.0)</f>
        <v>3110</v>
      </c>
      <c r="C2311" s="6">
        <f>IFERROR(__xludf.DUMMYFUNCTION("""COMPUTED_VALUE"""),0.438)</f>
        <v>0.438</v>
      </c>
      <c r="D2311" s="2">
        <f>IFERROR(__xludf.DUMMYFUNCTION("""COMPUTED_VALUE"""),0.0029861111111111113)</f>
        <v>0.002986111111</v>
      </c>
      <c r="E2311" s="1">
        <f>IFERROR(__xludf.DUMMYFUNCTION("""COMPUTED_VALUE"""),1.11)</f>
        <v>1.11</v>
      </c>
      <c r="F2311" s="1">
        <f>IFERROR(__xludf.DUMMYFUNCTION("""COMPUTED_VALUE"""),5.63)</f>
        <v>5.63</v>
      </c>
      <c r="G2311" s="5">
        <f>IFERROR(__xludf.DUMMYFUNCTION("""COMPUTED_VALUE"""),19467.0)</f>
        <v>19467</v>
      </c>
      <c r="H2311" s="5">
        <f>IFERROR(__xludf.DUMMYFUNCTION("""COMPUTED_VALUE"""),3457.0)</f>
        <v>3457</v>
      </c>
    </row>
    <row r="2312">
      <c r="A2312" s="4">
        <f>IFERROR(__xludf.DUMMYFUNCTION("""COMPUTED_VALUE"""),44680.0)</f>
        <v>44680</v>
      </c>
      <c r="B2312" s="5">
        <f>IFERROR(__xludf.DUMMYFUNCTION("""COMPUTED_VALUE"""),2597.0)</f>
        <v>2597</v>
      </c>
      <c r="C2312" s="6">
        <f>IFERROR(__xludf.DUMMYFUNCTION("""COMPUTED_VALUE"""),0.4528)</f>
        <v>0.4528</v>
      </c>
      <c r="D2312" s="2">
        <f>IFERROR(__xludf.DUMMYFUNCTION("""COMPUTED_VALUE"""),0.002384259259259259)</f>
        <v>0.002384259259</v>
      </c>
      <c r="E2312" s="1">
        <f>IFERROR(__xludf.DUMMYFUNCTION("""COMPUTED_VALUE"""),1.13)</f>
        <v>1.13</v>
      </c>
      <c r="F2312" s="1">
        <f>IFERROR(__xludf.DUMMYFUNCTION("""COMPUTED_VALUE"""),5.65)</f>
        <v>5.65</v>
      </c>
      <c r="G2312" s="5">
        <f>IFERROR(__xludf.DUMMYFUNCTION("""COMPUTED_VALUE"""),16621.0)</f>
        <v>16621</v>
      </c>
      <c r="H2312" s="5">
        <f>IFERROR(__xludf.DUMMYFUNCTION("""COMPUTED_VALUE"""),2944.0)</f>
        <v>2944</v>
      </c>
    </row>
    <row r="2313">
      <c r="A2313" s="4">
        <f>IFERROR(__xludf.DUMMYFUNCTION("""COMPUTED_VALUE"""),44681.0)</f>
        <v>44681</v>
      </c>
      <c r="B2313" s="5">
        <f>IFERROR(__xludf.DUMMYFUNCTION("""COMPUTED_VALUE"""),1694.0)</f>
        <v>1694</v>
      </c>
      <c r="C2313" s="6">
        <f>IFERROR(__xludf.DUMMYFUNCTION("""COMPUTED_VALUE"""),0.4748)</f>
        <v>0.4748</v>
      </c>
      <c r="D2313" s="2">
        <f>IFERROR(__xludf.DUMMYFUNCTION("""COMPUTED_VALUE"""),0.002372685185185185)</f>
        <v>0.002372685185</v>
      </c>
      <c r="E2313" s="1">
        <f>IFERROR(__xludf.DUMMYFUNCTION("""COMPUTED_VALUE"""),1.12)</f>
        <v>1.12</v>
      </c>
      <c r="F2313" s="1">
        <f>IFERROR(__xludf.DUMMYFUNCTION("""COMPUTED_VALUE"""),4.02)</f>
        <v>4.02</v>
      </c>
      <c r="G2313" s="5">
        <f>IFERROR(__xludf.DUMMYFUNCTION("""COMPUTED_VALUE"""),7637.0)</f>
        <v>7637</v>
      </c>
      <c r="H2313" s="5">
        <f>IFERROR(__xludf.DUMMYFUNCTION("""COMPUTED_VALUE"""),1902.0)</f>
        <v>1902</v>
      </c>
    </row>
    <row r="2314">
      <c r="A2314" s="4">
        <f>IFERROR(__xludf.DUMMYFUNCTION("""COMPUTED_VALUE"""),44682.0)</f>
        <v>44682</v>
      </c>
      <c r="B2314" s="5">
        <f>IFERROR(__xludf.DUMMYFUNCTION("""COMPUTED_VALUE"""),1597.0)</f>
        <v>1597</v>
      </c>
      <c r="C2314" s="6">
        <f>IFERROR(__xludf.DUMMYFUNCTION("""COMPUTED_VALUE"""),0.5434)</f>
        <v>0.5434</v>
      </c>
      <c r="D2314" s="2">
        <f>IFERROR(__xludf.DUMMYFUNCTION("""COMPUTED_VALUE"""),0.0014930555555555556)</f>
        <v>0.001493055556</v>
      </c>
      <c r="E2314" s="1">
        <f>IFERROR(__xludf.DUMMYFUNCTION("""COMPUTED_VALUE"""),1.1)</f>
        <v>1.1</v>
      </c>
      <c r="F2314" s="1">
        <f>IFERROR(__xludf.DUMMYFUNCTION("""COMPUTED_VALUE"""),4.69)</f>
        <v>4.69</v>
      </c>
      <c r="G2314" s="5">
        <f>IFERROR(__xludf.DUMMYFUNCTION("""COMPUTED_VALUE"""),8276.0)</f>
        <v>8276</v>
      </c>
      <c r="H2314" s="5">
        <f>IFERROR(__xludf.DUMMYFUNCTION("""COMPUTED_VALUE"""),1763.0)</f>
        <v>1763</v>
      </c>
    </row>
    <row r="2315">
      <c r="A2315" s="4">
        <f>IFERROR(__xludf.DUMMYFUNCTION("""COMPUTED_VALUE"""),44683.0)</f>
        <v>44683</v>
      </c>
      <c r="B2315" s="5">
        <f>IFERROR(__xludf.DUMMYFUNCTION("""COMPUTED_VALUE"""),2652.0)</f>
        <v>2652</v>
      </c>
      <c r="C2315" s="6">
        <f>IFERROR(__xludf.DUMMYFUNCTION("""COMPUTED_VALUE"""),0.5204)</f>
        <v>0.5204</v>
      </c>
      <c r="D2315" s="2">
        <f>IFERROR(__xludf.DUMMYFUNCTION("""COMPUTED_VALUE"""),0.001863425925925926)</f>
        <v>0.001863425926</v>
      </c>
      <c r="E2315" s="1">
        <f>IFERROR(__xludf.DUMMYFUNCTION("""COMPUTED_VALUE"""),1.16)</f>
        <v>1.16</v>
      </c>
      <c r="F2315" s="1">
        <f>IFERROR(__xludf.DUMMYFUNCTION("""COMPUTED_VALUE"""),4.28)</f>
        <v>4.28</v>
      </c>
      <c r="G2315" s="5">
        <f>IFERROR(__xludf.DUMMYFUNCTION("""COMPUTED_VALUE"""),13136.0)</f>
        <v>13136</v>
      </c>
      <c r="H2315" s="5">
        <f>IFERROR(__xludf.DUMMYFUNCTION("""COMPUTED_VALUE"""),3069.0)</f>
        <v>3069</v>
      </c>
    </row>
    <row r="2316">
      <c r="A2316" s="4">
        <f>IFERROR(__xludf.DUMMYFUNCTION("""COMPUTED_VALUE"""),44684.0)</f>
        <v>44684</v>
      </c>
      <c r="B2316" s="5">
        <f>IFERROR(__xludf.DUMMYFUNCTION("""COMPUTED_VALUE"""),2916.0)</f>
        <v>2916</v>
      </c>
      <c r="C2316" s="6">
        <f>IFERROR(__xludf.DUMMYFUNCTION("""COMPUTED_VALUE"""),0.3601)</f>
        <v>0.3601</v>
      </c>
      <c r="D2316" s="2">
        <f>IFERROR(__xludf.DUMMYFUNCTION("""COMPUTED_VALUE"""),0.0022453703703703702)</f>
        <v>0.00224537037</v>
      </c>
      <c r="E2316" s="1">
        <f>IFERROR(__xludf.DUMMYFUNCTION("""COMPUTED_VALUE"""),1.12)</f>
        <v>1.12</v>
      </c>
      <c r="F2316" s="1">
        <f>IFERROR(__xludf.DUMMYFUNCTION("""COMPUTED_VALUE"""),4.78)</f>
        <v>4.78</v>
      </c>
      <c r="G2316" s="5">
        <f>IFERROR(__xludf.DUMMYFUNCTION("""COMPUTED_VALUE"""),15677.0)</f>
        <v>15677</v>
      </c>
      <c r="H2316" s="5">
        <f>IFERROR(__xludf.DUMMYFUNCTION("""COMPUTED_VALUE"""),3277.0)</f>
        <v>3277</v>
      </c>
    </row>
    <row r="2317">
      <c r="A2317" s="4">
        <f>IFERROR(__xludf.DUMMYFUNCTION("""COMPUTED_VALUE"""),44685.0)</f>
        <v>44685</v>
      </c>
      <c r="B2317" s="5">
        <f>IFERROR(__xludf.DUMMYFUNCTION("""COMPUTED_VALUE"""),3013.0)</f>
        <v>3013</v>
      </c>
      <c r="C2317" s="6">
        <f>IFERROR(__xludf.DUMMYFUNCTION("""COMPUTED_VALUE"""),0.4702)</f>
        <v>0.4702</v>
      </c>
      <c r="D2317" s="2">
        <f>IFERROR(__xludf.DUMMYFUNCTION("""COMPUTED_VALUE"""),0.002476851851851852)</f>
        <v>0.002476851852</v>
      </c>
      <c r="E2317" s="1">
        <f>IFERROR(__xludf.DUMMYFUNCTION("""COMPUTED_VALUE"""),1.09)</f>
        <v>1.09</v>
      </c>
      <c r="F2317" s="1">
        <f>IFERROR(__xludf.DUMMYFUNCTION("""COMPUTED_VALUE"""),4.31)</f>
        <v>4.31</v>
      </c>
      <c r="G2317" s="5">
        <f>IFERROR(__xludf.DUMMYFUNCTION("""COMPUTED_VALUE"""),14108.0)</f>
        <v>14108</v>
      </c>
      <c r="H2317" s="5">
        <f>IFERROR(__xludf.DUMMYFUNCTION("""COMPUTED_VALUE"""),3277.0)</f>
        <v>3277</v>
      </c>
    </row>
    <row r="2318">
      <c r="A2318" s="4">
        <f>IFERROR(__xludf.DUMMYFUNCTION("""COMPUTED_VALUE"""),44686.0)</f>
        <v>44686</v>
      </c>
      <c r="B2318" s="5">
        <f>IFERROR(__xludf.DUMMYFUNCTION("""COMPUTED_VALUE"""),2971.0)</f>
        <v>2971</v>
      </c>
      <c r="C2318" s="6">
        <f>IFERROR(__xludf.DUMMYFUNCTION("""COMPUTED_VALUE"""),0.4396)</f>
        <v>0.4396</v>
      </c>
      <c r="D2318" s="2">
        <f>IFERROR(__xludf.DUMMYFUNCTION("""COMPUTED_VALUE"""),0.002337962962962963)</f>
        <v>0.002337962963</v>
      </c>
      <c r="E2318" s="1">
        <f>IFERROR(__xludf.DUMMYFUNCTION("""COMPUTED_VALUE"""),1.16)</f>
        <v>1.16</v>
      </c>
      <c r="F2318" s="1">
        <f>IFERROR(__xludf.DUMMYFUNCTION("""COMPUTED_VALUE"""),4.62)</f>
        <v>4.62</v>
      </c>
      <c r="G2318" s="5">
        <f>IFERROR(__xludf.DUMMYFUNCTION("""COMPUTED_VALUE"""),15927.0)</f>
        <v>15927</v>
      </c>
      <c r="H2318" s="5">
        <f>IFERROR(__xludf.DUMMYFUNCTION("""COMPUTED_VALUE"""),3444.0)</f>
        <v>3444</v>
      </c>
    </row>
    <row r="2319">
      <c r="A2319" s="4">
        <f>IFERROR(__xludf.DUMMYFUNCTION("""COMPUTED_VALUE"""),44687.0)</f>
        <v>44687</v>
      </c>
      <c r="B2319" s="5">
        <f>IFERROR(__xludf.DUMMYFUNCTION("""COMPUTED_VALUE"""),3999.0)</f>
        <v>3999</v>
      </c>
      <c r="C2319" s="6">
        <f>IFERROR(__xludf.DUMMYFUNCTION("""COMPUTED_VALUE"""),0.6194)</f>
        <v>0.6194</v>
      </c>
      <c r="D2319" s="2">
        <f>IFERROR(__xludf.DUMMYFUNCTION("""COMPUTED_VALUE"""),0.0016435185185185185)</f>
        <v>0.001643518519</v>
      </c>
      <c r="E2319" s="1">
        <f>IFERROR(__xludf.DUMMYFUNCTION("""COMPUTED_VALUE"""),1.08)</f>
        <v>1.08</v>
      </c>
      <c r="F2319" s="1">
        <f>IFERROR(__xludf.DUMMYFUNCTION("""COMPUTED_VALUE"""),4.29)</f>
        <v>4.29</v>
      </c>
      <c r="G2319" s="5">
        <f>IFERROR(__xludf.DUMMYFUNCTION("""COMPUTED_VALUE"""),18468.0)</f>
        <v>18468</v>
      </c>
      <c r="H2319" s="5">
        <f>IFERROR(__xludf.DUMMYFUNCTION("""COMPUTED_VALUE"""),4304.0)</f>
        <v>4304</v>
      </c>
    </row>
    <row r="2320">
      <c r="A2320" s="4">
        <f>IFERROR(__xludf.DUMMYFUNCTION("""COMPUTED_VALUE"""),44688.0)</f>
        <v>44688</v>
      </c>
      <c r="B2320" s="5">
        <f>IFERROR(__xludf.DUMMYFUNCTION("""COMPUTED_VALUE"""),3332.0)</f>
        <v>3332</v>
      </c>
      <c r="C2320" s="6">
        <f>IFERROR(__xludf.DUMMYFUNCTION("""COMPUTED_VALUE"""),0.7337)</f>
        <v>0.7337</v>
      </c>
      <c r="D2320" s="2">
        <f>IFERROR(__xludf.DUMMYFUNCTION("""COMPUTED_VALUE"""),0.0012152777777777778)</f>
        <v>0.001215277778</v>
      </c>
      <c r="E2320" s="1">
        <f>IFERROR(__xludf.DUMMYFUNCTION("""COMPUTED_VALUE"""),1.03)</f>
        <v>1.03</v>
      </c>
      <c r="F2320" s="1">
        <f>IFERROR(__xludf.DUMMYFUNCTION("""COMPUTED_VALUE"""),3.01)</f>
        <v>3.01</v>
      </c>
      <c r="G2320" s="5">
        <f>IFERROR(__xludf.DUMMYFUNCTION("""COMPUTED_VALUE"""),10372.0)</f>
        <v>10372</v>
      </c>
      <c r="H2320" s="5">
        <f>IFERROR(__xludf.DUMMYFUNCTION("""COMPUTED_VALUE"""),3444.0)</f>
        <v>3444</v>
      </c>
    </row>
    <row r="2321">
      <c r="A2321" s="4">
        <f>IFERROR(__xludf.DUMMYFUNCTION("""COMPUTED_VALUE"""),44689.0)</f>
        <v>44689</v>
      </c>
      <c r="B2321" s="5">
        <f>IFERROR(__xludf.DUMMYFUNCTION("""COMPUTED_VALUE"""),2013.0)</f>
        <v>2013</v>
      </c>
      <c r="C2321" s="6">
        <f>IFERROR(__xludf.DUMMYFUNCTION("""COMPUTED_VALUE"""),0.562)</f>
        <v>0.562</v>
      </c>
      <c r="D2321" s="2">
        <f>IFERROR(__xludf.DUMMYFUNCTION("""COMPUTED_VALUE"""),0.0020717592592592593)</f>
        <v>0.002071759259</v>
      </c>
      <c r="E2321" s="1">
        <f>IFERROR(__xludf.DUMMYFUNCTION("""COMPUTED_VALUE"""),1.12)</f>
        <v>1.12</v>
      </c>
      <c r="F2321" s="1">
        <f>IFERROR(__xludf.DUMMYFUNCTION("""COMPUTED_VALUE"""),4.23)</f>
        <v>4.23</v>
      </c>
      <c r="G2321" s="5">
        <f>IFERROR(__xludf.DUMMYFUNCTION("""COMPUTED_VALUE"""),9511.0)</f>
        <v>9511</v>
      </c>
      <c r="H2321" s="5">
        <f>IFERROR(__xludf.DUMMYFUNCTION("""COMPUTED_VALUE"""),2249.0)</f>
        <v>2249</v>
      </c>
    </row>
    <row r="2322">
      <c r="A2322" s="4">
        <f>IFERROR(__xludf.DUMMYFUNCTION("""COMPUTED_VALUE"""),44690.0)</f>
        <v>44690</v>
      </c>
      <c r="B2322" s="5">
        <f>IFERROR(__xludf.DUMMYFUNCTION("""COMPUTED_VALUE"""),3027.0)</f>
        <v>3027</v>
      </c>
      <c r="C2322" s="6">
        <f>IFERROR(__xludf.DUMMYFUNCTION("""COMPUTED_VALUE"""),0.4564)</f>
        <v>0.4564</v>
      </c>
      <c r="D2322" s="2">
        <f>IFERROR(__xludf.DUMMYFUNCTION("""COMPUTED_VALUE"""),0.0019328703703703704)</f>
        <v>0.00193287037</v>
      </c>
      <c r="E2322" s="1">
        <f>IFERROR(__xludf.DUMMYFUNCTION("""COMPUTED_VALUE"""),1.11)</f>
        <v>1.11</v>
      </c>
      <c r="F2322" s="1">
        <f>IFERROR(__xludf.DUMMYFUNCTION("""COMPUTED_VALUE"""),4.61)</f>
        <v>4.61</v>
      </c>
      <c r="G2322" s="5">
        <f>IFERROR(__xludf.DUMMYFUNCTION("""COMPUTED_VALUE"""),15413.0)</f>
        <v>15413</v>
      </c>
      <c r="H2322" s="5">
        <f>IFERROR(__xludf.DUMMYFUNCTION("""COMPUTED_VALUE"""),3346.0)</f>
        <v>3346</v>
      </c>
    </row>
    <row r="2323">
      <c r="A2323" s="4">
        <f>IFERROR(__xludf.DUMMYFUNCTION("""COMPUTED_VALUE"""),44691.0)</f>
        <v>44691</v>
      </c>
      <c r="B2323" s="5">
        <f>IFERROR(__xludf.DUMMYFUNCTION("""COMPUTED_VALUE"""),3388.0)</f>
        <v>3388</v>
      </c>
      <c r="C2323" s="6">
        <f>IFERROR(__xludf.DUMMYFUNCTION("""COMPUTED_VALUE"""),0.4472)</f>
        <v>0.4472</v>
      </c>
      <c r="D2323" s="2">
        <f>IFERROR(__xludf.DUMMYFUNCTION("""COMPUTED_VALUE"""),0.002361111111111111)</f>
        <v>0.002361111111</v>
      </c>
      <c r="E2323" s="1">
        <f>IFERROR(__xludf.DUMMYFUNCTION("""COMPUTED_VALUE"""),1.09)</f>
        <v>1.09</v>
      </c>
      <c r="F2323" s="1">
        <f>IFERROR(__xludf.DUMMYFUNCTION("""COMPUTED_VALUE"""),5.36)</f>
        <v>5.36</v>
      </c>
      <c r="G2323" s="5">
        <f>IFERROR(__xludf.DUMMYFUNCTION("""COMPUTED_VALUE"""),19801.0)</f>
        <v>19801</v>
      </c>
      <c r="H2323" s="5">
        <f>IFERROR(__xludf.DUMMYFUNCTION("""COMPUTED_VALUE"""),3694.0)</f>
        <v>3694</v>
      </c>
    </row>
    <row r="2324">
      <c r="A2324" s="4">
        <f>IFERROR(__xludf.DUMMYFUNCTION("""COMPUTED_VALUE"""),44692.0)</f>
        <v>44692</v>
      </c>
      <c r="B2324" s="5">
        <f>IFERROR(__xludf.DUMMYFUNCTION("""COMPUTED_VALUE"""),3832.0)</f>
        <v>3832</v>
      </c>
      <c r="C2324" s="6">
        <f>IFERROR(__xludf.DUMMYFUNCTION("""COMPUTED_VALUE"""),0.5276)</f>
        <v>0.5276</v>
      </c>
      <c r="D2324" s="2">
        <f>IFERROR(__xludf.DUMMYFUNCTION("""COMPUTED_VALUE"""),0.0021643518518518518)</f>
        <v>0.002164351852</v>
      </c>
      <c r="E2324" s="1">
        <f>IFERROR(__xludf.DUMMYFUNCTION("""COMPUTED_VALUE"""),1.11)</f>
        <v>1.11</v>
      </c>
      <c r="F2324" s="1">
        <f>IFERROR(__xludf.DUMMYFUNCTION("""COMPUTED_VALUE"""),4.54)</f>
        <v>4.54</v>
      </c>
      <c r="G2324" s="5">
        <f>IFERROR(__xludf.DUMMYFUNCTION("""COMPUTED_VALUE"""),19370.0)</f>
        <v>19370</v>
      </c>
      <c r="H2324" s="5">
        <f>IFERROR(__xludf.DUMMYFUNCTION("""COMPUTED_VALUE"""),4263.0)</f>
        <v>4263</v>
      </c>
    </row>
    <row r="2325">
      <c r="A2325" s="4">
        <f>IFERROR(__xludf.DUMMYFUNCTION("""COMPUTED_VALUE"""),44693.0)</f>
        <v>44693</v>
      </c>
      <c r="B2325" s="5">
        <f>IFERROR(__xludf.DUMMYFUNCTION("""COMPUTED_VALUE"""),3818.0)</f>
        <v>3818</v>
      </c>
      <c r="C2325" s="6">
        <f>IFERROR(__xludf.DUMMYFUNCTION("""COMPUTED_VALUE"""),0.5472)</f>
        <v>0.5472</v>
      </c>
      <c r="D2325" s="2">
        <f>IFERROR(__xludf.DUMMYFUNCTION("""COMPUTED_VALUE"""),0.0019212962962962964)</f>
        <v>0.001921296296</v>
      </c>
      <c r="E2325" s="1">
        <f>IFERROR(__xludf.DUMMYFUNCTION("""COMPUTED_VALUE"""),1.08)</f>
        <v>1.08</v>
      </c>
      <c r="F2325" s="1">
        <f>IFERROR(__xludf.DUMMYFUNCTION("""COMPUTED_VALUE"""),3.96)</f>
        <v>3.96</v>
      </c>
      <c r="G2325" s="5">
        <f>IFERROR(__xludf.DUMMYFUNCTION("""COMPUTED_VALUE"""),16288.0)</f>
        <v>16288</v>
      </c>
      <c r="H2325" s="5">
        <f>IFERROR(__xludf.DUMMYFUNCTION("""COMPUTED_VALUE"""),4110.0)</f>
        <v>4110</v>
      </c>
    </row>
    <row r="2326">
      <c r="A2326" s="4">
        <f>IFERROR(__xludf.DUMMYFUNCTION("""COMPUTED_VALUE"""),44694.0)</f>
        <v>44694</v>
      </c>
      <c r="B2326" s="5">
        <f>IFERROR(__xludf.DUMMYFUNCTION("""COMPUTED_VALUE"""),3249.0)</f>
        <v>3249</v>
      </c>
      <c r="C2326" s="6">
        <f>IFERROR(__xludf.DUMMYFUNCTION("""COMPUTED_VALUE"""),0.5632)</f>
        <v>0.5632</v>
      </c>
      <c r="D2326" s="2">
        <f>IFERROR(__xludf.DUMMYFUNCTION("""COMPUTED_VALUE"""),0.0017592592592592592)</f>
        <v>0.001759259259</v>
      </c>
      <c r="E2326" s="1">
        <f>IFERROR(__xludf.DUMMYFUNCTION("""COMPUTED_VALUE"""),1.05)</f>
        <v>1.05</v>
      </c>
      <c r="F2326" s="1">
        <f>IFERROR(__xludf.DUMMYFUNCTION("""COMPUTED_VALUE"""),4.37)</f>
        <v>4.37</v>
      </c>
      <c r="G2326" s="5">
        <f>IFERROR(__xludf.DUMMYFUNCTION("""COMPUTED_VALUE"""),14871.0)</f>
        <v>14871</v>
      </c>
      <c r="H2326" s="5">
        <f>IFERROR(__xludf.DUMMYFUNCTION("""COMPUTED_VALUE"""),3402.0)</f>
        <v>3402</v>
      </c>
    </row>
    <row r="2327">
      <c r="A2327" s="4">
        <f>IFERROR(__xludf.DUMMYFUNCTION("""COMPUTED_VALUE"""),44695.0)</f>
        <v>44695</v>
      </c>
      <c r="B2327" s="5">
        <f>IFERROR(__xludf.DUMMYFUNCTION("""COMPUTED_VALUE"""),2597.0)</f>
        <v>2597</v>
      </c>
      <c r="C2327" s="6">
        <f>IFERROR(__xludf.DUMMYFUNCTION("""COMPUTED_VALUE"""),0.6431)</f>
        <v>0.6431</v>
      </c>
      <c r="D2327" s="2">
        <f>IFERROR(__xludf.DUMMYFUNCTION("""COMPUTED_VALUE"""),0.0013078703703703703)</f>
        <v>0.00130787037</v>
      </c>
      <c r="E2327" s="1">
        <f>IFERROR(__xludf.DUMMYFUNCTION("""COMPUTED_VALUE"""),1.06)</f>
        <v>1.06</v>
      </c>
      <c r="F2327" s="1">
        <f>IFERROR(__xludf.DUMMYFUNCTION("""COMPUTED_VALUE"""),3.13)</f>
        <v>3.13</v>
      </c>
      <c r="G2327" s="5">
        <f>IFERROR(__xludf.DUMMYFUNCTION("""COMPUTED_VALUE"""),8651.0)</f>
        <v>8651</v>
      </c>
      <c r="H2327" s="5">
        <f>IFERROR(__xludf.DUMMYFUNCTION("""COMPUTED_VALUE"""),2763.0)</f>
        <v>2763</v>
      </c>
    </row>
    <row r="2328">
      <c r="A2328" s="4">
        <f>IFERROR(__xludf.DUMMYFUNCTION("""COMPUTED_VALUE"""),44696.0)</f>
        <v>44696</v>
      </c>
      <c r="B2328" s="5">
        <f>IFERROR(__xludf.DUMMYFUNCTION("""COMPUTED_VALUE"""),2513.0)</f>
        <v>2513</v>
      </c>
      <c r="C2328" s="6">
        <f>IFERROR(__xludf.DUMMYFUNCTION("""COMPUTED_VALUE"""),0.6411)</f>
        <v>0.6411</v>
      </c>
      <c r="D2328" s="2">
        <f>IFERROR(__xludf.DUMMYFUNCTION("""COMPUTED_VALUE"""),0.0013078703703703703)</f>
        <v>0.00130787037</v>
      </c>
      <c r="E2328" s="1">
        <f>IFERROR(__xludf.DUMMYFUNCTION("""COMPUTED_VALUE"""),1.08)</f>
        <v>1.08</v>
      </c>
      <c r="F2328" s="1">
        <f>IFERROR(__xludf.DUMMYFUNCTION("""COMPUTED_VALUE"""),3.82)</f>
        <v>3.82</v>
      </c>
      <c r="G2328" s="5">
        <f>IFERROR(__xludf.DUMMYFUNCTION("""COMPUTED_VALUE"""),10358.0)</f>
        <v>10358</v>
      </c>
      <c r="H2328" s="5">
        <f>IFERROR(__xludf.DUMMYFUNCTION("""COMPUTED_VALUE"""),2708.0)</f>
        <v>2708</v>
      </c>
    </row>
    <row r="2329">
      <c r="A2329" s="4">
        <f>IFERROR(__xludf.DUMMYFUNCTION("""COMPUTED_VALUE"""),44697.0)</f>
        <v>44697</v>
      </c>
      <c r="B2329" s="5">
        <f>IFERROR(__xludf.DUMMYFUNCTION("""COMPUTED_VALUE"""),3027.0)</f>
        <v>3027</v>
      </c>
      <c r="C2329" s="6">
        <f>IFERROR(__xludf.DUMMYFUNCTION("""COMPUTED_VALUE"""),0.4714)</f>
        <v>0.4714</v>
      </c>
      <c r="D2329" s="2">
        <f>IFERROR(__xludf.DUMMYFUNCTION("""COMPUTED_VALUE"""),0.0017476851851851852)</f>
        <v>0.001747685185</v>
      </c>
      <c r="E2329" s="1">
        <f>IFERROR(__xludf.DUMMYFUNCTION("""COMPUTED_VALUE"""),1.12)</f>
        <v>1.12</v>
      </c>
      <c r="F2329" s="1">
        <f>IFERROR(__xludf.DUMMYFUNCTION("""COMPUTED_VALUE"""),4.07)</f>
        <v>4.07</v>
      </c>
      <c r="G2329" s="5">
        <f>IFERROR(__xludf.DUMMYFUNCTION("""COMPUTED_VALUE"""),13788.0)</f>
        <v>13788</v>
      </c>
      <c r="H2329" s="5">
        <f>IFERROR(__xludf.DUMMYFUNCTION("""COMPUTED_VALUE"""),3388.0)</f>
        <v>3388</v>
      </c>
    </row>
    <row r="2330">
      <c r="A2330" s="4">
        <f>IFERROR(__xludf.DUMMYFUNCTION("""COMPUTED_VALUE"""),44698.0)</f>
        <v>44698</v>
      </c>
      <c r="B2330" s="5">
        <f>IFERROR(__xludf.DUMMYFUNCTION("""COMPUTED_VALUE"""),3069.0)</f>
        <v>3069</v>
      </c>
      <c r="C2330" s="6">
        <f>IFERROR(__xludf.DUMMYFUNCTION("""COMPUTED_VALUE"""),0.4939)</f>
        <v>0.4939</v>
      </c>
      <c r="D2330" s="2">
        <f>IFERROR(__xludf.DUMMYFUNCTION("""COMPUTED_VALUE"""),0.0032291666666666666)</f>
        <v>0.003229166667</v>
      </c>
      <c r="E2330" s="1">
        <f>IFERROR(__xludf.DUMMYFUNCTION("""COMPUTED_VALUE"""),1.12)</f>
        <v>1.12</v>
      </c>
      <c r="F2330" s="1">
        <f>IFERROR(__xludf.DUMMYFUNCTION("""COMPUTED_VALUE"""),5.38)</f>
        <v>5.38</v>
      </c>
      <c r="G2330" s="5">
        <f>IFERROR(__xludf.DUMMYFUNCTION("""COMPUTED_VALUE"""),18440.0)</f>
        <v>18440</v>
      </c>
      <c r="H2330" s="5">
        <f>IFERROR(__xludf.DUMMYFUNCTION("""COMPUTED_VALUE"""),3430.0)</f>
        <v>3430</v>
      </c>
    </row>
    <row r="2331">
      <c r="A2331" s="4">
        <f>IFERROR(__xludf.DUMMYFUNCTION("""COMPUTED_VALUE"""),44699.0)</f>
        <v>44699</v>
      </c>
      <c r="B2331" s="5">
        <f>IFERROR(__xludf.DUMMYFUNCTION("""COMPUTED_VALUE"""),2916.0)</f>
        <v>2916</v>
      </c>
      <c r="C2331" s="6">
        <f>IFERROR(__xludf.DUMMYFUNCTION("""COMPUTED_VALUE"""),0.464)</f>
        <v>0.464</v>
      </c>
      <c r="D2331" s="2">
        <f>IFERROR(__xludf.DUMMYFUNCTION("""COMPUTED_VALUE"""),0.0018402777777777777)</f>
        <v>0.001840277778</v>
      </c>
      <c r="E2331" s="1">
        <f>IFERROR(__xludf.DUMMYFUNCTION("""COMPUTED_VALUE"""),1.12)</f>
        <v>1.12</v>
      </c>
      <c r="F2331" s="1">
        <f>IFERROR(__xludf.DUMMYFUNCTION("""COMPUTED_VALUE"""),4.85)</f>
        <v>4.85</v>
      </c>
      <c r="G2331" s="5">
        <f>IFERROR(__xludf.DUMMYFUNCTION("""COMPUTED_VALUE"""),15829.0)</f>
        <v>15829</v>
      </c>
      <c r="H2331" s="5">
        <f>IFERROR(__xludf.DUMMYFUNCTION("""COMPUTED_VALUE"""),3263.0)</f>
        <v>3263</v>
      </c>
    </row>
    <row r="2332">
      <c r="A2332" s="4">
        <f>IFERROR(__xludf.DUMMYFUNCTION("""COMPUTED_VALUE"""),44700.0)</f>
        <v>44700</v>
      </c>
      <c r="B2332" s="5">
        <f>IFERROR(__xludf.DUMMYFUNCTION("""COMPUTED_VALUE"""),3346.0)</f>
        <v>3346</v>
      </c>
      <c r="C2332" s="6">
        <f>IFERROR(__xludf.DUMMYFUNCTION("""COMPUTED_VALUE"""),0.4233)</f>
        <v>0.4233</v>
      </c>
      <c r="D2332" s="2">
        <f>IFERROR(__xludf.DUMMYFUNCTION("""COMPUTED_VALUE"""),0.0030555555555555557)</f>
        <v>0.003055555556</v>
      </c>
      <c r="E2332" s="1">
        <f>IFERROR(__xludf.DUMMYFUNCTION("""COMPUTED_VALUE"""),1.11)</f>
        <v>1.11</v>
      </c>
      <c r="F2332" s="1">
        <f>IFERROR(__xludf.DUMMYFUNCTION("""COMPUTED_VALUE"""),5.62)</f>
        <v>5.62</v>
      </c>
      <c r="G2332" s="5">
        <f>IFERROR(__xludf.DUMMYFUNCTION("""COMPUTED_VALUE"""),20828.0)</f>
        <v>20828</v>
      </c>
      <c r="H2332" s="5">
        <f>IFERROR(__xludf.DUMMYFUNCTION("""COMPUTED_VALUE"""),3707.0)</f>
        <v>3707</v>
      </c>
    </row>
    <row r="2333">
      <c r="A2333" s="4">
        <f>IFERROR(__xludf.DUMMYFUNCTION("""COMPUTED_VALUE"""),44701.0)</f>
        <v>44701</v>
      </c>
      <c r="B2333" s="5">
        <f>IFERROR(__xludf.DUMMYFUNCTION("""COMPUTED_VALUE"""),2541.0)</f>
        <v>2541</v>
      </c>
      <c r="C2333" s="6">
        <f>IFERROR(__xludf.DUMMYFUNCTION("""COMPUTED_VALUE"""),0.44)</f>
        <v>0.44</v>
      </c>
      <c r="D2333" s="2">
        <f>IFERROR(__xludf.DUMMYFUNCTION("""COMPUTED_VALUE"""),0.002916666666666667)</f>
        <v>0.002916666667</v>
      </c>
      <c r="E2333" s="1">
        <f>IFERROR(__xludf.DUMMYFUNCTION("""COMPUTED_VALUE"""),1.14)</f>
        <v>1.14</v>
      </c>
      <c r="F2333" s="1">
        <f>IFERROR(__xludf.DUMMYFUNCTION("""COMPUTED_VALUE"""),6.52)</f>
        <v>6.52</v>
      </c>
      <c r="G2333" s="5">
        <f>IFERROR(__xludf.DUMMYFUNCTION("""COMPUTED_VALUE"""),18926.0)</f>
        <v>18926</v>
      </c>
      <c r="H2333" s="5">
        <f>IFERROR(__xludf.DUMMYFUNCTION("""COMPUTED_VALUE"""),2902.0)</f>
        <v>2902</v>
      </c>
    </row>
    <row r="2334">
      <c r="A2334" s="4">
        <f>IFERROR(__xludf.DUMMYFUNCTION("""COMPUTED_VALUE"""),44702.0)</f>
        <v>44702</v>
      </c>
      <c r="B2334" s="5">
        <f>IFERROR(__xludf.DUMMYFUNCTION("""COMPUTED_VALUE"""),1875.0)</f>
        <v>1875</v>
      </c>
      <c r="C2334" s="6">
        <f>IFERROR(__xludf.DUMMYFUNCTION("""COMPUTED_VALUE"""),0.5474)</f>
        <v>0.5474</v>
      </c>
      <c r="D2334" s="2">
        <f>IFERROR(__xludf.DUMMYFUNCTION("""COMPUTED_VALUE"""),0.0016435185185185185)</f>
        <v>0.001643518519</v>
      </c>
      <c r="E2334" s="1">
        <f>IFERROR(__xludf.DUMMYFUNCTION("""COMPUTED_VALUE"""),1.1)</f>
        <v>1.1</v>
      </c>
      <c r="F2334" s="1">
        <f>IFERROR(__xludf.DUMMYFUNCTION("""COMPUTED_VALUE"""),4.38)</f>
        <v>4.38</v>
      </c>
      <c r="G2334" s="5">
        <f>IFERROR(__xludf.DUMMYFUNCTION("""COMPUTED_VALUE"""),8998.0)</f>
        <v>8998</v>
      </c>
      <c r="H2334" s="5">
        <f>IFERROR(__xludf.DUMMYFUNCTION("""COMPUTED_VALUE"""),2055.0)</f>
        <v>2055</v>
      </c>
    </row>
    <row r="2335">
      <c r="A2335" s="4">
        <f>IFERROR(__xludf.DUMMYFUNCTION("""COMPUTED_VALUE"""),44703.0)</f>
        <v>44703</v>
      </c>
      <c r="B2335" s="5">
        <f>IFERROR(__xludf.DUMMYFUNCTION("""COMPUTED_VALUE"""),1986.0)</f>
        <v>1986</v>
      </c>
      <c r="C2335" s="6">
        <f>IFERROR(__xludf.DUMMYFUNCTION("""COMPUTED_VALUE"""),0.4517)</f>
        <v>0.4517</v>
      </c>
      <c r="D2335" s="2">
        <f>IFERROR(__xludf.DUMMYFUNCTION("""COMPUTED_VALUE"""),0.001851851851851852)</f>
        <v>0.001851851852</v>
      </c>
      <c r="E2335" s="1">
        <f>IFERROR(__xludf.DUMMYFUNCTION("""COMPUTED_VALUE"""),1.08)</f>
        <v>1.08</v>
      </c>
      <c r="F2335" s="1">
        <f>IFERROR(__xludf.DUMMYFUNCTION("""COMPUTED_VALUE"""),4.98)</f>
        <v>4.98</v>
      </c>
      <c r="G2335" s="5">
        <f>IFERROR(__xludf.DUMMYFUNCTION("""COMPUTED_VALUE"""),10720.0)</f>
        <v>10720</v>
      </c>
      <c r="H2335" s="5">
        <f>IFERROR(__xludf.DUMMYFUNCTION("""COMPUTED_VALUE"""),2152.0)</f>
        <v>2152</v>
      </c>
    </row>
    <row r="2336">
      <c r="A2336" s="4">
        <f>IFERROR(__xludf.DUMMYFUNCTION("""COMPUTED_VALUE"""),44704.0)</f>
        <v>44704</v>
      </c>
      <c r="B2336" s="5">
        <f>IFERROR(__xludf.DUMMYFUNCTION("""COMPUTED_VALUE"""),3138.0)</f>
        <v>3138</v>
      </c>
      <c r="C2336" s="6">
        <f>IFERROR(__xludf.DUMMYFUNCTION("""COMPUTED_VALUE"""),0.5082)</f>
        <v>0.5082</v>
      </c>
      <c r="D2336" s="2">
        <f>IFERROR(__xludf.DUMMYFUNCTION("""COMPUTED_VALUE"""),0.0014467592592592592)</f>
        <v>0.001446759259</v>
      </c>
      <c r="E2336" s="1">
        <f>IFERROR(__xludf.DUMMYFUNCTION("""COMPUTED_VALUE"""),1.09)</f>
        <v>1.09</v>
      </c>
      <c r="F2336" s="1">
        <f>IFERROR(__xludf.DUMMYFUNCTION("""COMPUTED_VALUE"""),4.16)</f>
        <v>4.16</v>
      </c>
      <c r="G2336" s="5">
        <f>IFERROR(__xludf.DUMMYFUNCTION("""COMPUTED_VALUE"""),14205.0)</f>
        <v>14205</v>
      </c>
      <c r="H2336" s="5">
        <f>IFERROR(__xludf.DUMMYFUNCTION("""COMPUTED_VALUE"""),3416.0)</f>
        <v>3416</v>
      </c>
    </row>
    <row r="2337">
      <c r="A2337" s="4">
        <f>IFERROR(__xludf.DUMMYFUNCTION("""COMPUTED_VALUE"""),44705.0)</f>
        <v>44705</v>
      </c>
      <c r="B2337" s="5">
        <f>IFERROR(__xludf.DUMMYFUNCTION("""COMPUTED_VALUE"""),3027.0)</f>
        <v>3027</v>
      </c>
      <c r="C2337" s="6">
        <f>IFERROR(__xludf.DUMMYFUNCTION("""COMPUTED_VALUE"""),0.4332)</f>
        <v>0.4332</v>
      </c>
      <c r="D2337" s="2">
        <f>IFERROR(__xludf.DUMMYFUNCTION("""COMPUTED_VALUE"""),0.002395833333333333)</f>
        <v>0.002395833333</v>
      </c>
      <c r="E2337" s="1">
        <f>IFERROR(__xludf.DUMMYFUNCTION("""COMPUTED_VALUE"""),1.13)</f>
        <v>1.13</v>
      </c>
      <c r="F2337" s="1">
        <f>IFERROR(__xludf.DUMMYFUNCTION("""COMPUTED_VALUE"""),5.44)</f>
        <v>5.44</v>
      </c>
      <c r="G2337" s="5">
        <f>IFERROR(__xludf.DUMMYFUNCTION("""COMPUTED_VALUE"""),18676.0)</f>
        <v>18676</v>
      </c>
      <c r="H2337" s="5">
        <f>IFERROR(__xludf.DUMMYFUNCTION("""COMPUTED_VALUE"""),3430.0)</f>
        <v>3430</v>
      </c>
    </row>
    <row r="2338">
      <c r="A2338" s="4">
        <f>IFERROR(__xludf.DUMMYFUNCTION("""COMPUTED_VALUE"""),44706.0)</f>
        <v>44706</v>
      </c>
      <c r="B2338" s="5">
        <f>IFERROR(__xludf.DUMMYFUNCTION("""COMPUTED_VALUE"""),3277.0)</f>
        <v>3277</v>
      </c>
      <c r="C2338" s="6">
        <f>IFERROR(__xludf.DUMMYFUNCTION("""COMPUTED_VALUE"""),0.4576)</f>
        <v>0.4576</v>
      </c>
      <c r="D2338" s="2">
        <f>IFERROR(__xludf.DUMMYFUNCTION("""COMPUTED_VALUE"""),0.0019328703703703704)</f>
        <v>0.00193287037</v>
      </c>
      <c r="E2338" s="1">
        <f>IFERROR(__xludf.DUMMYFUNCTION("""COMPUTED_VALUE"""),1.1)</f>
        <v>1.1</v>
      </c>
      <c r="F2338" s="1">
        <f>IFERROR(__xludf.DUMMYFUNCTION("""COMPUTED_VALUE"""),4.5)</f>
        <v>4.5</v>
      </c>
      <c r="G2338" s="5">
        <f>IFERROR(__xludf.DUMMYFUNCTION("""COMPUTED_VALUE"""),16260.0)</f>
        <v>16260</v>
      </c>
      <c r="H2338" s="5">
        <f>IFERROR(__xludf.DUMMYFUNCTION("""COMPUTED_VALUE"""),3610.0)</f>
        <v>3610</v>
      </c>
    </row>
    <row r="2339">
      <c r="A2339" s="4">
        <f>IFERROR(__xludf.DUMMYFUNCTION("""COMPUTED_VALUE"""),44707.0)</f>
        <v>44707</v>
      </c>
      <c r="B2339" s="5">
        <f>IFERROR(__xludf.DUMMYFUNCTION("""COMPUTED_VALUE"""),3055.0)</f>
        <v>3055</v>
      </c>
      <c r="C2339" s="6">
        <f>IFERROR(__xludf.DUMMYFUNCTION("""COMPUTED_VALUE"""),0.4548)</f>
        <v>0.4548</v>
      </c>
      <c r="D2339" s="2">
        <f>IFERROR(__xludf.DUMMYFUNCTION("""COMPUTED_VALUE"""),0.0022685185185185187)</f>
        <v>0.002268518519</v>
      </c>
      <c r="E2339" s="1">
        <f>IFERROR(__xludf.DUMMYFUNCTION("""COMPUTED_VALUE"""),1.11)</f>
        <v>1.11</v>
      </c>
      <c r="F2339" s="1">
        <f>IFERROR(__xludf.DUMMYFUNCTION("""COMPUTED_VALUE"""),4.98)</f>
        <v>4.98</v>
      </c>
      <c r="G2339" s="5">
        <f>IFERROR(__xludf.DUMMYFUNCTION("""COMPUTED_VALUE"""),16857.0)</f>
        <v>16857</v>
      </c>
      <c r="H2339" s="5">
        <f>IFERROR(__xludf.DUMMYFUNCTION("""COMPUTED_VALUE"""),3388.0)</f>
        <v>3388</v>
      </c>
    </row>
    <row r="2340">
      <c r="A2340" s="4">
        <f>IFERROR(__xludf.DUMMYFUNCTION("""COMPUTED_VALUE"""),44708.0)</f>
        <v>44708</v>
      </c>
      <c r="B2340" s="5">
        <f>IFERROR(__xludf.DUMMYFUNCTION("""COMPUTED_VALUE"""),2444.0)</f>
        <v>2444</v>
      </c>
      <c r="C2340" s="6">
        <f>IFERROR(__xludf.DUMMYFUNCTION("""COMPUTED_VALUE"""),0.4951)</f>
        <v>0.4951</v>
      </c>
      <c r="D2340" s="2">
        <f>IFERROR(__xludf.DUMMYFUNCTION("""COMPUTED_VALUE"""),0.0022222222222222222)</f>
        <v>0.002222222222</v>
      </c>
      <c r="E2340" s="1">
        <f>IFERROR(__xludf.DUMMYFUNCTION("""COMPUTED_VALUE"""),1.12)</f>
        <v>1.12</v>
      </c>
      <c r="F2340" s="1">
        <f>IFERROR(__xludf.DUMMYFUNCTION("""COMPUTED_VALUE"""),5.77)</f>
        <v>5.77</v>
      </c>
      <c r="G2340" s="5">
        <f>IFERROR(__xludf.DUMMYFUNCTION("""COMPUTED_VALUE"""),15871.0)</f>
        <v>15871</v>
      </c>
      <c r="H2340" s="5">
        <f>IFERROR(__xludf.DUMMYFUNCTION("""COMPUTED_VALUE"""),2749.0)</f>
        <v>2749</v>
      </c>
    </row>
    <row r="2341">
      <c r="A2341" s="4">
        <f>IFERROR(__xludf.DUMMYFUNCTION("""COMPUTED_VALUE"""),44709.0)</f>
        <v>44709</v>
      </c>
      <c r="B2341" s="5">
        <f>IFERROR(__xludf.DUMMYFUNCTION("""COMPUTED_VALUE"""),1694.0)</f>
        <v>1694</v>
      </c>
      <c r="C2341" s="6">
        <f>IFERROR(__xludf.DUMMYFUNCTION("""COMPUTED_VALUE"""),0.6155)</f>
        <v>0.6155</v>
      </c>
      <c r="D2341" s="2">
        <f>IFERROR(__xludf.DUMMYFUNCTION("""COMPUTED_VALUE"""),0.0014930555555555556)</f>
        <v>0.001493055556</v>
      </c>
      <c r="E2341" s="1">
        <f>IFERROR(__xludf.DUMMYFUNCTION("""COMPUTED_VALUE"""),1.07)</f>
        <v>1.07</v>
      </c>
      <c r="F2341" s="1">
        <f>IFERROR(__xludf.DUMMYFUNCTION("""COMPUTED_VALUE"""),3.15)</f>
        <v>3.15</v>
      </c>
      <c r="G2341" s="5">
        <f>IFERROR(__xludf.DUMMYFUNCTION("""COMPUTED_VALUE"""),5679.0)</f>
        <v>5679</v>
      </c>
      <c r="H2341" s="5">
        <f>IFERROR(__xludf.DUMMYFUNCTION("""COMPUTED_VALUE"""),1805.0)</f>
        <v>1805</v>
      </c>
    </row>
    <row r="2342">
      <c r="A2342" s="4">
        <f>IFERROR(__xludf.DUMMYFUNCTION("""COMPUTED_VALUE"""),44710.0)</f>
        <v>44710</v>
      </c>
      <c r="B2342" s="5">
        <f>IFERROR(__xludf.DUMMYFUNCTION("""COMPUTED_VALUE"""),1833.0)</f>
        <v>1833</v>
      </c>
      <c r="C2342" s="6">
        <f>IFERROR(__xludf.DUMMYFUNCTION("""COMPUTED_VALUE"""),0.5787)</f>
        <v>0.5787</v>
      </c>
      <c r="D2342" s="2">
        <f>IFERROR(__xludf.DUMMYFUNCTION("""COMPUTED_VALUE"""),0.002384259259259259)</f>
        <v>0.002384259259</v>
      </c>
      <c r="E2342" s="1">
        <f>IFERROR(__xludf.DUMMYFUNCTION("""COMPUTED_VALUE"""),1.06)</f>
        <v>1.06</v>
      </c>
      <c r="F2342" s="1">
        <f>IFERROR(__xludf.DUMMYFUNCTION("""COMPUTED_VALUE"""),6.0)</f>
        <v>6</v>
      </c>
      <c r="G2342" s="5">
        <f>IFERROR(__xludf.DUMMYFUNCTION("""COMPUTED_VALUE"""),11664.0)</f>
        <v>11664</v>
      </c>
      <c r="H2342" s="5">
        <f>IFERROR(__xludf.DUMMYFUNCTION("""COMPUTED_VALUE"""),1944.0)</f>
        <v>1944</v>
      </c>
    </row>
    <row r="2343">
      <c r="A2343" s="4">
        <f>IFERROR(__xludf.DUMMYFUNCTION("""COMPUTED_VALUE"""),44711.0)</f>
        <v>44711</v>
      </c>
      <c r="B2343" s="5">
        <f>IFERROR(__xludf.DUMMYFUNCTION("""COMPUTED_VALUE"""),2333.0)</f>
        <v>2333</v>
      </c>
      <c r="C2343" s="6">
        <f>IFERROR(__xludf.DUMMYFUNCTION("""COMPUTED_VALUE"""),0.5416)</f>
        <v>0.5416</v>
      </c>
      <c r="D2343" s="2">
        <f>IFERROR(__xludf.DUMMYFUNCTION("""COMPUTED_VALUE"""),0.001574074074074074)</f>
        <v>0.001574074074</v>
      </c>
      <c r="E2343" s="1">
        <f>IFERROR(__xludf.DUMMYFUNCTION("""COMPUTED_VALUE"""),1.08)</f>
        <v>1.08</v>
      </c>
      <c r="F2343" s="1">
        <f>IFERROR(__xludf.DUMMYFUNCTION("""COMPUTED_VALUE"""),3.65)</f>
        <v>3.65</v>
      </c>
      <c r="G2343" s="5">
        <f>IFERROR(__xludf.DUMMYFUNCTION("""COMPUTED_VALUE"""),9164.0)</f>
        <v>9164</v>
      </c>
      <c r="H2343" s="5">
        <f>IFERROR(__xludf.DUMMYFUNCTION("""COMPUTED_VALUE"""),2513.0)</f>
        <v>2513</v>
      </c>
    </row>
    <row r="2344">
      <c r="A2344" s="4">
        <f>IFERROR(__xludf.DUMMYFUNCTION("""COMPUTED_VALUE"""),44712.0)</f>
        <v>44712</v>
      </c>
      <c r="B2344" s="5">
        <f>IFERROR(__xludf.DUMMYFUNCTION("""COMPUTED_VALUE"""),2958.0)</f>
        <v>2958</v>
      </c>
      <c r="C2344" s="6">
        <f>IFERROR(__xludf.DUMMYFUNCTION("""COMPUTED_VALUE"""),0.4958)</f>
        <v>0.4958</v>
      </c>
      <c r="D2344" s="2">
        <f>IFERROR(__xludf.DUMMYFUNCTION("""COMPUTED_VALUE"""),0.002025462962962963)</f>
        <v>0.002025462963</v>
      </c>
      <c r="E2344" s="1">
        <f>IFERROR(__xludf.DUMMYFUNCTION("""COMPUTED_VALUE"""),1.1)</f>
        <v>1.1</v>
      </c>
      <c r="F2344" s="1">
        <f>IFERROR(__xludf.DUMMYFUNCTION("""COMPUTED_VALUE"""),4.85)</f>
        <v>4.85</v>
      </c>
      <c r="G2344" s="5">
        <f>IFERROR(__xludf.DUMMYFUNCTION("""COMPUTED_VALUE"""),15760.0)</f>
        <v>15760</v>
      </c>
      <c r="H2344" s="5">
        <f>IFERROR(__xludf.DUMMYFUNCTION("""COMPUTED_VALUE"""),3249.0)</f>
        <v>3249</v>
      </c>
    </row>
    <row r="2345">
      <c r="A2345" s="4">
        <f>IFERROR(__xludf.DUMMYFUNCTION("""COMPUTED_VALUE"""),44713.0)</f>
        <v>44713</v>
      </c>
      <c r="B2345" s="5">
        <f>IFERROR(__xludf.DUMMYFUNCTION("""COMPUTED_VALUE"""),2916.0)</f>
        <v>2916</v>
      </c>
      <c r="C2345" s="6">
        <f>IFERROR(__xludf.DUMMYFUNCTION("""COMPUTED_VALUE"""),0.5042)</f>
        <v>0.5042</v>
      </c>
      <c r="D2345" s="2">
        <f>IFERROR(__xludf.DUMMYFUNCTION("""COMPUTED_VALUE"""),0.0017824074074074075)</f>
        <v>0.001782407407</v>
      </c>
      <c r="E2345" s="1">
        <f>IFERROR(__xludf.DUMMYFUNCTION("""COMPUTED_VALUE"""),1.14)</f>
        <v>1.14</v>
      </c>
      <c r="F2345" s="1">
        <f>IFERROR(__xludf.DUMMYFUNCTION("""COMPUTED_VALUE"""),4.22)</f>
        <v>4.22</v>
      </c>
      <c r="G2345" s="5">
        <f>IFERROR(__xludf.DUMMYFUNCTION("""COMPUTED_VALUE"""),14066.0)</f>
        <v>14066</v>
      </c>
      <c r="H2345" s="5">
        <f>IFERROR(__xludf.DUMMYFUNCTION("""COMPUTED_VALUE"""),3332.0)</f>
        <v>3332</v>
      </c>
    </row>
    <row r="2346">
      <c r="A2346" s="4">
        <f>IFERROR(__xludf.DUMMYFUNCTION("""COMPUTED_VALUE"""),44714.0)</f>
        <v>44714</v>
      </c>
      <c r="B2346" s="5">
        <f>IFERROR(__xludf.DUMMYFUNCTION("""COMPUTED_VALUE"""),2874.0)</f>
        <v>2874</v>
      </c>
      <c r="C2346" s="6">
        <f>IFERROR(__xludf.DUMMYFUNCTION("""COMPUTED_VALUE"""),0.4915)</f>
        <v>0.4915</v>
      </c>
      <c r="D2346" s="2">
        <f>IFERROR(__xludf.DUMMYFUNCTION("""COMPUTED_VALUE"""),0.0021412037037037038)</f>
        <v>0.002141203704</v>
      </c>
      <c r="E2346" s="1">
        <f>IFERROR(__xludf.DUMMYFUNCTION("""COMPUTED_VALUE"""),1.12)</f>
        <v>1.12</v>
      </c>
      <c r="F2346" s="1">
        <f>IFERROR(__xludf.DUMMYFUNCTION("""COMPUTED_VALUE"""),5.23)</f>
        <v>5.23</v>
      </c>
      <c r="G2346" s="5">
        <f>IFERROR(__xludf.DUMMYFUNCTION("""COMPUTED_VALUE"""),16857.0)</f>
        <v>16857</v>
      </c>
      <c r="H2346" s="5">
        <f>IFERROR(__xludf.DUMMYFUNCTION("""COMPUTED_VALUE"""),3221.0)</f>
        <v>3221</v>
      </c>
    </row>
    <row r="2347">
      <c r="A2347" s="4">
        <f>IFERROR(__xludf.DUMMYFUNCTION("""COMPUTED_VALUE"""),44715.0)</f>
        <v>44715</v>
      </c>
      <c r="B2347" s="5">
        <f>IFERROR(__xludf.DUMMYFUNCTION("""COMPUTED_VALUE"""),2652.0)</f>
        <v>2652</v>
      </c>
      <c r="C2347" s="6">
        <f>IFERROR(__xludf.DUMMYFUNCTION("""COMPUTED_VALUE"""),0.4141)</f>
        <v>0.4141</v>
      </c>
      <c r="D2347" s="2">
        <f>IFERROR(__xludf.DUMMYFUNCTION("""COMPUTED_VALUE"""),0.0025)</f>
        <v>0.0025</v>
      </c>
      <c r="E2347" s="1">
        <f>IFERROR(__xludf.DUMMYFUNCTION("""COMPUTED_VALUE"""),1.13)</f>
        <v>1.13</v>
      </c>
      <c r="F2347" s="1">
        <f>IFERROR(__xludf.DUMMYFUNCTION("""COMPUTED_VALUE"""),5.66)</f>
        <v>5.66</v>
      </c>
      <c r="G2347" s="5">
        <f>IFERROR(__xludf.DUMMYFUNCTION("""COMPUTED_VALUE"""),16885.0)</f>
        <v>16885</v>
      </c>
      <c r="H2347" s="5">
        <f>IFERROR(__xludf.DUMMYFUNCTION("""COMPUTED_VALUE"""),2985.0)</f>
        <v>2985</v>
      </c>
    </row>
    <row r="2348">
      <c r="A2348" s="4">
        <f>IFERROR(__xludf.DUMMYFUNCTION("""COMPUTED_VALUE"""),44716.0)</f>
        <v>44716</v>
      </c>
      <c r="B2348" s="5">
        <f>IFERROR(__xludf.DUMMYFUNCTION("""COMPUTED_VALUE"""),1736.0)</f>
        <v>1736</v>
      </c>
      <c r="C2348" s="6">
        <f>IFERROR(__xludf.DUMMYFUNCTION("""COMPUTED_VALUE"""),0.5184)</f>
        <v>0.5184</v>
      </c>
      <c r="D2348" s="2">
        <f>IFERROR(__xludf.DUMMYFUNCTION("""COMPUTED_VALUE"""),0.001863425925925926)</f>
        <v>0.001863425926</v>
      </c>
      <c r="E2348" s="1">
        <f>IFERROR(__xludf.DUMMYFUNCTION("""COMPUTED_VALUE"""),1.08)</f>
        <v>1.08</v>
      </c>
      <c r="F2348" s="1">
        <f>IFERROR(__xludf.DUMMYFUNCTION("""COMPUTED_VALUE"""),4.94)</f>
        <v>4.94</v>
      </c>
      <c r="G2348" s="5">
        <f>IFERROR(__xludf.DUMMYFUNCTION("""COMPUTED_VALUE"""),9262.0)</f>
        <v>9262</v>
      </c>
      <c r="H2348" s="5">
        <f>IFERROR(__xludf.DUMMYFUNCTION("""COMPUTED_VALUE"""),1875.0)</f>
        <v>1875</v>
      </c>
    </row>
    <row r="2349">
      <c r="A2349" s="4">
        <f>IFERROR(__xludf.DUMMYFUNCTION("""COMPUTED_VALUE"""),44717.0)</f>
        <v>44717</v>
      </c>
      <c r="B2349" s="5">
        <f>IFERROR(__xludf.DUMMYFUNCTION("""COMPUTED_VALUE"""),1694.0)</f>
        <v>1694</v>
      </c>
      <c r="C2349" s="6">
        <f>IFERROR(__xludf.DUMMYFUNCTION("""COMPUTED_VALUE"""),0.4421)</f>
        <v>0.4421</v>
      </c>
      <c r="D2349" s="2">
        <f>IFERROR(__xludf.DUMMYFUNCTION("""COMPUTED_VALUE"""),0.002199074074074074)</f>
        <v>0.002199074074</v>
      </c>
      <c r="E2349" s="1">
        <f>IFERROR(__xludf.DUMMYFUNCTION("""COMPUTED_VALUE"""),1.13)</f>
        <v>1.13</v>
      </c>
      <c r="F2349" s="1">
        <f>IFERROR(__xludf.DUMMYFUNCTION("""COMPUTED_VALUE"""),5.38)</f>
        <v>5.38</v>
      </c>
      <c r="G2349" s="5">
        <f>IFERROR(__xludf.DUMMYFUNCTION("""COMPUTED_VALUE"""),10303.0)</f>
        <v>10303</v>
      </c>
      <c r="H2349" s="5">
        <f>IFERROR(__xludf.DUMMYFUNCTION("""COMPUTED_VALUE"""),1916.0)</f>
        <v>1916</v>
      </c>
    </row>
    <row r="2350">
      <c r="A2350" s="4">
        <f>IFERROR(__xludf.DUMMYFUNCTION("""COMPUTED_VALUE"""),44718.0)</f>
        <v>44718</v>
      </c>
      <c r="B2350" s="5">
        <f>IFERROR(__xludf.DUMMYFUNCTION("""COMPUTED_VALUE"""),3055.0)</f>
        <v>3055</v>
      </c>
      <c r="C2350" s="6">
        <f>IFERROR(__xludf.DUMMYFUNCTION("""COMPUTED_VALUE"""),0.4051)</f>
        <v>0.4051</v>
      </c>
      <c r="D2350" s="2">
        <f>IFERROR(__xludf.DUMMYFUNCTION("""COMPUTED_VALUE"""),0.0025810185185185185)</f>
        <v>0.002581018519</v>
      </c>
      <c r="E2350" s="1">
        <f>IFERROR(__xludf.DUMMYFUNCTION("""COMPUTED_VALUE"""),1.1)</f>
        <v>1.1</v>
      </c>
      <c r="F2350" s="1">
        <f>IFERROR(__xludf.DUMMYFUNCTION("""COMPUTED_VALUE"""),5.63)</f>
        <v>5.63</v>
      </c>
      <c r="G2350" s="5">
        <f>IFERROR(__xludf.DUMMYFUNCTION("""COMPUTED_VALUE"""),18912.0)</f>
        <v>18912</v>
      </c>
      <c r="H2350" s="5">
        <f>IFERROR(__xludf.DUMMYFUNCTION("""COMPUTED_VALUE"""),3360.0)</f>
        <v>3360</v>
      </c>
    </row>
    <row r="2351">
      <c r="A2351" s="4">
        <f>IFERROR(__xludf.DUMMYFUNCTION("""COMPUTED_VALUE"""),44719.0)</f>
        <v>44719</v>
      </c>
      <c r="B2351" s="5">
        <f>IFERROR(__xludf.DUMMYFUNCTION("""COMPUTED_VALUE"""),3402.0)</f>
        <v>3402</v>
      </c>
      <c r="C2351" s="6">
        <f>IFERROR(__xludf.DUMMYFUNCTION("""COMPUTED_VALUE"""),0.5127)</f>
        <v>0.5127</v>
      </c>
      <c r="D2351" s="2">
        <f>IFERROR(__xludf.DUMMYFUNCTION("""COMPUTED_VALUE"""),0.0021759259259259258)</f>
        <v>0.002175925926</v>
      </c>
      <c r="E2351" s="1">
        <f>IFERROR(__xludf.DUMMYFUNCTION("""COMPUTED_VALUE"""),1.13)</f>
        <v>1.13</v>
      </c>
      <c r="F2351" s="1">
        <f>IFERROR(__xludf.DUMMYFUNCTION("""COMPUTED_VALUE"""),4.35)</f>
        <v>4.35</v>
      </c>
      <c r="G2351" s="5">
        <f>IFERROR(__xludf.DUMMYFUNCTION("""COMPUTED_VALUE"""),16732.0)</f>
        <v>16732</v>
      </c>
      <c r="H2351" s="5">
        <f>IFERROR(__xludf.DUMMYFUNCTION("""COMPUTED_VALUE"""),3846.0)</f>
        <v>3846</v>
      </c>
    </row>
    <row r="2352">
      <c r="A2352" s="4">
        <f>IFERROR(__xludf.DUMMYFUNCTION("""COMPUTED_VALUE"""),44720.0)</f>
        <v>44720</v>
      </c>
      <c r="B2352" s="5">
        <f>IFERROR(__xludf.DUMMYFUNCTION("""COMPUTED_VALUE"""),3471.0)</f>
        <v>3471</v>
      </c>
      <c r="C2352" s="6">
        <f>IFERROR(__xludf.DUMMYFUNCTION("""COMPUTED_VALUE"""),0.5338)</f>
        <v>0.5338</v>
      </c>
      <c r="D2352" s="2">
        <f>IFERROR(__xludf.DUMMYFUNCTION("""COMPUTED_VALUE"""),0.0014930555555555556)</f>
        <v>0.001493055556</v>
      </c>
      <c r="E2352" s="1">
        <f>IFERROR(__xludf.DUMMYFUNCTION("""COMPUTED_VALUE"""),1.06)</f>
        <v>1.06</v>
      </c>
      <c r="F2352" s="1">
        <f>IFERROR(__xludf.DUMMYFUNCTION("""COMPUTED_VALUE"""),4.13)</f>
        <v>4.13</v>
      </c>
      <c r="G2352" s="5">
        <f>IFERROR(__xludf.DUMMYFUNCTION("""COMPUTED_VALUE"""),15246.0)</f>
        <v>15246</v>
      </c>
      <c r="H2352" s="5">
        <f>IFERROR(__xludf.DUMMYFUNCTION("""COMPUTED_VALUE"""),3694.0)</f>
        <v>3694</v>
      </c>
    </row>
    <row r="2353">
      <c r="A2353" s="4">
        <f>IFERROR(__xludf.DUMMYFUNCTION("""COMPUTED_VALUE"""),44721.0)</f>
        <v>44721</v>
      </c>
      <c r="B2353" s="5">
        <f>IFERROR(__xludf.DUMMYFUNCTION("""COMPUTED_VALUE"""),3305.0)</f>
        <v>3305</v>
      </c>
      <c r="C2353" s="6">
        <f>IFERROR(__xludf.DUMMYFUNCTION("""COMPUTED_VALUE"""),0.4514)</f>
        <v>0.4514</v>
      </c>
      <c r="D2353" s="2">
        <f>IFERROR(__xludf.DUMMYFUNCTION("""COMPUTED_VALUE"""),0.0023263888888888887)</f>
        <v>0.002326388889</v>
      </c>
      <c r="E2353" s="1">
        <f>IFERROR(__xludf.DUMMYFUNCTION("""COMPUTED_VALUE"""),1.21)</f>
        <v>1.21</v>
      </c>
      <c r="F2353" s="1">
        <f>IFERROR(__xludf.DUMMYFUNCTION("""COMPUTED_VALUE"""),4.98)</f>
        <v>4.98</v>
      </c>
      <c r="G2353" s="5">
        <f>IFERROR(__xludf.DUMMYFUNCTION("""COMPUTED_VALUE"""),19898.0)</f>
        <v>19898</v>
      </c>
      <c r="H2353" s="5">
        <f>IFERROR(__xludf.DUMMYFUNCTION("""COMPUTED_VALUE"""),3999.0)</f>
        <v>3999</v>
      </c>
    </row>
    <row r="2354">
      <c r="A2354" s="4">
        <f>IFERROR(__xludf.DUMMYFUNCTION("""COMPUTED_VALUE"""),44722.0)</f>
        <v>44722</v>
      </c>
      <c r="B2354" s="5">
        <f>IFERROR(__xludf.DUMMYFUNCTION("""COMPUTED_VALUE"""),2791.0)</f>
        <v>2791</v>
      </c>
      <c r="C2354" s="6">
        <f>IFERROR(__xludf.DUMMYFUNCTION("""COMPUTED_VALUE"""),0.4051)</f>
        <v>0.4051</v>
      </c>
      <c r="D2354" s="2">
        <f>IFERROR(__xludf.DUMMYFUNCTION("""COMPUTED_VALUE"""),0.0030208333333333333)</f>
        <v>0.003020833333</v>
      </c>
      <c r="E2354" s="1">
        <f>IFERROR(__xludf.DUMMYFUNCTION("""COMPUTED_VALUE"""),1.13)</f>
        <v>1.13</v>
      </c>
      <c r="F2354" s="1">
        <f>IFERROR(__xludf.DUMMYFUNCTION("""COMPUTED_VALUE"""),6.02)</f>
        <v>6.02</v>
      </c>
      <c r="G2354" s="5">
        <f>IFERROR(__xludf.DUMMYFUNCTION("""COMPUTED_VALUE"""),18967.0)</f>
        <v>18967</v>
      </c>
      <c r="H2354" s="5">
        <f>IFERROR(__xludf.DUMMYFUNCTION("""COMPUTED_VALUE"""),3152.0)</f>
        <v>3152</v>
      </c>
    </row>
    <row r="2355">
      <c r="A2355" s="4">
        <f>IFERROR(__xludf.DUMMYFUNCTION("""COMPUTED_VALUE"""),44723.0)</f>
        <v>44723</v>
      </c>
      <c r="B2355" s="5">
        <f>IFERROR(__xludf.DUMMYFUNCTION("""COMPUTED_VALUE"""),1652.0)</f>
        <v>1652</v>
      </c>
      <c r="C2355" s="6">
        <f>IFERROR(__xludf.DUMMYFUNCTION("""COMPUTED_VALUE"""),0.4963)</f>
        <v>0.4963</v>
      </c>
      <c r="D2355" s="2">
        <f>IFERROR(__xludf.DUMMYFUNCTION("""COMPUTED_VALUE"""),0.0017939814814814815)</f>
        <v>0.001793981481</v>
      </c>
      <c r="E2355" s="1">
        <f>IFERROR(__xludf.DUMMYFUNCTION("""COMPUTED_VALUE"""),1.07)</f>
        <v>1.07</v>
      </c>
      <c r="F2355" s="1">
        <f>IFERROR(__xludf.DUMMYFUNCTION("""COMPUTED_VALUE"""),5.77)</f>
        <v>5.77</v>
      </c>
      <c r="G2355" s="5">
        <f>IFERROR(__xludf.DUMMYFUNCTION("""COMPUTED_VALUE"""),10164.0)</f>
        <v>10164</v>
      </c>
      <c r="H2355" s="5">
        <f>IFERROR(__xludf.DUMMYFUNCTION("""COMPUTED_VALUE"""),1763.0)</f>
        <v>1763</v>
      </c>
    </row>
    <row r="2356">
      <c r="A2356" s="4">
        <f>IFERROR(__xludf.DUMMYFUNCTION("""COMPUTED_VALUE"""),44724.0)</f>
        <v>44724</v>
      </c>
      <c r="B2356" s="5">
        <f>IFERROR(__xludf.DUMMYFUNCTION("""COMPUTED_VALUE"""),1722.0)</f>
        <v>1722</v>
      </c>
      <c r="C2356" s="6">
        <f>IFERROR(__xludf.DUMMYFUNCTION("""COMPUTED_VALUE"""),0.5035)</f>
        <v>0.5035</v>
      </c>
      <c r="D2356" s="2">
        <f>IFERROR(__xludf.DUMMYFUNCTION("""COMPUTED_VALUE"""),0.0020601851851851853)</f>
        <v>0.002060185185</v>
      </c>
      <c r="E2356" s="1">
        <f>IFERROR(__xludf.DUMMYFUNCTION("""COMPUTED_VALUE"""),1.09)</f>
        <v>1.09</v>
      </c>
      <c r="F2356" s="1">
        <f>IFERROR(__xludf.DUMMYFUNCTION("""COMPUTED_VALUE"""),4.53)</f>
        <v>4.53</v>
      </c>
      <c r="G2356" s="5">
        <f>IFERROR(__xludf.DUMMYFUNCTION("""COMPUTED_VALUE"""),8498.0)</f>
        <v>8498</v>
      </c>
      <c r="H2356" s="5">
        <f>IFERROR(__xludf.DUMMYFUNCTION("""COMPUTED_VALUE"""),1875.0)</f>
        <v>1875</v>
      </c>
    </row>
    <row r="2357">
      <c r="A2357" s="4">
        <f>IFERROR(__xludf.DUMMYFUNCTION("""COMPUTED_VALUE"""),44725.0)</f>
        <v>44725</v>
      </c>
      <c r="B2357" s="5">
        <f>IFERROR(__xludf.DUMMYFUNCTION("""COMPUTED_VALUE"""),2958.0)</f>
        <v>2958</v>
      </c>
      <c r="C2357" s="6">
        <f>IFERROR(__xludf.DUMMYFUNCTION("""COMPUTED_VALUE"""),0.4401)</f>
        <v>0.4401</v>
      </c>
      <c r="D2357" s="2">
        <f>IFERROR(__xludf.DUMMYFUNCTION("""COMPUTED_VALUE"""),0.0019097222222222222)</f>
        <v>0.001909722222</v>
      </c>
      <c r="E2357" s="1">
        <f>IFERROR(__xludf.DUMMYFUNCTION("""COMPUTED_VALUE"""),1.1)</f>
        <v>1.1</v>
      </c>
      <c r="F2357" s="1">
        <f>IFERROR(__xludf.DUMMYFUNCTION("""COMPUTED_VALUE"""),4.41)</f>
        <v>4.41</v>
      </c>
      <c r="G2357" s="5">
        <f>IFERROR(__xludf.DUMMYFUNCTION("""COMPUTED_VALUE"""),14330.0)</f>
        <v>14330</v>
      </c>
      <c r="H2357" s="5">
        <f>IFERROR(__xludf.DUMMYFUNCTION("""COMPUTED_VALUE"""),3249.0)</f>
        <v>3249</v>
      </c>
    </row>
    <row r="2358">
      <c r="A2358" s="4">
        <f>IFERROR(__xludf.DUMMYFUNCTION("""COMPUTED_VALUE"""),44726.0)</f>
        <v>44726</v>
      </c>
      <c r="B2358" s="5">
        <f>IFERROR(__xludf.DUMMYFUNCTION("""COMPUTED_VALUE"""),3013.0)</f>
        <v>3013</v>
      </c>
      <c r="C2358" s="6">
        <f>IFERROR(__xludf.DUMMYFUNCTION("""COMPUTED_VALUE"""),0.4872)</f>
        <v>0.4872</v>
      </c>
      <c r="D2358" s="2">
        <f>IFERROR(__xludf.DUMMYFUNCTION("""COMPUTED_VALUE"""),0.0022800925925925927)</f>
        <v>0.002280092593</v>
      </c>
      <c r="E2358" s="1">
        <f>IFERROR(__xludf.DUMMYFUNCTION("""COMPUTED_VALUE"""),1.08)</f>
        <v>1.08</v>
      </c>
      <c r="F2358" s="1">
        <f>IFERROR(__xludf.DUMMYFUNCTION("""COMPUTED_VALUE"""),4.6)</f>
        <v>4.6</v>
      </c>
      <c r="G2358" s="5">
        <f>IFERROR(__xludf.DUMMYFUNCTION("""COMPUTED_VALUE"""),14941.0)</f>
        <v>14941</v>
      </c>
      <c r="H2358" s="5">
        <f>IFERROR(__xludf.DUMMYFUNCTION("""COMPUTED_VALUE"""),3249.0)</f>
        <v>3249</v>
      </c>
    </row>
    <row r="2359">
      <c r="A2359" s="4">
        <f>IFERROR(__xludf.DUMMYFUNCTION("""COMPUTED_VALUE"""),44727.0)</f>
        <v>44727</v>
      </c>
      <c r="B2359" s="5">
        <f>IFERROR(__xludf.DUMMYFUNCTION("""COMPUTED_VALUE"""),3138.0)</f>
        <v>3138</v>
      </c>
      <c r="C2359" s="6">
        <f>IFERROR(__xludf.DUMMYFUNCTION("""COMPUTED_VALUE"""),0.4017)</f>
        <v>0.4017</v>
      </c>
      <c r="D2359" s="2">
        <f>IFERROR(__xludf.DUMMYFUNCTION("""COMPUTED_VALUE"""),0.0022916666666666667)</f>
        <v>0.002291666667</v>
      </c>
      <c r="E2359" s="1">
        <f>IFERROR(__xludf.DUMMYFUNCTION("""COMPUTED_VALUE"""),1.08)</f>
        <v>1.08</v>
      </c>
      <c r="F2359" s="1">
        <f>IFERROR(__xludf.DUMMYFUNCTION("""COMPUTED_VALUE"""),5.62)</f>
        <v>5.62</v>
      </c>
      <c r="G2359" s="5">
        <f>IFERROR(__xludf.DUMMYFUNCTION("""COMPUTED_VALUE"""),19051.0)</f>
        <v>19051</v>
      </c>
      <c r="H2359" s="5">
        <f>IFERROR(__xludf.DUMMYFUNCTION("""COMPUTED_VALUE"""),3388.0)</f>
        <v>3388</v>
      </c>
    </row>
    <row r="2360">
      <c r="A2360" s="4">
        <f>IFERROR(__xludf.DUMMYFUNCTION("""COMPUTED_VALUE"""),44728.0)</f>
        <v>44728</v>
      </c>
      <c r="B2360" s="5">
        <f>IFERROR(__xludf.DUMMYFUNCTION("""COMPUTED_VALUE"""),3013.0)</f>
        <v>3013</v>
      </c>
      <c r="C2360" s="6">
        <f>IFERROR(__xludf.DUMMYFUNCTION("""COMPUTED_VALUE"""),0.4747)</f>
        <v>0.4747</v>
      </c>
      <c r="D2360" s="2">
        <f>IFERROR(__xludf.DUMMYFUNCTION("""COMPUTED_VALUE"""),0.002476851851851852)</f>
        <v>0.002476851852</v>
      </c>
      <c r="E2360" s="1">
        <f>IFERROR(__xludf.DUMMYFUNCTION("""COMPUTED_VALUE"""),1.1)</f>
        <v>1.1</v>
      </c>
      <c r="F2360" s="1">
        <f>IFERROR(__xludf.DUMMYFUNCTION("""COMPUTED_VALUE"""),5.73)</f>
        <v>5.73</v>
      </c>
      <c r="G2360" s="5">
        <f>IFERROR(__xludf.DUMMYFUNCTION("""COMPUTED_VALUE"""),18940.0)</f>
        <v>18940</v>
      </c>
      <c r="H2360" s="5">
        <f>IFERROR(__xludf.DUMMYFUNCTION("""COMPUTED_VALUE"""),3305.0)</f>
        <v>3305</v>
      </c>
    </row>
    <row r="2361">
      <c r="A2361" s="4">
        <f>IFERROR(__xludf.DUMMYFUNCTION("""COMPUTED_VALUE"""),44729.0)</f>
        <v>44729</v>
      </c>
      <c r="B2361" s="5">
        <f>IFERROR(__xludf.DUMMYFUNCTION("""COMPUTED_VALUE"""),2555.0)</f>
        <v>2555</v>
      </c>
      <c r="C2361" s="6">
        <f>IFERROR(__xludf.DUMMYFUNCTION("""COMPUTED_VALUE"""),0.4736)</f>
        <v>0.4736</v>
      </c>
      <c r="D2361" s="2">
        <f>IFERROR(__xludf.DUMMYFUNCTION("""COMPUTED_VALUE"""),0.0024421296296296296)</f>
        <v>0.00244212963</v>
      </c>
      <c r="E2361" s="1">
        <f>IFERROR(__xludf.DUMMYFUNCTION("""COMPUTED_VALUE"""),1.12)</f>
        <v>1.12</v>
      </c>
      <c r="F2361" s="1">
        <f>IFERROR(__xludf.DUMMYFUNCTION("""COMPUTED_VALUE"""),5.79)</f>
        <v>5.79</v>
      </c>
      <c r="G2361" s="5">
        <f>IFERROR(__xludf.DUMMYFUNCTION("""COMPUTED_VALUE"""),16649.0)</f>
        <v>16649</v>
      </c>
      <c r="H2361" s="5">
        <f>IFERROR(__xludf.DUMMYFUNCTION("""COMPUTED_VALUE"""),2874.0)</f>
        <v>2874</v>
      </c>
    </row>
    <row r="2362">
      <c r="A2362" s="4">
        <f>IFERROR(__xludf.DUMMYFUNCTION("""COMPUTED_VALUE"""),44730.0)</f>
        <v>44730</v>
      </c>
      <c r="B2362" s="5">
        <f>IFERROR(__xludf.DUMMYFUNCTION("""COMPUTED_VALUE"""),1569.0)</f>
        <v>1569</v>
      </c>
      <c r="C2362" s="6">
        <f>IFERROR(__xludf.DUMMYFUNCTION("""COMPUTED_VALUE"""),0.5205)</f>
        <v>0.5205</v>
      </c>
      <c r="D2362" s="2">
        <f>IFERROR(__xludf.DUMMYFUNCTION("""COMPUTED_VALUE"""),0.0021412037037037038)</f>
        <v>0.002141203704</v>
      </c>
      <c r="E2362" s="1">
        <f>IFERROR(__xludf.DUMMYFUNCTION("""COMPUTED_VALUE"""),1.09)</f>
        <v>1.09</v>
      </c>
      <c r="F2362" s="1">
        <f>IFERROR(__xludf.DUMMYFUNCTION("""COMPUTED_VALUE"""),5.24)</f>
        <v>5.24</v>
      </c>
      <c r="G2362" s="5">
        <f>IFERROR(__xludf.DUMMYFUNCTION("""COMPUTED_VALUE"""),8942.0)</f>
        <v>8942</v>
      </c>
      <c r="H2362" s="5">
        <f>IFERROR(__xludf.DUMMYFUNCTION("""COMPUTED_VALUE"""),1708.0)</f>
        <v>1708</v>
      </c>
    </row>
    <row r="2363">
      <c r="A2363" s="4">
        <f>IFERROR(__xludf.DUMMYFUNCTION("""COMPUTED_VALUE"""),44731.0)</f>
        <v>44731</v>
      </c>
      <c r="B2363" s="5">
        <f>IFERROR(__xludf.DUMMYFUNCTION("""COMPUTED_VALUE"""),1680.0)</f>
        <v>1680</v>
      </c>
      <c r="C2363" s="6">
        <f>IFERROR(__xludf.DUMMYFUNCTION("""COMPUTED_VALUE"""),0.5652)</f>
        <v>0.5652</v>
      </c>
      <c r="D2363" s="2">
        <f>IFERROR(__xludf.DUMMYFUNCTION("""COMPUTED_VALUE"""),0.002013888888888889)</f>
        <v>0.002013888889</v>
      </c>
      <c r="E2363" s="1">
        <f>IFERROR(__xludf.DUMMYFUNCTION("""COMPUTED_VALUE"""),1.14)</f>
        <v>1.14</v>
      </c>
      <c r="F2363" s="1">
        <f>IFERROR(__xludf.DUMMYFUNCTION("""COMPUTED_VALUE"""),4.12)</f>
        <v>4.12</v>
      </c>
      <c r="G2363" s="5">
        <f>IFERROR(__xludf.DUMMYFUNCTION("""COMPUTED_VALUE"""),7887.0)</f>
        <v>7887</v>
      </c>
      <c r="H2363" s="5">
        <f>IFERROR(__xludf.DUMMYFUNCTION("""COMPUTED_VALUE"""),1916.0)</f>
        <v>1916</v>
      </c>
    </row>
    <row r="2364">
      <c r="A2364" s="4">
        <f>IFERROR(__xludf.DUMMYFUNCTION("""COMPUTED_VALUE"""),44732.0)</f>
        <v>44732</v>
      </c>
      <c r="B2364" s="5">
        <f>IFERROR(__xludf.DUMMYFUNCTION("""COMPUTED_VALUE"""),2416.0)</f>
        <v>2416</v>
      </c>
      <c r="C2364" s="6">
        <f>IFERROR(__xludf.DUMMYFUNCTION("""COMPUTED_VALUE"""),0.5686)</f>
        <v>0.5686</v>
      </c>
      <c r="D2364" s="2">
        <f>IFERROR(__xludf.DUMMYFUNCTION("""COMPUTED_VALUE"""),0.0015277777777777779)</f>
        <v>0.001527777778</v>
      </c>
      <c r="E2364" s="1">
        <f>IFERROR(__xludf.DUMMYFUNCTION("""COMPUTED_VALUE"""),1.09)</f>
        <v>1.09</v>
      </c>
      <c r="F2364" s="1">
        <f>IFERROR(__xludf.DUMMYFUNCTION("""COMPUTED_VALUE"""),3.02)</f>
        <v>3.02</v>
      </c>
      <c r="G2364" s="5">
        <f>IFERROR(__xludf.DUMMYFUNCTION("""COMPUTED_VALUE"""),7956.0)</f>
        <v>7956</v>
      </c>
      <c r="H2364" s="5">
        <f>IFERROR(__xludf.DUMMYFUNCTION("""COMPUTED_VALUE"""),2638.0)</f>
        <v>2638</v>
      </c>
    </row>
    <row r="2365">
      <c r="A2365" s="4">
        <f>IFERROR(__xludf.DUMMYFUNCTION("""COMPUTED_VALUE"""),44733.0)</f>
        <v>44733</v>
      </c>
      <c r="B2365" s="5">
        <f>IFERROR(__xludf.DUMMYFUNCTION("""COMPUTED_VALUE"""),3013.0)</f>
        <v>3013</v>
      </c>
      <c r="C2365" s="6">
        <f>IFERROR(__xludf.DUMMYFUNCTION("""COMPUTED_VALUE"""),0.5171)</f>
        <v>0.5171</v>
      </c>
      <c r="D2365" s="2">
        <f>IFERROR(__xludf.DUMMYFUNCTION("""COMPUTED_VALUE"""),0.0019212962962962964)</f>
        <v>0.001921296296</v>
      </c>
      <c r="E2365" s="1">
        <f>IFERROR(__xludf.DUMMYFUNCTION("""COMPUTED_VALUE"""),1.08)</f>
        <v>1.08</v>
      </c>
      <c r="F2365" s="1">
        <f>IFERROR(__xludf.DUMMYFUNCTION("""COMPUTED_VALUE"""),4.74)</f>
        <v>4.74</v>
      </c>
      <c r="G2365" s="5">
        <f>IFERROR(__xludf.DUMMYFUNCTION("""COMPUTED_VALUE"""),15385.0)</f>
        <v>15385</v>
      </c>
      <c r="H2365" s="5">
        <f>IFERROR(__xludf.DUMMYFUNCTION("""COMPUTED_VALUE"""),3249.0)</f>
        <v>3249</v>
      </c>
    </row>
    <row r="2366">
      <c r="A2366" s="4">
        <f>IFERROR(__xludf.DUMMYFUNCTION("""COMPUTED_VALUE"""),44734.0)</f>
        <v>44734</v>
      </c>
      <c r="B2366" s="5">
        <f>IFERROR(__xludf.DUMMYFUNCTION("""COMPUTED_VALUE"""),2805.0)</f>
        <v>2805</v>
      </c>
      <c r="C2366" s="6">
        <f>IFERROR(__xludf.DUMMYFUNCTION("""COMPUTED_VALUE"""),0.4531)</f>
        <v>0.4531</v>
      </c>
      <c r="D2366" s="2">
        <f>IFERROR(__xludf.DUMMYFUNCTION("""COMPUTED_VALUE"""),0.0021643518518518518)</f>
        <v>0.002164351852</v>
      </c>
      <c r="E2366" s="1">
        <f>IFERROR(__xludf.DUMMYFUNCTION("""COMPUTED_VALUE"""),1.16)</f>
        <v>1.16</v>
      </c>
      <c r="F2366" s="1">
        <f>IFERROR(__xludf.DUMMYFUNCTION("""COMPUTED_VALUE"""),5.37)</f>
        <v>5.37</v>
      </c>
      <c r="G2366" s="5">
        <f>IFERROR(__xludf.DUMMYFUNCTION("""COMPUTED_VALUE"""),17454.0)</f>
        <v>17454</v>
      </c>
      <c r="H2366" s="5">
        <f>IFERROR(__xludf.DUMMYFUNCTION("""COMPUTED_VALUE"""),3249.0)</f>
        <v>3249</v>
      </c>
    </row>
    <row r="2367">
      <c r="A2367" s="4">
        <f>IFERROR(__xludf.DUMMYFUNCTION("""COMPUTED_VALUE"""),44735.0)</f>
        <v>44735</v>
      </c>
      <c r="B2367" s="5">
        <f>IFERROR(__xludf.DUMMYFUNCTION("""COMPUTED_VALUE"""),2819.0)</f>
        <v>2819</v>
      </c>
      <c r="C2367" s="6">
        <f>IFERROR(__xludf.DUMMYFUNCTION("""COMPUTED_VALUE"""),0.4278)</f>
        <v>0.4278</v>
      </c>
      <c r="D2367" s="2">
        <f>IFERROR(__xludf.DUMMYFUNCTION("""COMPUTED_VALUE"""),0.0020486111111111113)</f>
        <v>0.002048611111</v>
      </c>
      <c r="E2367" s="1">
        <f>IFERROR(__xludf.DUMMYFUNCTION("""COMPUTED_VALUE"""),1.16)</f>
        <v>1.16</v>
      </c>
      <c r="F2367" s="1">
        <f>IFERROR(__xludf.DUMMYFUNCTION("""COMPUTED_VALUE"""),5.33)</f>
        <v>5.33</v>
      </c>
      <c r="G2367" s="5">
        <f>IFERROR(__xludf.DUMMYFUNCTION("""COMPUTED_VALUE"""),17468.0)</f>
        <v>17468</v>
      </c>
      <c r="H2367" s="5">
        <f>IFERROR(__xludf.DUMMYFUNCTION("""COMPUTED_VALUE"""),3277.0)</f>
        <v>3277</v>
      </c>
    </row>
    <row r="2368">
      <c r="A2368" s="4">
        <f>IFERROR(__xludf.DUMMYFUNCTION("""COMPUTED_VALUE"""),44736.0)</f>
        <v>44736</v>
      </c>
      <c r="B2368" s="5">
        <f>IFERROR(__xludf.DUMMYFUNCTION("""COMPUTED_VALUE"""),2485.0)</f>
        <v>2485</v>
      </c>
      <c r="C2368" s="6">
        <f>IFERROR(__xludf.DUMMYFUNCTION("""COMPUTED_VALUE"""),0.4949)</f>
        <v>0.4949</v>
      </c>
      <c r="D2368" s="2">
        <f>IFERROR(__xludf.DUMMYFUNCTION("""COMPUTED_VALUE"""),0.0020486111111111113)</f>
        <v>0.002048611111</v>
      </c>
      <c r="E2368" s="1">
        <f>IFERROR(__xludf.DUMMYFUNCTION("""COMPUTED_VALUE"""),1.14)</f>
        <v>1.14</v>
      </c>
      <c r="F2368" s="1">
        <f>IFERROR(__xludf.DUMMYFUNCTION("""COMPUTED_VALUE"""),5.27)</f>
        <v>5.27</v>
      </c>
      <c r="G2368" s="5">
        <f>IFERROR(__xludf.DUMMYFUNCTION("""COMPUTED_VALUE"""),14927.0)</f>
        <v>14927</v>
      </c>
      <c r="H2368" s="5">
        <f>IFERROR(__xludf.DUMMYFUNCTION("""COMPUTED_VALUE"""),2833.0)</f>
        <v>2833</v>
      </c>
    </row>
    <row r="2369">
      <c r="A2369" s="4">
        <f>IFERROR(__xludf.DUMMYFUNCTION("""COMPUTED_VALUE"""),44737.0)</f>
        <v>44737</v>
      </c>
      <c r="B2369" s="5">
        <f>IFERROR(__xludf.DUMMYFUNCTION("""COMPUTED_VALUE"""),1666.0)</f>
        <v>1666</v>
      </c>
      <c r="C2369" s="6">
        <f>IFERROR(__xludf.DUMMYFUNCTION("""COMPUTED_VALUE"""),0.5202)</f>
        <v>0.5202</v>
      </c>
      <c r="D2369" s="2">
        <f>IFERROR(__xludf.DUMMYFUNCTION("""COMPUTED_VALUE"""),0.0014583333333333334)</f>
        <v>0.001458333333</v>
      </c>
      <c r="E2369" s="1">
        <f>IFERROR(__xludf.DUMMYFUNCTION("""COMPUTED_VALUE"""),1.04)</f>
        <v>1.04</v>
      </c>
      <c r="F2369" s="1">
        <f>IFERROR(__xludf.DUMMYFUNCTION("""COMPUTED_VALUE"""),3.76)</f>
        <v>3.76</v>
      </c>
      <c r="G2369" s="5">
        <f>IFERROR(__xludf.DUMMYFUNCTION("""COMPUTED_VALUE"""),6526.0)</f>
        <v>6526</v>
      </c>
      <c r="H2369" s="5">
        <f>IFERROR(__xludf.DUMMYFUNCTION("""COMPUTED_VALUE"""),1736.0)</f>
        <v>1736</v>
      </c>
    </row>
    <row r="2370">
      <c r="A2370" s="4">
        <f>IFERROR(__xludf.DUMMYFUNCTION("""COMPUTED_VALUE"""),44738.0)</f>
        <v>44738</v>
      </c>
      <c r="B2370" s="5">
        <f>IFERROR(__xludf.DUMMYFUNCTION("""COMPUTED_VALUE"""),1750.0)</f>
        <v>1750</v>
      </c>
      <c r="C2370" s="6">
        <f>IFERROR(__xludf.DUMMYFUNCTION("""COMPUTED_VALUE"""),0.4702)</f>
        <v>0.4702</v>
      </c>
      <c r="D2370" s="2">
        <f>IFERROR(__xludf.DUMMYFUNCTION("""COMPUTED_VALUE"""),0.0021759259259259258)</f>
        <v>0.002175925926</v>
      </c>
      <c r="E2370" s="1">
        <f>IFERROR(__xludf.DUMMYFUNCTION("""COMPUTED_VALUE"""),1.06)</f>
        <v>1.06</v>
      </c>
      <c r="F2370" s="1">
        <f>IFERROR(__xludf.DUMMYFUNCTION("""COMPUTED_VALUE"""),4.33)</f>
        <v>4.33</v>
      </c>
      <c r="G2370" s="5">
        <f>IFERROR(__xludf.DUMMYFUNCTION("""COMPUTED_VALUE"""),8054.0)</f>
        <v>8054</v>
      </c>
      <c r="H2370" s="5">
        <f>IFERROR(__xludf.DUMMYFUNCTION("""COMPUTED_VALUE"""),1861.0)</f>
        <v>1861</v>
      </c>
    </row>
    <row r="2371">
      <c r="A2371" s="4">
        <f>IFERROR(__xludf.DUMMYFUNCTION("""COMPUTED_VALUE"""),44739.0)</f>
        <v>44739</v>
      </c>
      <c r="B2371" s="5">
        <f>IFERROR(__xludf.DUMMYFUNCTION("""COMPUTED_VALUE"""),2888.0)</f>
        <v>2888</v>
      </c>
      <c r="C2371" s="6">
        <f>IFERROR(__xludf.DUMMYFUNCTION("""COMPUTED_VALUE"""),0.478)</f>
        <v>0.478</v>
      </c>
      <c r="D2371" s="2">
        <f>IFERROR(__xludf.DUMMYFUNCTION("""COMPUTED_VALUE"""),0.0021527777777777778)</f>
        <v>0.002152777778</v>
      </c>
      <c r="E2371" s="1">
        <f>IFERROR(__xludf.DUMMYFUNCTION("""COMPUTED_VALUE"""),1.09)</f>
        <v>1.09</v>
      </c>
      <c r="F2371" s="1">
        <f>IFERROR(__xludf.DUMMYFUNCTION("""COMPUTED_VALUE"""),4.71)</f>
        <v>4.71</v>
      </c>
      <c r="G2371" s="5">
        <f>IFERROR(__xludf.DUMMYFUNCTION("""COMPUTED_VALUE"""),14774.0)</f>
        <v>14774</v>
      </c>
      <c r="H2371" s="5">
        <f>IFERROR(__xludf.DUMMYFUNCTION("""COMPUTED_VALUE"""),3138.0)</f>
        <v>3138</v>
      </c>
    </row>
    <row r="2372">
      <c r="A2372" s="4">
        <f>IFERROR(__xludf.DUMMYFUNCTION("""COMPUTED_VALUE"""),44740.0)</f>
        <v>44740</v>
      </c>
      <c r="B2372" s="5">
        <f>IFERROR(__xludf.DUMMYFUNCTION("""COMPUTED_VALUE"""),2930.0)</f>
        <v>2930</v>
      </c>
      <c r="C2372" s="6">
        <f>IFERROR(__xludf.DUMMYFUNCTION("""COMPUTED_VALUE"""),0.4507)</f>
        <v>0.4507</v>
      </c>
      <c r="D2372" s="2">
        <f>IFERROR(__xludf.DUMMYFUNCTION("""COMPUTED_VALUE"""),0.0018402777777777777)</f>
        <v>0.001840277778</v>
      </c>
      <c r="E2372" s="1">
        <f>IFERROR(__xludf.DUMMYFUNCTION("""COMPUTED_VALUE"""),1.1)</f>
        <v>1.1</v>
      </c>
      <c r="F2372" s="1">
        <f>IFERROR(__xludf.DUMMYFUNCTION("""COMPUTED_VALUE"""),5.0)</f>
        <v>5</v>
      </c>
      <c r="G2372" s="5">
        <f>IFERROR(__xludf.DUMMYFUNCTION("""COMPUTED_VALUE"""),16190.0)</f>
        <v>16190</v>
      </c>
      <c r="H2372" s="5">
        <f>IFERROR(__xludf.DUMMYFUNCTION("""COMPUTED_VALUE"""),3235.0)</f>
        <v>3235</v>
      </c>
    </row>
    <row r="2373">
      <c r="A2373" s="4">
        <f>IFERROR(__xludf.DUMMYFUNCTION("""COMPUTED_VALUE"""),44741.0)</f>
        <v>44741</v>
      </c>
      <c r="B2373" s="5">
        <f>IFERROR(__xludf.DUMMYFUNCTION("""COMPUTED_VALUE"""),2888.0)</f>
        <v>2888</v>
      </c>
      <c r="C2373" s="6">
        <f>IFERROR(__xludf.DUMMYFUNCTION("""COMPUTED_VALUE"""),0.4092)</f>
        <v>0.4092</v>
      </c>
      <c r="D2373" s="2">
        <f>IFERROR(__xludf.DUMMYFUNCTION("""COMPUTED_VALUE"""),0.0021759259259259258)</f>
        <v>0.002175925926</v>
      </c>
      <c r="E2373" s="1">
        <f>IFERROR(__xludf.DUMMYFUNCTION("""COMPUTED_VALUE"""),1.06)</f>
        <v>1.06</v>
      </c>
      <c r="F2373" s="1">
        <f>IFERROR(__xludf.DUMMYFUNCTION("""COMPUTED_VALUE"""),6.0)</f>
        <v>6</v>
      </c>
      <c r="G2373" s="5">
        <f>IFERROR(__xludf.DUMMYFUNCTION("""COMPUTED_VALUE"""),18343.0)</f>
        <v>18343</v>
      </c>
      <c r="H2373" s="5">
        <f>IFERROR(__xludf.DUMMYFUNCTION("""COMPUTED_VALUE"""),3055.0)</f>
        <v>3055</v>
      </c>
    </row>
    <row r="2374">
      <c r="A2374" s="4">
        <f>IFERROR(__xludf.DUMMYFUNCTION("""COMPUTED_VALUE"""),44742.0)</f>
        <v>44742</v>
      </c>
      <c r="B2374" s="5">
        <f>IFERROR(__xludf.DUMMYFUNCTION("""COMPUTED_VALUE"""),2722.0)</f>
        <v>2722</v>
      </c>
      <c r="C2374" s="6">
        <f>IFERROR(__xludf.DUMMYFUNCTION("""COMPUTED_VALUE"""),0.4161)</f>
        <v>0.4161</v>
      </c>
      <c r="D2374" s="2">
        <f>IFERROR(__xludf.DUMMYFUNCTION("""COMPUTED_VALUE"""),0.002800925925925926)</f>
        <v>0.002800925926</v>
      </c>
      <c r="E2374" s="1">
        <f>IFERROR(__xludf.DUMMYFUNCTION("""COMPUTED_VALUE"""),1.13)</f>
        <v>1.13</v>
      </c>
      <c r="F2374" s="1">
        <f>IFERROR(__xludf.DUMMYFUNCTION("""COMPUTED_VALUE"""),5.9)</f>
        <v>5.9</v>
      </c>
      <c r="G2374" s="5">
        <f>IFERROR(__xludf.DUMMYFUNCTION("""COMPUTED_VALUE"""),18107.0)</f>
        <v>18107</v>
      </c>
      <c r="H2374" s="5">
        <f>IFERROR(__xludf.DUMMYFUNCTION("""COMPUTED_VALUE"""),3069.0)</f>
        <v>3069</v>
      </c>
    </row>
    <row r="2375">
      <c r="A2375" s="4">
        <f>IFERROR(__xludf.DUMMYFUNCTION("""COMPUTED_VALUE"""),44743.0)</f>
        <v>44743</v>
      </c>
      <c r="B2375" s="5">
        <f>IFERROR(__xludf.DUMMYFUNCTION("""COMPUTED_VALUE"""),2430.0)</f>
        <v>2430</v>
      </c>
      <c r="C2375" s="6">
        <f>IFERROR(__xludf.DUMMYFUNCTION("""COMPUTED_VALUE"""),0.5189)</f>
        <v>0.5189</v>
      </c>
      <c r="D2375" s="2">
        <f>IFERROR(__xludf.DUMMYFUNCTION("""COMPUTED_VALUE"""),0.0021643518518518518)</f>
        <v>0.002164351852</v>
      </c>
      <c r="E2375" s="1">
        <f>IFERROR(__xludf.DUMMYFUNCTION("""COMPUTED_VALUE"""),1.06)</f>
        <v>1.06</v>
      </c>
      <c r="F2375" s="1">
        <f>IFERROR(__xludf.DUMMYFUNCTION("""COMPUTED_VALUE"""),4.94)</f>
        <v>4.94</v>
      </c>
      <c r="G2375" s="5">
        <f>IFERROR(__xludf.DUMMYFUNCTION("""COMPUTED_VALUE"""),12691.0)</f>
        <v>12691</v>
      </c>
      <c r="H2375" s="5">
        <f>IFERROR(__xludf.DUMMYFUNCTION("""COMPUTED_VALUE"""),2569.0)</f>
        <v>2569</v>
      </c>
    </row>
    <row r="2376">
      <c r="A2376" s="4">
        <f>IFERROR(__xludf.DUMMYFUNCTION("""COMPUTED_VALUE"""),44744.0)</f>
        <v>44744</v>
      </c>
      <c r="B2376" s="5">
        <f>IFERROR(__xludf.DUMMYFUNCTION("""COMPUTED_VALUE"""),1722.0)</f>
        <v>1722</v>
      </c>
      <c r="C2376" s="6">
        <f>IFERROR(__xludf.DUMMYFUNCTION("""COMPUTED_VALUE"""),0.5222)</f>
        <v>0.5222</v>
      </c>
      <c r="D2376" s="2">
        <f>IFERROR(__xludf.DUMMYFUNCTION("""COMPUTED_VALUE"""),0.0016550925925925926)</f>
        <v>0.001655092593</v>
      </c>
      <c r="E2376" s="1">
        <f>IFERROR(__xludf.DUMMYFUNCTION("""COMPUTED_VALUE"""),1.1)</f>
        <v>1.1</v>
      </c>
      <c r="F2376" s="1">
        <f>IFERROR(__xludf.DUMMYFUNCTION("""COMPUTED_VALUE"""),4.37)</f>
        <v>4.37</v>
      </c>
      <c r="G2376" s="5">
        <f>IFERROR(__xludf.DUMMYFUNCTION("""COMPUTED_VALUE"""),8248.0)</f>
        <v>8248</v>
      </c>
      <c r="H2376" s="5">
        <f>IFERROR(__xludf.DUMMYFUNCTION("""COMPUTED_VALUE"""),1888.0)</f>
        <v>1888</v>
      </c>
    </row>
    <row r="2377">
      <c r="A2377" s="4">
        <f>IFERROR(__xludf.DUMMYFUNCTION("""COMPUTED_VALUE"""),44745.0)</f>
        <v>44745</v>
      </c>
      <c r="B2377" s="5">
        <f>IFERROR(__xludf.DUMMYFUNCTION("""COMPUTED_VALUE"""),1861.0)</f>
        <v>1861</v>
      </c>
      <c r="C2377" s="6">
        <f>IFERROR(__xludf.DUMMYFUNCTION("""COMPUTED_VALUE"""),0.5973)</f>
        <v>0.5973</v>
      </c>
      <c r="D2377" s="2">
        <f>IFERROR(__xludf.DUMMYFUNCTION("""COMPUTED_VALUE"""),0.0019675925925925924)</f>
        <v>0.001967592593</v>
      </c>
      <c r="E2377" s="1">
        <f>IFERROR(__xludf.DUMMYFUNCTION("""COMPUTED_VALUE"""),1.07)</f>
        <v>1.07</v>
      </c>
      <c r="F2377" s="1">
        <f>IFERROR(__xludf.DUMMYFUNCTION("""COMPUTED_VALUE"""),4.38)</f>
        <v>4.38</v>
      </c>
      <c r="G2377" s="5">
        <f>IFERROR(__xludf.DUMMYFUNCTION("""COMPUTED_VALUE"""),8762.0)</f>
        <v>8762</v>
      </c>
      <c r="H2377" s="5">
        <f>IFERROR(__xludf.DUMMYFUNCTION("""COMPUTED_VALUE"""),1999.0)</f>
        <v>1999</v>
      </c>
    </row>
    <row r="2378">
      <c r="A2378" s="4">
        <f>IFERROR(__xludf.DUMMYFUNCTION("""COMPUTED_VALUE"""),44746.0)</f>
        <v>44746</v>
      </c>
      <c r="B2378" s="5">
        <f>IFERROR(__xludf.DUMMYFUNCTION("""COMPUTED_VALUE"""),2124.0)</f>
        <v>2124</v>
      </c>
      <c r="C2378" s="6">
        <f>IFERROR(__xludf.DUMMYFUNCTION("""COMPUTED_VALUE"""),0.6026)</f>
        <v>0.6026</v>
      </c>
      <c r="D2378" s="2">
        <f>IFERROR(__xludf.DUMMYFUNCTION("""COMPUTED_VALUE"""),0.0010879629629629629)</f>
        <v>0.001087962963</v>
      </c>
      <c r="E2378" s="1">
        <f>IFERROR(__xludf.DUMMYFUNCTION("""COMPUTED_VALUE"""),1.09)</f>
        <v>1.09</v>
      </c>
      <c r="F2378" s="1">
        <f>IFERROR(__xludf.DUMMYFUNCTION("""COMPUTED_VALUE"""),3.0)</f>
        <v>3</v>
      </c>
      <c r="G2378" s="5">
        <f>IFERROR(__xludf.DUMMYFUNCTION("""COMPUTED_VALUE"""),6915.0)</f>
        <v>6915</v>
      </c>
      <c r="H2378" s="5">
        <f>IFERROR(__xludf.DUMMYFUNCTION("""COMPUTED_VALUE"""),2305.0)</f>
        <v>2305</v>
      </c>
    </row>
    <row r="2379">
      <c r="A2379" s="4">
        <f>IFERROR(__xludf.DUMMYFUNCTION("""COMPUTED_VALUE"""),44747.0)</f>
        <v>44747</v>
      </c>
      <c r="B2379" s="5">
        <f>IFERROR(__xludf.DUMMYFUNCTION("""COMPUTED_VALUE"""),2374.0)</f>
        <v>2374</v>
      </c>
      <c r="C2379" s="6">
        <f>IFERROR(__xludf.DUMMYFUNCTION("""COMPUTED_VALUE"""),0.4838)</f>
        <v>0.4838</v>
      </c>
      <c r="D2379" s="2">
        <f>IFERROR(__xludf.DUMMYFUNCTION("""COMPUTED_VALUE"""),0.0023263888888888887)</f>
        <v>0.002326388889</v>
      </c>
      <c r="E2379" s="1">
        <f>IFERROR(__xludf.DUMMYFUNCTION("""COMPUTED_VALUE"""),1.08)</f>
        <v>1.08</v>
      </c>
      <c r="F2379" s="1">
        <f>IFERROR(__xludf.DUMMYFUNCTION("""COMPUTED_VALUE"""),4.35)</f>
        <v>4.35</v>
      </c>
      <c r="G2379" s="5">
        <f>IFERROR(__xludf.DUMMYFUNCTION("""COMPUTED_VALUE"""),11108.0)</f>
        <v>11108</v>
      </c>
      <c r="H2379" s="5">
        <f>IFERROR(__xludf.DUMMYFUNCTION("""COMPUTED_VALUE"""),2555.0)</f>
        <v>2555</v>
      </c>
    </row>
    <row r="2380">
      <c r="A2380" s="4">
        <f>IFERROR(__xludf.DUMMYFUNCTION("""COMPUTED_VALUE"""),44748.0)</f>
        <v>44748</v>
      </c>
      <c r="B2380" s="5">
        <f>IFERROR(__xludf.DUMMYFUNCTION("""COMPUTED_VALUE"""),2999.0)</f>
        <v>2999</v>
      </c>
      <c r="C2380" s="6">
        <f>IFERROR(__xludf.DUMMYFUNCTION("""COMPUTED_VALUE"""),0.4626)</f>
        <v>0.4626</v>
      </c>
      <c r="D2380" s="2">
        <f>IFERROR(__xludf.DUMMYFUNCTION("""COMPUTED_VALUE"""),0.0024189814814814816)</f>
        <v>0.002418981481</v>
      </c>
      <c r="E2380" s="1">
        <f>IFERROR(__xludf.DUMMYFUNCTION("""COMPUTED_VALUE"""),1.05)</f>
        <v>1.05</v>
      </c>
      <c r="F2380" s="1">
        <f>IFERROR(__xludf.DUMMYFUNCTION("""COMPUTED_VALUE"""),5.14)</f>
        <v>5.14</v>
      </c>
      <c r="G2380" s="5">
        <f>IFERROR(__xludf.DUMMYFUNCTION("""COMPUTED_VALUE"""),16190.0)</f>
        <v>16190</v>
      </c>
      <c r="H2380" s="5">
        <f>IFERROR(__xludf.DUMMYFUNCTION("""COMPUTED_VALUE"""),3152.0)</f>
        <v>3152</v>
      </c>
    </row>
    <row r="2381">
      <c r="A2381" s="4">
        <f>IFERROR(__xludf.DUMMYFUNCTION("""COMPUTED_VALUE"""),44749.0)</f>
        <v>44749</v>
      </c>
      <c r="B2381" s="5">
        <f>IFERROR(__xludf.DUMMYFUNCTION("""COMPUTED_VALUE"""),2569.0)</f>
        <v>2569</v>
      </c>
      <c r="C2381" s="6">
        <f>IFERROR(__xludf.DUMMYFUNCTION("""COMPUTED_VALUE"""),0.4188)</f>
        <v>0.4188</v>
      </c>
      <c r="D2381" s="2">
        <f>IFERROR(__xludf.DUMMYFUNCTION("""COMPUTED_VALUE"""),0.0028587962962962963)</f>
        <v>0.002858796296</v>
      </c>
      <c r="E2381" s="1">
        <f>IFERROR(__xludf.DUMMYFUNCTION("""COMPUTED_VALUE"""),1.16)</f>
        <v>1.16</v>
      </c>
      <c r="F2381" s="1">
        <f>IFERROR(__xludf.DUMMYFUNCTION("""COMPUTED_VALUE"""),5.65)</f>
        <v>5.65</v>
      </c>
      <c r="G2381" s="5">
        <f>IFERROR(__xludf.DUMMYFUNCTION("""COMPUTED_VALUE"""),16857.0)</f>
        <v>16857</v>
      </c>
      <c r="H2381" s="5">
        <f>IFERROR(__xludf.DUMMYFUNCTION("""COMPUTED_VALUE"""),2985.0)</f>
        <v>2985</v>
      </c>
    </row>
    <row r="2382">
      <c r="A2382" s="4">
        <f>IFERROR(__xludf.DUMMYFUNCTION("""COMPUTED_VALUE"""),44750.0)</f>
        <v>44750</v>
      </c>
      <c r="B2382" s="5">
        <f>IFERROR(__xludf.DUMMYFUNCTION("""COMPUTED_VALUE"""),2249.0)</f>
        <v>2249</v>
      </c>
      <c r="C2382" s="6">
        <f>IFERROR(__xludf.DUMMYFUNCTION("""COMPUTED_VALUE"""),0.4807)</f>
        <v>0.4807</v>
      </c>
      <c r="D2382" s="2">
        <f>IFERROR(__xludf.DUMMYFUNCTION("""COMPUTED_VALUE"""),0.0022222222222222222)</f>
        <v>0.002222222222</v>
      </c>
      <c r="E2382" s="1">
        <f>IFERROR(__xludf.DUMMYFUNCTION("""COMPUTED_VALUE"""),1.12)</f>
        <v>1.12</v>
      </c>
      <c r="F2382" s="1">
        <f>IFERROR(__xludf.DUMMYFUNCTION("""COMPUTED_VALUE"""),5.21)</f>
        <v>5.21</v>
      </c>
      <c r="G2382" s="5">
        <f>IFERROR(__xludf.DUMMYFUNCTION("""COMPUTED_VALUE"""),13094.0)</f>
        <v>13094</v>
      </c>
      <c r="H2382" s="5">
        <f>IFERROR(__xludf.DUMMYFUNCTION("""COMPUTED_VALUE"""),2513.0)</f>
        <v>2513</v>
      </c>
    </row>
    <row r="2383">
      <c r="A2383" s="4">
        <f>IFERROR(__xludf.DUMMYFUNCTION("""COMPUTED_VALUE"""),44751.0)</f>
        <v>44751</v>
      </c>
      <c r="B2383" s="5">
        <f>IFERROR(__xludf.DUMMYFUNCTION("""COMPUTED_VALUE"""),1500.0)</f>
        <v>1500</v>
      </c>
      <c r="C2383" s="6">
        <f>IFERROR(__xludf.DUMMYFUNCTION("""COMPUTED_VALUE"""),0.5297)</f>
        <v>0.5297</v>
      </c>
      <c r="D2383" s="2">
        <f>IFERROR(__xludf.DUMMYFUNCTION("""COMPUTED_VALUE"""),0.002037037037037037)</f>
        <v>0.002037037037</v>
      </c>
      <c r="E2383" s="1">
        <f>IFERROR(__xludf.DUMMYFUNCTION("""COMPUTED_VALUE"""),1.1)</f>
        <v>1.1</v>
      </c>
      <c r="F2383" s="1">
        <f>IFERROR(__xludf.DUMMYFUNCTION("""COMPUTED_VALUE"""),5.54)</f>
        <v>5.54</v>
      </c>
      <c r="G2383" s="5">
        <f>IFERROR(__xludf.DUMMYFUNCTION("""COMPUTED_VALUE"""),9150.0)</f>
        <v>9150</v>
      </c>
      <c r="H2383" s="5">
        <f>IFERROR(__xludf.DUMMYFUNCTION("""COMPUTED_VALUE"""),1652.0)</f>
        <v>1652</v>
      </c>
    </row>
    <row r="2384">
      <c r="A2384" s="4">
        <f>IFERROR(__xludf.DUMMYFUNCTION("""COMPUTED_VALUE"""),44752.0)</f>
        <v>44752</v>
      </c>
      <c r="B2384" s="5">
        <f>IFERROR(__xludf.DUMMYFUNCTION("""COMPUTED_VALUE"""),1625.0)</f>
        <v>1625</v>
      </c>
      <c r="C2384" s="6">
        <f>IFERROR(__xludf.DUMMYFUNCTION("""COMPUTED_VALUE"""),0.4334)</f>
        <v>0.4334</v>
      </c>
      <c r="D2384" s="2">
        <f>IFERROR(__xludf.DUMMYFUNCTION("""COMPUTED_VALUE"""),0.0027199074074074074)</f>
        <v>0.002719907407</v>
      </c>
      <c r="E2384" s="1">
        <f>IFERROR(__xludf.DUMMYFUNCTION("""COMPUTED_VALUE"""),1.08)</f>
        <v>1.08</v>
      </c>
      <c r="F2384" s="1">
        <f>IFERROR(__xludf.DUMMYFUNCTION("""COMPUTED_VALUE"""),5.84)</f>
        <v>5.84</v>
      </c>
      <c r="G2384" s="5">
        <f>IFERROR(__xludf.DUMMYFUNCTION("""COMPUTED_VALUE"""),10303.0)</f>
        <v>10303</v>
      </c>
      <c r="H2384" s="5">
        <f>IFERROR(__xludf.DUMMYFUNCTION("""COMPUTED_VALUE"""),1763.0)</f>
        <v>1763</v>
      </c>
    </row>
    <row r="2385">
      <c r="A2385" s="4">
        <f>IFERROR(__xludf.DUMMYFUNCTION("""COMPUTED_VALUE"""),44753.0)</f>
        <v>44753</v>
      </c>
      <c r="B2385" s="5">
        <f>IFERROR(__xludf.DUMMYFUNCTION("""COMPUTED_VALUE"""),2791.0)</f>
        <v>2791</v>
      </c>
      <c r="C2385" s="6">
        <f>IFERROR(__xludf.DUMMYFUNCTION("""COMPUTED_VALUE"""),0.4429)</f>
        <v>0.4429</v>
      </c>
      <c r="D2385" s="2">
        <f>IFERROR(__xludf.DUMMYFUNCTION("""COMPUTED_VALUE"""),0.0018865740740740742)</f>
        <v>0.001886574074</v>
      </c>
      <c r="E2385" s="1">
        <f>IFERROR(__xludf.DUMMYFUNCTION("""COMPUTED_VALUE"""),1.09)</f>
        <v>1.09</v>
      </c>
      <c r="F2385" s="1">
        <f>IFERROR(__xludf.DUMMYFUNCTION("""COMPUTED_VALUE"""),4.72)</f>
        <v>4.72</v>
      </c>
      <c r="G2385" s="5">
        <f>IFERROR(__xludf.DUMMYFUNCTION("""COMPUTED_VALUE"""),14357.0)</f>
        <v>14357</v>
      </c>
      <c r="H2385" s="5">
        <f>IFERROR(__xludf.DUMMYFUNCTION("""COMPUTED_VALUE"""),3041.0)</f>
        <v>3041</v>
      </c>
    </row>
    <row r="2386">
      <c r="A2386" s="4">
        <f>IFERROR(__xludf.DUMMYFUNCTION("""COMPUTED_VALUE"""),44754.0)</f>
        <v>44754</v>
      </c>
      <c r="B2386" s="5">
        <f>IFERROR(__xludf.DUMMYFUNCTION("""COMPUTED_VALUE"""),2694.0)</f>
        <v>2694</v>
      </c>
      <c r="C2386" s="6">
        <f>IFERROR(__xludf.DUMMYFUNCTION("""COMPUTED_VALUE"""),0.4404)</f>
        <v>0.4404</v>
      </c>
      <c r="D2386" s="2">
        <f>IFERROR(__xludf.DUMMYFUNCTION("""COMPUTED_VALUE"""),0.002199074074074074)</f>
        <v>0.002199074074</v>
      </c>
      <c r="E2386" s="1">
        <f>IFERROR(__xludf.DUMMYFUNCTION("""COMPUTED_VALUE"""),1.12)</f>
        <v>1.12</v>
      </c>
      <c r="F2386" s="1">
        <f>IFERROR(__xludf.DUMMYFUNCTION("""COMPUTED_VALUE"""),4.74)</f>
        <v>4.74</v>
      </c>
      <c r="G2386" s="5">
        <f>IFERROR(__xludf.DUMMYFUNCTION("""COMPUTED_VALUE"""),14357.0)</f>
        <v>14357</v>
      </c>
      <c r="H2386" s="5">
        <f>IFERROR(__xludf.DUMMYFUNCTION("""COMPUTED_VALUE"""),3027.0)</f>
        <v>3027</v>
      </c>
    </row>
    <row r="2387">
      <c r="A2387" s="4">
        <f>IFERROR(__xludf.DUMMYFUNCTION("""COMPUTED_VALUE"""),44755.0)</f>
        <v>44755</v>
      </c>
      <c r="B2387" s="5">
        <f>IFERROR(__xludf.DUMMYFUNCTION("""COMPUTED_VALUE"""),2791.0)</f>
        <v>2791</v>
      </c>
      <c r="C2387" s="6">
        <f>IFERROR(__xludf.DUMMYFUNCTION("""COMPUTED_VALUE"""),0.4568)</f>
        <v>0.4568</v>
      </c>
      <c r="D2387" s="2">
        <f>IFERROR(__xludf.DUMMYFUNCTION("""COMPUTED_VALUE"""),0.0025)</f>
        <v>0.0025</v>
      </c>
      <c r="E2387" s="1">
        <f>IFERROR(__xludf.DUMMYFUNCTION("""COMPUTED_VALUE"""),1.1)</f>
        <v>1.1</v>
      </c>
      <c r="F2387" s="1">
        <f>IFERROR(__xludf.DUMMYFUNCTION("""COMPUTED_VALUE"""),5.57)</f>
        <v>5.57</v>
      </c>
      <c r="G2387" s="5">
        <f>IFERROR(__xludf.DUMMYFUNCTION("""COMPUTED_VALUE"""),17093.0)</f>
        <v>17093</v>
      </c>
      <c r="H2387" s="5">
        <f>IFERROR(__xludf.DUMMYFUNCTION("""COMPUTED_VALUE"""),3069.0)</f>
        <v>3069</v>
      </c>
    </row>
    <row r="2388">
      <c r="A2388" s="4">
        <f>IFERROR(__xludf.DUMMYFUNCTION("""COMPUTED_VALUE"""),44756.0)</f>
        <v>44756</v>
      </c>
      <c r="B2388" s="5">
        <f>IFERROR(__xludf.DUMMYFUNCTION("""COMPUTED_VALUE"""),2777.0)</f>
        <v>2777</v>
      </c>
      <c r="C2388" s="6">
        <f>IFERROR(__xludf.DUMMYFUNCTION("""COMPUTED_VALUE"""),0.4066)</f>
        <v>0.4066</v>
      </c>
      <c r="D2388" s="2">
        <f>IFERROR(__xludf.DUMMYFUNCTION("""COMPUTED_VALUE"""),0.002372685185185185)</f>
        <v>0.002372685185</v>
      </c>
      <c r="E2388" s="1">
        <f>IFERROR(__xludf.DUMMYFUNCTION("""COMPUTED_VALUE"""),1.07)</f>
        <v>1.07</v>
      </c>
      <c r="F2388" s="1">
        <f>IFERROR(__xludf.DUMMYFUNCTION("""COMPUTED_VALUE"""),5.35)</f>
        <v>5.35</v>
      </c>
      <c r="G2388" s="5">
        <f>IFERROR(__xludf.DUMMYFUNCTION("""COMPUTED_VALUE"""),15899.0)</f>
        <v>15899</v>
      </c>
      <c r="H2388" s="5">
        <f>IFERROR(__xludf.DUMMYFUNCTION("""COMPUTED_VALUE"""),2971.0)</f>
        <v>2971</v>
      </c>
    </row>
    <row r="2389">
      <c r="A2389" s="4">
        <f>IFERROR(__xludf.DUMMYFUNCTION("""COMPUTED_VALUE"""),44757.0)</f>
        <v>44757</v>
      </c>
      <c r="B2389" s="5">
        <f>IFERROR(__xludf.DUMMYFUNCTION("""COMPUTED_VALUE"""),2430.0)</f>
        <v>2430</v>
      </c>
      <c r="C2389" s="6">
        <f>IFERROR(__xludf.DUMMYFUNCTION("""COMPUTED_VALUE"""),0.4062)</f>
        <v>0.4062</v>
      </c>
      <c r="D2389" s="2">
        <f>IFERROR(__xludf.DUMMYFUNCTION("""COMPUTED_VALUE"""),0.001979166666666667)</f>
        <v>0.001979166667</v>
      </c>
      <c r="E2389" s="1">
        <f>IFERROR(__xludf.DUMMYFUNCTION("""COMPUTED_VALUE"""),1.1)</f>
        <v>1.1</v>
      </c>
      <c r="F2389" s="1">
        <f>IFERROR(__xludf.DUMMYFUNCTION("""COMPUTED_VALUE"""),4.96)</f>
        <v>4.96</v>
      </c>
      <c r="G2389" s="5">
        <f>IFERROR(__xludf.DUMMYFUNCTION("""COMPUTED_VALUE"""),13233.0)</f>
        <v>13233</v>
      </c>
      <c r="H2389" s="5">
        <f>IFERROR(__xludf.DUMMYFUNCTION("""COMPUTED_VALUE"""),2666.0)</f>
        <v>2666</v>
      </c>
    </row>
    <row r="2390">
      <c r="A2390" s="4">
        <f>IFERROR(__xludf.DUMMYFUNCTION("""COMPUTED_VALUE"""),44758.0)</f>
        <v>44758</v>
      </c>
      <c r="B2390" s="5">
        <f>IFERROR(__xludf.DUMMYFUNCTION("""COMPUTED_VALUE"""),1527.0)</f>
        <v>1527</v>
      </c>
      <c r="C2390" s="6">
        <f>IFERROR(__xludf.DUMMYFUNCTION("""COMPUTED_VALUE"""),0.5336)</f>
        <v>0.5336</v>
      </c>
      <c r="D2390" s="2">
        <f>IFERROR(__xludf.DUMMYFUNCTION("""COMPUTED_VALUE"""),0.0020949074074074073)</f>
        <v>0.002094907407</v>
      </c>
      <c r="E2390" s="1">
        <f>IFERROR(__xludf.DUMMYFUNCTION("""COMPUTED_VALUE"""),1.09)</f>
        <v>1.09</v>
      </c>
      <c r="F2390" s="1">
        <f>IFERROR(__xludf.DUMMYFUNCTION("""COMPUTED_VALUE"""),4.43)</f>
        <v>4.43</v>
      </c>
      <c r="G2390" s="5">
        <f>IFERROR(__xludf.DUMMYFUNCTION("""COMPUTED_VALUE"""),7373.0)</f>
        <v>7373</v>
      </c>
      <c r="H2390" s="5">
        <f>IFERROR(__xludf.DUMMYFUNCTION("""COMPUTED_VALUE"""),1666.0)</f>
        <v>1666</v>
      </c>
    </row>
    <row r="2391">
      <c r="A2391" s="4">
        <f>IFERROR(__xludf.DUMMYFUNCTION("""COMPUTED_VALUE"""),44759.0)</f>
        <v>44759</v>
      </c>
      <c r="B2391" s="5">
        <f>IFERROR(__xludf.DUMMYFUNCTION("""COMPUTED_VALUE"""),1597.0)</f>
        <v>1597</v>
      </c>
      <c r="C2391" s="6">
        <f>IFERROR(__xludf.DUMMYFUNCTION("""COMPUTED_VALUE"""),0.4586)</f>
        <v>0.4586</v>
      </c>
      <c r="D2391" s="2">
        <f>IFERROR(__xludf.DUMMYFUNCTION("""COMPUTED_VALUE"""),0.0022685185185185187)</f>
        <v>0.002268518519</v>
      </c>
      <c r="E2391" s="1">
        <f>IFERROR(__xludf.DUMMYFUNCTION("""COMPUTED_VALUE"""),1.16)</f>
        <v>1.16</v>
      </c>
      <c r="F2391" s="1">
        <f>IFERROR(__xludf.DUMMYFUNCTION("""COMPUTED_VALUE"""),4.17)</f>
        <v>4.17</v>
      </c>
      <c r="G2391" s="5">
        <f>IFERROR(__xludf.DUMMYFUNCTION("""COMPUTED_VALUE"""),7706.0)</f>
        <v>7706</v>
      </c>
      <c r="H2391" s="5">
        <f>IFERROR(__xludf.DUMMYFUNCTION("""COMPUTED_VALUE"""),1847.0)</f>
        <v>1847</v>
      </c>
    </row>
    <row r="2392">
      <c r="A2392" s="4">
        <f>IFERROR(__xludf.DUMMYFUNCTION("""COMPUTED_VALUE"""),44760.0)</f>
        <v>44760</v>
      </c>
      <c r="B2392" s="5">
        <f>IFERROR(__xludf.DUMMYFUNCTION("""COMPUTED_VALUE"""),2902.0)</f>
        <v>2902</v>
      </c>
      <c r="C2392" s="6">
        <f>IFERROR(__xludf.DUMMYFUNCTION("""COMPUTED_VALUE"""),0.3704)</f>
        <v>0.3704</v>
      </c>
      <c r="D2392" s="2">
        <f>IFERROR(__xludf.DUMMYFUNCTION("""COMPUTED_VALUE"""),0.0030439814814814813)</f>
        <v>0.003043981481</v>
      </c>
      <c r="E2392" s="1">
        <f>IFERROR(__xludf.DUMMYFUNCTION("""COMPUTED_VALUE"""),1.07)</f>
        <v>1.07</v>
      </c>
      <c r="F2392" s="1">
        <f>IFERROR(__xludf.DUMMYFUNCTION("""COMPUTED_VALUE"""),5.55)</f>
        <v>5.55</v>
      </c>
      <c r="G2392" s="5">
        <f>IFERROR(__xludf.DUMMYFUNCTION("""COMPUTED_VALUE"""),17246.0)</f>
        <v>17246</v>
      </c>
      <c r="H2392" s="5">
        <f>IFERROR(__xludf.DUMMYFUNCTION("""COMPUTED_VALUE"""),3110.0)</f>
        <v>3110</v>
      </c>
    </row>
    <row r="2393">
      <c r="A2393" s="4">
        <f>IFERROR(__xludf.DUMMYFUNCTION("""COMPUTED_VALUE"""),44761.0)</f>
        <v>44761</v>
      </c>
      <c r="B2393" s="5">
        <f>IFERROR(__xludf.DUMMYFUNCTION("""COMPUTED_VALUE"""),3110.0)</f>
        <v>3110</v>
      </c>
      <c r="C2393" s="6">
        <f>IFERROR(__xludf.DUMMYFUNCTION("""COMPUTED_VALUE"""),0.3992)</f>
        <v>0.3992</v>
      </c>
      <c r="D2393" s="2">
        <f>IFERROR(__xludf.DUMMYFUNCTION("""COMPUTED_VALUE"""),0.002384259259259259)</f>
        <v>0.002384259259</v>
      </c>
      <c r="E2393" s="1">
        <f>IFERROR(__xludf.DUMMYFUNCTION("""COMPUTED_VALUE"""),1.11)</f>
        <v>1.11</v>
      </c>
      <c r="F2393" s="1">
        <f>IFERROR(__xludf.DUMMYFUNCTION("""COMPUTED_VALUE"""),5.74)</f>
        <v>5.74</v>
      </c>
      <c r="G2393" s="5">
        <f>IFERROR(__xludf.DUMMYFUNCTION("""COMPUTED_VALUE"""),19759.0)</f>
        <v>19759</v>
      </c>
      <c r="H2393" s="5">
        <f>IFERROR(__xludf.DUMMYFUNCTION("""COMPUTED_VALUE"""),3444.0)</f>
        <v>3444</v>
      </c>
    </row>
    <row r="2394">
      <c r="A2394" s="4">
        <f>IFERROR(__xludf.DUMMYFUNCTION("""COMPUTED_VALUE"""),44762.0)</f>
        <v>44762</v>
      </c>
      <c r="B2394" s="5">
        <f>IFERROR(__xludf.DUMMYFUNCTION("""COMPUTED_VALUE"""),3055.0)</f>
        <v>3055</v>
      </c>
      <c r="C2394" s="6">
        <f>IFERROR(__xludf.DUMMYFUNCTION("""COMPUTED_VALUE"""),0.4039)</f>
        <v>0.4039</v>
      </c>
      <c r="D2394" s="2">
        <f>IFERROR(__xludf.DUMMYFUNCTION("""COMPUTED_VALUE"""),0.002523148148148148)</f>
        <v>0.002523148148</v>
      </c>
      <c r="E2394" s="1">
        <f>IFERROR(__xludf.DUMMYFUNCTION("""COMPUTED_VALUE"""),1.14)</f>
        <v>1.14</v>
      </c>
      <c r="F2394" s="1">
        <f>IFERROR(__xludf.DUMMYFUNCTION("""COMPUTED_VALUE"""),4.58)</f>
        <v>4.58</v>
      </c>
      <c r="G2394" s="5">
        <f>IFERROR(__xludf.DUMMYFUNCTION("""COMPUTED_VALUE"""),15899.0)</f>
        <v>15899</v>
      </c>
      <c r="H2394" s="5">
        <f>IFERROR(__xludf.DUMMYFUNCTION("""COMPUTED_VALUE"""),3471.0)</f>
        <v>3471</v>
      </c>
    </row>
    <row r="2395">
      <c r="A2395" s="4">
        <f>IFERROR(__xludf.DUMMYFUNCTION("""COMPUTED_VALUE"""),44763.0)</f>
        <v>44763</v>
      </c>
      <c r="B2395" s="5">
        <f>IFERROR(__xludf.DUMMYFUNCTION("""COMPUTED_VALUE"""),2958.0)</f>
        <v>2958</v>
      </c>
      <c r="C2395" s="6">
        <f>IFERROR(__xludf.DUMMYFUNCTION("""COMPUTED_VALUE"""),0.4042)</f>
        <v>0.4042</v>
      </c>
      <c r="D2395" s="2">
        <f>IFERROR(__xludf.DUMMYFUNCTION("""COMPUTED_VALUE"""),0.002685185185185185)</f>
        <v>0.002685185185</v>
      </c>
      <c r="E2395" s="1">
        <f>IFERROR(__xludf.DUMMYFUNCTION("""COMPUTED_VALUE"""),1.1)</f>
        <v>1.1</v>
      </c>
      <c r="F2395" s="1">
        <f>IFERROR(__xludf.DUMMYFUNCTION("""COMPUTED_VALUE"""),5.4)</f>
        <v>5.4</v>
      </c>
      <c r="G2395" s="5">
        <f>IFERROR(__xludf.DUMMYFUNCTION("""COMPUTED_VALUE"""),17634.0)</f>
        <v>17634</v>
      </c>
      <c r="H2395" s="5">
        <f>IFERROR(__xludf.DUMMYFUNCTION("""COMPUTED_VALUE"""),3263.0)</f>
        <v>3263</v>
      </c>
    </row>
    <row r="2396">
      <c r="A2396" s="4">
        <f>IFERROR(__xludf.DUMMYFUNCTION("""COMPUTED_VALUE"""),44764.0)</f>
        <v>44764</v>
      </c>
      <c r="B2396" s="5">
        <f>IFERROR(__xludf.DUMMYFUNCTION("""COMPUTED_VALUE"""),2513.0)</f>
        <v>2513</v>
      </c>
      <c r="C2396" s="6">
        <f>IFERROR(__xludf.DUMMYFUNCTION("""COMPUTED_VALUE"""),0.4001)</f>
        <v>0.4001</v>
      </c>
      <c r="D2396" s="2">
        <f>IFERROR(__xludf.DUMMYFUNCTION("""COMPUTED_VALUE"""),0.0025578703703703705)</f>
        <v>0.00255787037</v>
      </c>
      <c r="E2396" s="1">
        <f>IFERROR(__xludf.DUMMYFUNCTION("""COMPUTED_VALUE"""),1.13)</f>
        <v>1.13</v>
      </c>
      <c r="F2396" s="1">
        <f>IFERROR(__xludf.DUMMYFUNCTION("""COMPUTED_VALUE"""),5.58)</f>
        <v>5.58</v>
      </c>
      <c r="G2396" s="5">
        <f>IFERROR(__xludf.DUMMYFUNCTION("""COMPUTED_VALUE"""),15885.0)</f>
        <v>15885</v>
      </c>
      <c r="H2396" s="5">
        <f>IFERROR(__xludf.DUMMYFUNCTION("""COMPUTED_VALUE"""),2847.0)</f>
        <v>2847</v>
      </c>
    </row>
    <row r="2397">
      <c r="A2397" s="4">
        <f>IFERROR(__xludf.DUMMYFUNCTION("""COMPUTED_VALUE"""),44765.0)</f>
        <v>44765</v>
      </c>
      <c r="B2397" s="5">
        <f>IFERROR(__xludf.DUMMYFUNCTION("""COMPUTED_VALUE"""),1541.0)</f>
        <v>1541</v>
      </c>
      <c r="C2397" s="6">
        <f>IFERROR(__xludf.DUMMYFUNCTION("""COMPUTED_VALUE"""),0.4708)</f>
        <v>0.4708</v>
      </c>
      <c r="D2397" s="2">
        <f>IFERROR(__xludf.DUMMYFUNCTION("""COMPUTED_VALUE"""),0.0012268518518518518)</f>
        <v>0.001226851852</v>
      </c>
      <c r="E2397" s="1">
        <f>IFERROR(__xludf.DUMMYFUNCTION("""COMPUTED_VALUE"""),1.09)</f>
        <v>1.09</v>
      </c>
      <c r="F2397" s="1">
        <f>IFERROR(__xludf.DUMMYFUNCTION("""COMPUTED_VALUE"""),3.54)</f>
        <v>3.54</v>
      </c>
      <c r="G2397" s="5">
        <f>IFERROR(__xludf.DUMMYFUNCTION("""COMPUTED_VALUE"""),5943.0)</f>
        <v>5943</v>
      </c>
      <c r="H2397" s="5">
        <f>IFERROR(__xludf.DUMMYFUNCTION("""COMPUTED_VALUE"""),1680.0)</f>
        <v>1680</v>
      </c>
    </row>
    <row r="2398">
      <c r="A2398" s="4">
        <f>IFERROR(__xludf.DUMMYFUNCTION("""COMPUTED_VALUE"""),44766.0)</f>
        <v>44766</v>
      </c>
      <c r="B2398" s="5">
        <f>IFERROR(__xludf.DUMMYFUNCTION("""COMPUTED_VALUE"""),1777.0)</f>
        <v>1777</v>
      </c>
      <c r="C2398" s="6">
        <f>IFERROR(__xludf.DUMMYFUNCTION("""COMPUTED_VALUE"""),0.4149)</f>
        <v>0.4149</v>
      </c>
      <c r="D2398" s="2">
        <f>IFERROR(__xludf.DUMMYFUNCTION("""COMPUTED_VALUE"""),0.002002314814814815)</f>
        <v>0.002002314815</v>
      </c>
      <c r="E2398" s="1">
        <f>IFERROR(__xludf.DUMMYFUNCTION("""COMPUTED_VALUE"""),1.06)</f>
        <v>1.06</v>
      </c>
      <c r="F2398" s="1">
        <f>IFERROR(__xludf.DUMMYFUNCTION("""COMPUTED_VALUE"""),5.3)</f>
        <v>5.3</v>
      </c>
      <c r="G2398" s="5">
        <f>IFERROR(__xludf.DUMMYFUNCTION("""COMPUTED_VALUE"""),9942.0)</f>
        <v>9942</v>
      </c>
      <c r="H2398" s="5">
        <f>IFERROR(__xludf.DUMMYFUNCTION("""COMPUTED_VALUE"""),1875.0)</f>
        <v>1875</v>
      </c>
    </row>
    <row r="2399">
      <c r="A2399" s="4">
        <f>IFERROR(__xludf.DUMMYFUNCTION("""COMPUTED_VALUE"""),44767.0)</f>
        <v>44767</v>
      </c>
      <c r="B2399" s="5">
        <f>IFERROR(__xludf.DUMMYFUNCTION("""COMPUTED_VALUE"""),2819.0)</f>
        <v>2819</v>
      </c>
      <c r="C2399" s="6">
        <f>IFERROR(__xludf.DUMMYFUNCTION("""COMPUTED_VALUE"""),0.4688)</f>
        <v>0.4688</v>
      </c>
      <c r="D2399" s="2">
        <f>IFERROR(__xludf.DUMMYFUNCTION("""COMPUTED_VALUE"""),0.0028472222222222223)</f>
        <v>0.002847222222</v>
      </c>
      <c r="E2399" s="1">
        <f>IFERROR(__xludf.DUMMYFUNCTION("""COMPUTED_VALUE"""),1.1)</f>
        <v>1.1</v>
      </c>
      <c r="F2399" s="1">
        <f>IFERROR(__xludf.DUMMYFUNCTION("""COMPUTED_VALUE"""),6.79)</f>
        <v>6.79</v>
      </c>
      <c r="G2399" s="5">
        <f>IFERROR(__xludf.DUMMYFUNCTION("""COMPUTED_VALUE"""),21106.0)</f>
        <v>21106</v>
      </c>
      <c r="H2399" s="5">
        <f>IFERROR(__xludf.DUMMYFUNCTION("""COMPUTED_VALUE"""),3110.0)</f>
        <v>3110</v>
      </c>
    </row>
    <row r="2400">
      <c r="A2400" s="4">
        <f>IFERROR(__xludf.DUMMYFUNCTION("""COMPUTED_VALUE"""),44768.0)</f>
        <v>44768</v>
      </c>
      <c r="B2400" s="5">
        <f>IFERROR(__xludf.DUMMYFUNCTION("""COMPUTED_VALUE"""),2944.0)</f>
        <v>2944</v>
      </c>
      <c r="C2400" s="6">
        <f>IFERROR(__xludf.DUMMYFUNCTION("""COMPUTED_VALUE"""),0.4092)</f>
        <v>0.4092</v>
      </c>
      <c r="D2400" s="2">
        <f>IFERROR(__xludf.DUMMYFUNCTION("""COMPUTED_VALUE"""),0.002650462962962963)</f>
        <v>0.002650462963</v>
      </c>
      <c r="E2400" s="1">
        <f>IFERROR(__xludf.DUMMYFUNCTION("""COMPUTED_VALUE"""),1.14)</f>
        <v>1.14</v>
      </c>
      <c r="F2400" s="1">
        <f>IFERROR(__xludf.DUMMYFUNCTION("""COMPUTED_VALUE"""),5.72)</f>
        <v>5.72</v>
      </c>
      <c r="G2400" s="5">
        <f>IFERROR(__xludf.DUMMYFUNCTION("""COMPUTED_VALUE"""),19231.0)</f>
        <v>19231</v>
      </c>
      <c r="H2400" s="5">
        <f>IFERROR(__xludf.DUMMYFUNCTION("""COMPUTED_VALUE"""),3360.0)</f>
        <v>3360</v>
      </c>
    </row>
    <row r="2401">
      <c r="A2401" s="4">
        <f>IFERROR(__xludf.DUMMYFUNCTION("""COMPUTED_VALUE"""),44769.0)</f>
        <v>44769</v>
      </c>
      <c r="B2401" s="5">
        <f>IFERROR(__xludf.DUMMYFUNCTION("""COMPUTED_VALUE"""),3235.0)</f>
        <v>3235</v>
      </c>
      <c r="C2401" s="6">
        <f>IFERROR(__xludf.DUMMYFUNCTION("""COMPUTED_VALUE"""),0.4259)</f>
        <v>0.4259</v>
      </c>
      <c r="D2401" s="2">
        <f>IFERROR(__xludf.DUMMYFUNCTION("""COMPUTED_VALUE"""),0.0025810185185185185)</f>
        <v>0.002581018519</v>
      </c>
      <c r="E2401" s="1">
        <f>IFERROR(__xludf.DUMMYFUNCTION("""COMPUTED_VALUE"""),1.1)</f>
        <v>1.1</v>
      </c>
      <c r="F2401" s="1">
        <f>IFERROR(__xludf.DUMMYFUNCTION("""COMPUTED_VALUE"""),5.67)</f>
        <v>5.67</v>
      </c>
      <c r="G2401" s="5">
        <f>IFERROR(__xludf.DUMMYFUNCTION("""COMPUTED_VALUE"""),20162.0)</f>
        <v>20162</v>
      </c>
      <c r="H2401" s="5">
        <f>IFERROR(__xludf.DUMMYFUNCTION("""COMPUTED_VALUE"""),3555.0)</f>
        <v>3555</v>
      </c>
    </row>
    <row r="2402">
      <c r="A2402" s="4">
        <f>IFERROR(__xludf.DUMMYFUNCTION("""COMPUTED_VALUE"""),44770.0)</f>
        <v>44770</v>
      </c>
      <c r="B2402" s="5">
        <f>IFERROR(__xludf.DUMMYFUNCTION("""COMPUTED_VALUE"""),2819.0)</f>
        <v>2819</v>
      </c>
      <c r="C2402" s="6">
        <f>IFERROR(__xludf.DUMMYFUNCTION("""COMPUTED_VALUE"""),0.4104)</f>
        <v>0.4104</v>
      </c>
      <c r="D2402" s="2">
        <f>IFERROR(__xludf.DUMMYFUNCTION("""COMPUTED_VALUE"""),0.0026967592592592594)</f>
        <v>0.002696759259</v>
      </c>
      <c r="E2402" s="1">
        <f>IFERROR(__xludf.DUMMYFUNCTION("""COMPUTED_VALUE"""),1.13)</f>
        <v>1.13</v>
      </c>
      <c r="F2402" s="1">
        <f>IFERROR(__xludf.DUMMYFUNCTION("""COMPUTED_VALUE"""),5.73)</f>
        <v>5.73</v>
      </c>
      <c r="G2402" s="5">
        <f>IFERROR(__xludf.DUMMYFUNCTION("""COMPUTED_VALUE"""),18218.0)</f>
        <v>18218</v>
      </c>
      <c r="H2402" s="5">
        <f>IFERROR(__xludf.DUMMYFUNCTION("""COMPUTED_VALUE"""),3180.0)</f>
        <v>3180</v>
      </c>
    </row>
    <row r="2403">
      <c r="A2403" s="4">
        <f>IFERROR(__xludf.DUMMYFUNCTION("""COMPUTED_VALUE"""),44771.0)</f>
        <v>44771</v>
      </c>
      <c r="B2403" s="5">
        <f>IFERROR(__xludf.DUMMYFUNCTION("""COMPUTED_VALUE"""),2694.0)</f>
        <v>2694</v>
      </c>
      <c r="C2403" s="6">
        <f>IFERROR(__xludf.DUMMYFUNCTION("""COMPUTED_VALUE"""),0.4385)</f>
        <v>0.4385</v>
      </c>
      <c r="D2403" s="2">
        <f>IFERROR(__xludf.DUMMYFUNCTION("""COMPUTED_VALUE"""),0.0022800925925925927)</f>
        <v>0.002280092593</v>
      </c>
      <c r="E2403" s="1">
        <f>IFERROR(__xludf.DUMMYFUNCTION("""COMPUTED_VALUE"""),1.09)</f>
        <v>1.09</v>
      </c>
      <c r="F2403" s="1">
        <f>IFERROR(__xludf.DUMMYFUNCTION("""COMPUTED_VALUE"""),4.57)</f>
        <v>4.57</v>
      </c>
      <c r="G2403" s="5">
        <f>IFERROR(__xludf.DUMMYFUNCTION("""COMPUTED_VALUE"""),13455.0)</f>
        <v>13455</v>
      </c>
      <c r="H2403" s="5">
        <f>IFERROR(__xludf.DUMMYFUNCTION("""COMPUTED_VALUE"""),2944.0)</f>
        <v>2944</v>
      </c>
    </row>
    <row r="2404">
      <c r="A2404" s="4">
        <f>IFERROR(__xludf.DUMMYFUNCTION("""COMPUTED_VALUE"""),44772.0)</f>
        <v>44772</v>
      </c>
      <c r="B2404" s="5">
        <f>IFERROR(__xludf.DUMMYFUNCTION("""COMPUTED_VALUE"""),1389.0)</f>
        <v>1389</v>
      </c>
      <c r="C2404" s="6">
        <f>IFERROR(__xludf.DUMMYFUNCTION("""COMPUTED_VALUE"""),0.4738)</f>
        <v>0.4738</v>
      </c>
      <c r="D2404" s="2">
        <f>IFERROR(__xludf.DUMMYFUNCTION("""COMPUTED_VALUE"""),0.002337962962962963)</f>
        <v>0.002337962963</v>
      </c>
      <c r="E2404" s="1">
        <f>IFERROR(__xludf.DUMMYFUNCTION("""COMPUTED_VALUE"""),1.14)</f>
        <v>1.14</v>
      </c>
      <c r="F2404" s="1">
        <f>IFERROR(__xludf.DUMMYFUNCTION("""COMPUTED_VALUE"""),4.74)</f>
        <v>4.74</v>
      </c>
      <c r="G2404" s="5">
        <f>IFERROR(__xludf.DUMMYFUNCTION("""COMPUTED_VALUE"""),7498.0)</f>
        <v>7498</v>
      </c>
      <c r="H2404" s="5">
        <f>IFERROR(__xludf.DUMMYFUNCTION("""COMPUTED_VALUE"""),1583.0)</f>
        <v>1583</v>
      </c>
    </row>
    <row r="2405">
      <c r="A2405" s="4">
        <f>IFERROR(__xludf.DUMMYFUNCTION("""COMPUTED_VALUE"""),44773.0)</f>
        <v>44773</v>
      </c>
      <c r="B2405" s="5">
        <f>IFERROR(__xludf.DUMMYFUNCTION("""COMPUTED_VALUE"""),1527.0)</f>
        <v>1527</v>
      </c>
      <c r="C2405" s="6">
        <f>IFERROR(__xludf.DUMMYFUNCTION("""COMPUTED_VALUE"""),0.5234)</f>
        <v>0.5234</v>
      </c>
      <c r="D2405" s="2">
        <f>IFERROR(__xludf.DUMMYFUNCTION("""COMPUTED_VALUE"""),0.001990740740740741)</f>
        <v>0.001990740741</v>
      </c>
      <c r="E2405" s="1">
        <f>IFERROR(__xludf.DUMMYFUNCTION("""COMPUTED_VALUE"""),1.15)</f>
        <v>1.15</v>
      </c>
      <c r="F2405" s="1">
        <f>IFERROR(__xludf.DUMMYFUNCTION("""COMPUTED_VALUE"""),4.25)</f>
        <v>4.25</v>
      </c>
      <c r="G2405" s="5">
        <f>IFERROR(__xludf.DUMMYFUNCTION("""COMPUTED_VALUE"""),7443.0)</f>
        <v>7443</v>
      </c>
      <c r="H2405" s="5">
        <f>IFERROR(__xludf.DUMMYFUNCTION("""COMPUTED_VALUE"""),1750.0)</f>
        <v>1750</v>
      </c>
    </row>
    <row r="2406">
      <c r="A2406" s="4">
        <f>IFERROR(__xludf.DUMMYFUNCTION("""COMPUTED_VALUE"""),44774.0)</f>
        <v>44774</v>
      </c>
      <c r="B2406" s="5">
        <f>IFERROR(__xludf.DUMMYFUNCTION("""COMPUTED_VALUE"""),2749.0)</f>
        <v>2749</v>
      </c>
      <c r="C2406" s="6">
        <f>IFERROR(__xludf.DUMMYFUNCTION("""COMPUTED_VALUE"""),0.4574)</f>
        <v>0.4574</v>
      </c>
      <c r="D2406" s="2">
        <f>IFERROR(__xludf.DUMMYFUNCTION("""COMPUTED_VALUE"""),0.002928240740740741)</f>
        <v>0.002928240741</v>
      </c>
      <c r="E2406" s="1">
        <f>IFERROR(__xludf.DUMMYFUNCTION("""COMPUTED_VALUE"""),1.13)</f>
        <v>1.13</v>
      </c>
      <c r="F2406" s="1">
        <f>IFERROR(__xludf.DUMMYFUNCTION("""COMPUTED_VALUE"""),6.15)</f>
        <v>6.15</v>
      </c>
      <c r="G2406" s="5">
        <f>IFERROR(__xludf.DUMMYFUNCTION("""COMPUTED_VALUE"""),19051.0)</f>
        <v>19051</v>
      </c>
      <c r="H2406" s="5">
        <f>IFERROR(__xludf.DUMMYFUNCTION("""COMPUTED_VALUE"""),3096.0)</f>
        <v>3096</v>
      </c>
    </row>
    <row r="2407">
      <c r="A2407" s="4">
        <f>IFERROR(__xludf.DUMMYFUNCTION("""COMPUTED_VALUE"""),44775.0)</f>
        <v>44775</v>
      </c>
      <c r="B2407" s="5">
        <f>IFERROR(__xludf.DUMMYFUNCTION("""COMPUTED_VALUE"""),2874.0)</f>
        <v>2874</v>
      </c>
      <c r="C2407" s="6">
        <f>IFERROR(__xludf.DUMMYFUNCTION("""COMPUTED_VALUE"""),0.4331)</f>
        <v>0.4331</v>
      </c>
      <c r="D2407" s="2">
        <f>IFERROR(__xludf.DUMMYFUNCTION("""COMPUTED_VALUE"""),0.002395833333333333)</f>
        <v>0.002395833333</v>
      </c>
      <c r="E2407" s="1">
        <f>IFERROR(__xludf.DUMMYFUNCTION("""COMPUTED_VALUE"""),1.08)</f>
        <v>1.08</v>
      </c>
      <c r="F2407" s="1">
        <f>IFERROR(__xludf.DUMMYFUNCTION("""COMPUTED_VALUE"""),5.03)</f>
        <v>5.03</v>
      </c>
      <c r="G2407" s="5">
        <f>IFERROR(__xludf.DUMMYFUNCTION("""COMPUTED_VALUE"""),15649.0)</f>
        <v>15649</v>
      </c>
      <c r="H2407" s="5">
        <f>IFERROR(__xludf.DUMMYFUNCTION("""COMPUTED_VALUE"""),3110.0)</f>
        <v>3110</v>
      </c>
    </row>
    <row r="2408">
      <c r="A2408" s="4">
        <f>IFERROR(__xludf.DUMMYFUNCTION("""COMPUTED_VALUE"""),44776.0)</f>
        <v>44776</v>
      </c>
      <c r="B2408" s="5">
        <f>IFERROR(__xludf.DUMMYFUNCTION("""COMPUTED_VALUE"""),2666.0)</f>
        <v>2666</v>
      </c>
      <c r="C2408" s="6">
        <f>IFERROR(__xludf.DUMMYFUNCTION("""COMPUTED_VALUE"""),0.3991)</f>
        <v>0.3991</v>
      </c>
      <c r="D2408" s="2">
        <f>IFERROR(__xludf.DUMMYFUNCTION("""COMPUTED_VALUE"""),0.002800925925925926)</f>
        <v>0.002800925926</v>
      </c>
      <c r="E2408" s="1">
        <f>IFERROR(__xludf.DUMMYFUNCTION("""COMPUTED_VALUE"""),1.14)</f>
        <v>1.14</v>
      </c>
      <c r="F2408" s="1">
        <f>IFERROR(__xludf.DUMMYFUNCTION("""COMPUTED_VALUE"""),5.65)</f>
        <v>5.65</v>
      </c>
      <c r="G2408" s="5">
        <f>IFERROR(__xludf.DUMMYFUNCTION("""COMPUTED_VALUE"""),17107.0)</f>
        <v>17107</v>
      </c>
      <c r="H2408" s="5">
        <f>IFERROR(__xludf.DUMMYFUNCTION("""COMPUTED_VALUE"""),3027.0)</f>
        <v>3027</v>
      </c>
    </row>
    <row r="2409">
      <c r="A2409" s="4">
        <f>IFERROR(__xludf.DUMMYFUNCTION("""COMPUTED_VALUE"""),44777.0)</f>
        <v>44777</v>
      </c>
      <c r="B2409" s="5">
        <f>IFERROR(__xludf.DUMMYFUNCTION("""COMPUTED_VALUE"""),2819.0)</f>
        <v>2819</v>
      </c>
      <c r="C2409" s="6">
        <f>IFERROR(__xludf.DUMMYFUNCTION("""COMPUTED_VALUE"""),0.4486)</f>
        <v>0.4486</v>
      </c>
      <c r="D2409" s="2">
        <f>IFERROR(__xludf.DUMMYFUNCTION("""COMPUTED_VALUE"""),0.0028125)</f>
        <v>0.0028125</v>
      </c>
      <c r="E2409" s="1">
        <f>IFERROR(__xludf.DUMMYFUNCTION("""COMPUTED_VALUE"""),1.1)</f>
        <v>1.1</v>
      </c>
      <c r="F2409" s="1">
        <f>IFERROR(__xludf.DUMMYFUNCTION("""COMPUTED_VALUE"""),5.96)</f>
        <v>5.96</v>
      </c>
      <c r="G2409" s="5">
        <f>IFERROR(__xludf.DUMMYFUNCTION("""COMPUTED_VALUE"""),18454.0)</f>
        <v>18454</v>
      </c>
      <c r="H2409" s="5">
        <f>IFERROR(__xludf.DUMMYFUNCTION("""COMPUTED_VALUE"""),3096.0)</f>
        <v>3096</v>
      </c>
    </row>
    <row r="2410">
      <c r="A2410" s="4">
        <f>IFERROR(__xludf.DUMMYFUNCTION("""COMPUTED_VALUE"""),44778.0)</f>
        <v>44778</v>
      </c>
      <c r="B2410" s="5">
        <f>IFERROR(__xludf.DUMMYFUNCTION("""COMPUTED_VALUE"""),2472.0)</f>
        <v>2472</v>
      </c>
      <c r="C2410" s="6">
        <f>IFERROR(__xludf.DUMMYFUNCTION("""COMPUTED_VALUE"""),0.4184)</f>
        <v>0.4184</v>
      </c>
      <c r="D2410" s="2">
        <f>IFERROR(__xludf.DUMMYFUNCTION("""COMPUTED_VALUE"""),0.002916666666666667)</f>
        <v>0.002916666667</v>
      </c>
      <c r="E2410" s="1">
        <f>IFERROR(__xludf.DUMMYFUNCTION("""COMPUTED_VALUE"""),1.1)</f>
        <v>1.1</v>
      </c>
      <c r="F2410" s="1">
        <f>IFERROR(__xludf.DUMMYFUNCTION("""COMPUTED_VALUE"""),6.89)</f>
        <v>6.89</v>
      </c>
      <c r="G2410" s="5">
        <f>IFERROR(__xludf.DUMMYFUNCTION("""COMPUTED_VALUE"""),18759.0)</f>
        <v>18759</v>
      </c>
      <c r="H2410" s="5">
        <f>IFERROR(__xludf.DUMMYFUNCTION("""COMPUTED_VALUE"""),2722.0)</f>
        <v>2722</v>
      </c>
    </row>
    <row r="2411">
      <c r="A2411" s="4">
        <f>IFERROR(__xludf.DUMMYFUNCTION("""COMPUTED_VALUE"""),44779.0)</f>
        <v>44779</v>
      </c>
      <c r="B2411" s="5">
        <f>IFERROR(__xludf.DUMMYFUNCTION("""COMPUTED_VALUE"""),1402.0)</f>
        <v>1402</v>
      </c>
      <c r="C2411" s="6">
        <f>IFERROR(__xludf.DUMMYFUNCTION("""COMPUTED_VALUE"""),0.4823)</f>
        <v>0.4823</v>
      </c>
      <c r="D2411" s="2">
        <f>IFERROR(__xludf.DUMMYFUNCTION("""COMPUTED_VALUE"""),0.0017708333333333332)</f>
        <v>0.001770833333</v>
      </c>
      <c r="E2411" s="1">
        <f>IFERROR(__xludf.DUMMYFUNCTION("""COMPUTED_VALUE"""),1.11)</f>
        <v>1.11</v>
      </c>
      <c r="F2411" s="1">
        <f>IFERROR(__xludf.DUMMYFUNCTION("""COMPUTED_VALUE"""),3.82)</f>
        <v>3.82</v>
      </c>
      <c r="G2411" s="5">
        <f>IFERROR(__xludf.DUMMYFUNCTION("""COMPUTED_VALUE"""),5943.0)</f>
        <v>5943</v>
      </c>
      <c r="H2411" s="5">
        <f>IFERROR(__xludf.DUMMYFUNCTION("""COMPUTED_VALUE"""),1555.0)</f>
        <v>1555</v>
      </c>
    </row>
    <row r="2412">
      <c r="A2412" s="4">
        <f>IFERROR(__xludf.DUMMYFUNCTION("""COMPUTED_VALUE"""),44780.0)</f>
        <v>44780</v>
      </c>
      <c r="B2412" s="5">
        <f>IFERROR(__xludf.DUMMYFUNCTION("""COMPUTED_VALUE"""),1680.0)</f>
        <v>1680</v>
      </c>
      <c r="C2412" s="6">
        <f>IFERROR(__xludf.DUMMYFUNCTION("""COMPUTED_VALUE"""),0.496)</f>
        <v>0.496</v>
      </c>
      <c r="D2412" s="2">
        <f>IFERROR(__xludf.DUMMYFUNCTION("""COMPUTED_VALUE"""),0.0013078703703703703)</f>
        <v>0.00130787037</v>
      </c>
      <c r="E2412" s="1">
        <f>IFERROR(__xludf.DUMMYFUNCTION("""COMPUTED_VALUE"""),1.03)</f>
        <v>1.03</v>
      </c>
      <c r="F2412" s="1">
        <f>IFERROR(__xludf.DUMMYFUNCTION("""COMPUTED_VALUE"""),4.01)</f>
        <v>4.01</v>
      </c>
      <c r="G2412" s="5">
        <f>IFERROR(__xludf.DUMMYFUNCTION("""COMPUTED_VALUE"""),6957.0)</f>
        <v>6957</v>
      </c>
      <c r="H2412" s="5">
        <f>IFERROR(__xludf.DUMMYFUNCTION("""COMPUTED_VALUE"""),1736.0)</f>
        <v>1736</v>
      </c>
    </row>
    <row r="2413">
      <c r="A2413" s="4">
        <f>IFERROR(__xludf.DUMMYFUNCTION("""COMPUTED_VALUE"""),44781.0)</f>
        <v>44781</v>
      </c>
      <c r="B2413" s="5">
        <f>IFERROR(__xludf.DUMMYFUNCTION("""COMPUTED_VALUE"""),2708.0)</f>
        <v>2708</v>
      </c>
      <c r="C2413" s="6">
        <f>IFERROR(__xludf.DUMMYFUNCTION("""COMPUTED_VALUE"""),0.4396)</f>
        <v>0.4396</v>
      </c>
      <c r="D2413" s="2">
        <f>IFERROR(__xludf.DUMMYFUNCTION("""COMPUTED_VALUE"""),0.002650462962962963)</f>
        <v>0.002650462963</v>
      </c>
      <c r="E2413" s="1">
        <f>IFERROR(__xludf.DUMMYFUNCTION("""COMPUTED_VALUE"""),1.14)</f>
        <v>1.14</v>
      </c>
      <c r="F2413" s="1">
        <f>IFERROR(__xludf.DUMMYFUNCTION("""COMPUTED_VALUE"""),5.67)</f>
        <v>5.67</v>
      </c>
      <c r="G2413" s="5">
        <f>IFERROR(__xludf.DUMMYFUNCTION("""COMPUTED_VALUE"""),17565.0)</f>
        <v>17565</v>
      </c>
      <c r="H2413" s="5">
        <f>IFERROR(__xludf.DUMMYFUNCTION("""COMPUTED_VALUE"""),3096.0)</f>
        <v>3096</v>
      </c>
    </row>
    <row r="2414">
      <c r="A2414" s="4">
        <f>IFERROR(__xludf.DUMMYFUNCTION("""COMPUTED_VALUE"""),44782.0)</f>
        <v>44782</v>
      </c>
      <c r="B2414" s="5">
        <f>IFERROR(__xludf.DUMMYFUNCTION("""COMPUTED_VALUE"""),2874.0)</f>
        <v>2874</v>
      </c>
      <c r="C2414" s="6">
        <f>IFERROR(__xludf.DUMMYFUNCTION("""COMPUTED_VALUE"""),0.3897)</f>
        <v>0.3897</v>
      </c>
      <c r="D2414" s="2">
        <f>IFERROR(__xludf.DUMMYFUNCTION("""COMPUTED_VALUE"""),0.003136574074074074)</f>
        <v>0.003136574074</v>
      </c>
      <c r="E2414" s="1">
        <f>IFERROR(__xludf.DUMMYFUNCTION("""COMPUTED_VALUE"""),1.14)</f>
        <v>1.14</v>
      </c>
      <c r="F2414" s="1">
        <f>IFERROR(__xludf.DUMMYFUNCTION("""COMPUTED_VALUE"""),5.98)</f>
        <v>5.98</v>
      </c>
      <c r="G2414" s="5">
        <f>IFERROR(__xludf.DUMMYFUNCTION("""COMPUTED_VALUE"""),19592.0)</f>
        <v>19592</v>
      </c>
      <c r="H2414" s="5">
        <f>IFERROR(__xludf.DUMMYFUNCTION("""COMPUTED_VALUE"""),3277.0)</f>
        <v>3277</v>
      </c>
    </row>
    <row r="2415">
      <c r="A2415" s="4">
        <f>IFERROR(__xludf.DUMMYFUNCTION("""COMPUTED_VALUE"""),44783.0)</f>
        <v>44783</v>
      </c>
      <c r="B2415" s="5">
        <f>IFERROR(__xludf.DUMMYFUNCTION("""COMPUTED_VALUE"""),2791.0)</f>
        <v>2791</v>
      </c>
      <c r="C2415" s="6">
        <f>IFERROR(__xludf.DUMMYFUNCTION("""COMPUTED_VALUE"""),0.3782)</f>
        <v>0.3782</v>
      </c>
      <c r="D2415" s="2">
        <f>IFERROR(__xludf.DUMMYFUNCTION("""COMPUTED_VALUE"""),0.0025925925925925925)</f>
        <v>0.002592592593</v>
      </c>
      <c r="E2415" s="1">
        <f>IFERROR(__xludf.DUMMYFUNCTION("""COMPUTED_VALUE"""),1.14)</f>
        <v>1.14</v>
      </c>
      <c r="F2415" s="1">
        <f>IFERROR(__xludf.DUMMYFUNCTION("""COMPUTED_VALUE"""),5.42)</f>
        <v>5.42</v>
      </c>
      <c r="G2415" s="5">
        <f>IFERROR(__xludf.DUMMYFUNCTION("""COMPUTED_VALUE"""),17301.0)</f>
        <v>17301</v>
      </c>
      <c r="H2415" s="5">
        <f>IFERROR(__xludf.DUMMYFUNCTION("""COMPUTED_VALUE"""),3194.0)</f>
        <v>3194</v>
      </c>
    </row>
    <row r="2416">
      <c r="A2416" s="4">
        <f>IFERROR(__xludf.DUMMYFUNCTION("""COMPUTED_VALUE"""),44784.0)</f>
        <v>44784</v>
      </c>
      <c r="B2416" s="5">
        <f>IFERROR(__xludf.DUMMYFUNCTION("""COMPUTED_VALUE"""),2485.0)</f>
        <v>2485</v>
      </c>
      <c r="C2416" s="6">
        <f>IFERROR(__xludf.DUMMYFUNCTION("""COMPUTED_VALUE"""),0.4285)</f>
        <v>0.4285</v>
      </c>
      <c r="D2416" s="2">
        <f>IFERROR(__xludf.DUMMYFUNCTION("""COMPUTED_VALUE"""),0.0020833333333333333)</f>
        <v>0.002083333333</v>
      </c>
      <c r="E2416" s="1">
        <f>IFERROR(__xludf.DUMMYFUNCTION("""COMPUTED_VALUE"""),1.13)</f>
        <v>1.13</v>
      </c>
      <c r="F2416" s="1">
        <f>IFERROR(__xludf.DUMMYFUNCTION("""COMPUTED_VALUE"""),5.02)</f>
        <v>5.02</v>
      </c>
      <c r="G2416" s="5">
        <f>IFERROR(__xludf.DUMMYFUNCTION("""COMPUTED_VALUE"""),14163.0)</f>
        <v>14163</v>
      </c>
      <c r="H2416" s="5">
        <f>IFERROR(__xludf.DUMMYFUNCTION("""COMPUTED_VALUE"""),2819.0)</f>
        <v>2819</v>
      </c>
    </row>
    <row r="2417">
      <c r="A2417" s="4">
        <f>IFERROR(__xludf.DUMMYFUNCTION("""COMPUTED_VALUE"""),44785.0)</f>
        <v>44785</v>
      </c>
      <c r="B2417" s="5">
        <f>IFERROR(__xludf.DUMMYFUNCTION("""COMPUTED_VALUE"""),2249.0)</f>
        <v>2249</v>
      </c>
      <c r="C2417" s="6">
        <f>IFERROR(__xludf.DUMMYFUNCTION("""COMPUTED_VALUE"""),0.3131)</f>
        <v>0.3131</v>
      </c>
      <c r="D2417" s="2">
        <f>IFERROR(__xludf.DUMMYFUNCTION("""COMPUTED_VALUE"""),0.0030439814814814813)</f>
        <v>0.003043981481</v>
      </c>
      <c r="E2417" s="1">
        <f>IFERROR(__xludf.DUMMYFUNCTION("""COMPUTED_VALUE"""),1.1)</f>
        <v>1.1</v>
      </c>
      <c r="F2417" s="1">
        <f>IFERROR(__xludf.DUMMYFUNCTION("""COMPUTED_VALUE"""),8.01)</f>
        <v>8.01</v>
      </c>
      <c r="G2417" s="5">
        <f>IFERROR(__xludf.DUMMYFUNCTION("""COMPUTED_VALUE"""),19898.0)</f>
        <v>19898</v>
      </c>
      <c r="H2417" s="5">
        <f>IFERROR(__xludf.DUMMYFUNCTION("""COMPUTED_VALUE"""),2485.0)</f>
        <v>2485</v>
      </c>
    </row>
    <row r="2418">
      <c r="A2418" s="4">
        <f>IFERROR(__xludf.DUMMYFUNCTION("""COMPUTED_VALUE"""),44786.0)</f>
        <v>44786</v>
      </c>
      <c r="B2418" s="5">
        <f>IFERROR(__xludf.DUMMYFUNCTION("""COMPUTED_VALUE"""),1389.0)</f>
        <v>1389</v>
      </c>
      <c r="C2418" s="6">
        <f>IFERROR(__xludf.DUMMYFUNCTION("""COMPUTED_VALUE"""),0.5285)</f>
        <v>0.5285</v>
      </c>
      <c r="D2418" s="2">
        <f>IFERROR(__xludf.DUMMYFUNCTION("""COMPUTED_VALUE"""),0.0014814814814814814)</f>
        <v>0.001481481481</v>
      </c>
      <c r="E2418" s="1">
        <f>IFERROR(__xludf.DUMMYFUNCTION("""COMPUTED_VALUE"""),1.06)</f>
        <v>1.06</v>
      </c>
      <c r="F2418" s="1">
        <f>IFERROR(__xludf.DUMMYFUNCTION("""COMPUTED_VALUE"""),3.24)</f>
        <v>3.24</v>
      </c>
      <c r="G2418" s="5">
        <f>IFERROR(__xludf.DUMMYFUNCTION("""COMPUTED_VALUE"""),4763.0)</f>
        <v>4763</v>
      </c>
      <c r="H2418" s="5">
        <f>IFERROR(__xludf.DUMMYFUNCTION("""COMPUTED_VALUE"""),1472.0)</f>
        <v>1472</v>
      </c>
    </row>
    <row r="2419">
      <c r="A2419" s="4">
        <f>IFERROR(__xludf.DUMMYFUNCTION("""COMPUTED_VALUE"""),44787.0)</f>
        <v>44787</v>
      </c>
      <c r="B2419" s="5">
        <f>IFERROR(__xludf.DUMMYFUNCTION("""COMPUTED_VALUE"""),1389.0)</f>
        <v>1389</v>
      </c>
      <c r="C2419" s="6">
        <f>IFERROR(__xludf.DUMMYFUNCTION("""COMPUTED_VALUE"""),0.5258)</f>
        <v>0.5258</v>
      </c>
      <c r="D2419" s="2">
        <f>IFERROR(__xludf.DUMMYFUNCTION("""COMPUTED_VALUE"""),0.0015046296296296296)</f>
        <v>0.00150462963</v>
      </c>
      <c r="E2419" s="1">
        <f>IFERROR(__xludf.DUMMYFUNCTION("""COMPUTED_VALUE"""),1.16)</f>
        <v>1.16</v>
      </c>
      <c r="F2419" s="1">
        <f>IFERROR(__xludf.DUMMYFUNCTION("""COMPUTED_VALUE"""),3.68)</f>
        <v>3.68</v>
      </c>
      <c r="G2419" s="5">
        <f>IFERROR(__xludf.DUMMYFUNCTION("""COMPUTED_VALUE"""),5929.0)</f>
        <v>5929</v>
      </c>
      <c r="H2419" s="5">
        <f>IFERROR(__xludf.DUMMYFUNCTION("""COMPUTED_VALUE"""),1611.0)</f>
        <v>1611</v>
      </c>
    </row>
    <row r="2420">
      <c r="A2420" s="4">
        <f>IFERROR(__xludf.DUMMYFUNCTION("""COMPUTED_VALUE"""),44788.0)</f>
        <v>44788</v>
      </c>
      <c r="B2420" s="5">
        <f>IFERROR(__xludf.DUMMYFUNCTION("""COMPUTED_VALUE"""),2499.0)</f>
        <v>2499</v>
      </c>
      <c r="C2420" s="6">
        <f>IFERROR(__xludf.DUMMYFUNCTION("""COMPUTED_VALUE"""),0.4194)</f>
        <v>0.4194</v>
      </c>
      <c r="D2420" s="2">
        <f>IFERROR(__xludf.DUMMYFUNCTION("""COMPUTED_VALUE"""),0.002534722222222222)</f>
        <v>0.002534722222</v>
      </c>
      <c r="E2420" s="1">
        <f>IFERROR(__xludf.DUMMYFUNCTION("""COMPUTED_VALUE"""),1.14)</f>
        <v>1.14</v>
      </c>
      <c r="F2420" s="1">
        <f>IFERROR(__xludf.DUMMYFUNCTION("""COMPUTED_VALUE"""),5.07)</f>
        <v>5.07</v>
      </c>
      <c r="G2420" s="5">
        <f>IFERROR(__xludf.DUMMYFUNCTION("""COMPUTED_VALUE"""),14427.0)</f>
        <v>14427</v>
      </c>
      <c r="H2420" s="5">
        <f>IFERROR(__xludf.DUMMYFUNCTION("""COMPUTED_VALUE"""),2847.0)</f>
        <v>2847</v>
      </c>
    </row>
    <row r="2421">
      <c r="A2421" s="4">
        <f>IFERROR(__xludf.DUMMYFUNCTION("""COMPUTED_VALUE"""),44789.0)</f>
        <v>44789</v>
      </c>
      <c r="B2421" s="5">
        <f>IFERROR(__xludf.DUMMYFUNCTION("""COMPUTED_VALUE"""),2347.0)</f>
        <v>2347</v>
      </c>
      <c r="C2421" s="6">
        <f>IFERROR(__xludf.DUMMYFUNCTION("""COMPUTED_VALUE"""),0.3849)</f>
        <v>0.3849</v>
      </c>
      <c r="D2421" s="2">
        <f>IFERROR(__xludf.DUMMYFUNCTION("""COMPUTED_VALUE"""),0.002800925925925926)</f>
        <v>0.002800925926</v>
      </c>
      <c r="E2421" s="1">
        <f>IFERROR(__xludf.DUMMYFUNCTION("""COMPUTED_VALUE"""),1.18)</f>
        <v>1.18</v>
      </c>
      <c r="F2421" s="1">
        <f>IFERROR(__xludf.DUMMYFUNCTION("""COMPUTED_VALUE"""),6.54)</f>
        <v>6.54</v>
      </c>
      <c r="G2421" s="5">
        <f>IFERROR(__xludf.DUMMYFUNCTION("""COMPUTED_VALUE"""),18162.0)</f>
        <v>18162</v>
      </c>
      <c r="H2421" s="5">
        <f>IFERROR(__xludf.DUMMYFUNCTION("""COMPUTED_VALUE"""),2777.0)</f>
        <v>2777</v>
      </c>
    </row>
    <row r="2422">
      <c r="A2422" s="4">
        <f>IFERROR(__xludf.DUMMYFUNCTION("""COMPUTED_VALUE"""),44790.0)</f>
        <v>44790</v>
      </c>
      <c r="B2422" s="5">
        <f>IFERROR(__xludf.DUMMYFUNCTION("""COMPUTED_VALUE"""),2485.0)</f>
        <v>2485</v>
      </c>
      <c r="C2422" s="6">
        <f>IFERROR(__xludf.DUMMYFUNCTION("""COMPUTED_VALUE"""),0.4465)</f>
        <v>0.4465</v>
      </c>
      <c r="D2422" s="2">
        <f>IFERROR(__xludf.DUMMYFUNCTION("""COMPUTED_VALUE"""),0.0021064814814814813)</f>
        <v>0.002106481481</v>
      </c>
      <c r="E2422" s="1">
        <f>IFERROR(__xludf.DUMMYFUNCTION("""COMPUTED_VALUE"""),1.15)</f>
        <v>1.15</v>
      </c>
      <c r="F2422" s="1">
        <f>IFERROR(__xludf.DUMMYFUNCTION("""COMPUTED_VALUE"""),5.09)</f>
        <v>5.09</v>
      </c>
      <c r="G2422" s="5">
        <f>IFERROR(__xludf.DUMMYFUNCTION("""COMPUTED_VALUE"""),14566.0)</f>
        <v>14566</v>
      </c>
      <c r="H2422" s="5">
        <f>IFERROR(__xludf.DUMMYFUNCTION("""COMPUTED_VALUE"""),2860.0)</f>
        <v>2860</v>
      </c>
    </row>
    <row r="2423">
      <c r="A2423" s="4">
        <f>IFERROR(__xludf.DUMMYFUNCTION("""COMPUTED_VALUE"""),44791.0)</f>
        <v>44791</v>
      </c>
      <c r="B2423" s="5">
        <f>IFERROR(__xludf.DUMMYFUNCTION("""COMPUTED_VALUE"""),2833.0)</f>
        <v>2833</v>
      </c>
      <c r="C2423" s="6">
        <f>IFERROR(__xludf.DUMMYFUNCTION("""COMPUTED_VALUE"""),0.4187)</f>
        <v>0.4187</v>
      </c>
      <c r="D2423" s="2">
        <f>IFERROR(__xludf.DUMMYFUNCTION("""COMPUTED_VALUE"""),0.0028587962962962963)</f>
        <v>0.002858796296</v>
      </c>
      <c r="E2423" s="1">
        <f>IFERROR(__xludf.DUMMYFUNCTION("""COMPUTED_VALUE"""),1.09)</f>
        <v>1.09</v>
      </c>
      <c r="F2423" s="1">
        <f>IFERROR(__xludf.DUMMYFUNCTION("""COMPUTED_VALUE"""),6.02)</f>
        <v>6.02</v>
      </c>
      <c r="G2423" s="5">
        <f>IFERROR(__xludf.DUMMYFUNCTION("""COMPUTED_VALUE"""),18565.0)</f>
        <v>18565</v>
      </c>
      <c r="H2423" s="5">
        <f>IFERROR(__xludf.DUMMYFUNCTION("""COMPUTED_VALUE"""),3083.0)</f>
        <v>3083</v>
      </c>
    </row>
    <row r="2424">
      <c r="A2424" s="4">
        <f>IFERROR(__xludf.DUMMYFUNCTION("""COMPUTED_VALUE"""),44792.0)</f>
        <v>44792</v>
      </c>
      <c r="B2424" s="5">
        <f>IFERROR(__xludf.DUMMYFUNCTION("""COMPUTED_VALUE"""),2194.0)</f>
        <v>2194</v>
      </c>
      <c r="C2424" s="6">
        <f>IFERROR(__xludf.DUMMYFUNCTION("""COMPUTED_VALUE"""),0.407)</f>
        <v>0.407</v>
      </c>
      <c r="D2424" s="2">
        <f>IFERROR(__xludf.DUMMYFUNCTION("""COMPUTED_VALUE"""),0.004201388888888889)</f>
        <v>0.004201388889</v>
      </c>
      <c r="E2424" s="1">
        <f>IFERROR(__xludf.DUMMYFUNCTION("""COMPUTED_VALUE"""),1.09)</f>
        <v>1.09</v>
      </c>
      <c r="F2424" s="1">
        <f>IFERROR(__xludf.DUMMYFUNCTION("""COMPUTED_VALUE"""),7.95)</f>
        <v>7.95</v>
      </c>
      <c r="G2424" s="5">
        <f>IFERROR(__xludf.DUMMYFUNCTION("""COMPUTED_VALUE"""),18995.0)</f>
        <v>18995</v>
      </c>
      <c r="H2424" s="5">
        <f>IFERROR(__xludf.DUMMYFUNCTION("""COMPUTED_VALUE"""),2388.0)</f>
        <v>2388</v>
      </c>
    </row>
    <row r="2425">
      <c r="A2425" s="4">
        <f>IFERROR(__xludf.DUMMYFUNCTION("""COMPUTED_VALUE"""),44793.0)</f>
        <v>44793</v>
      </c>
      <c r="B2425" s="5">
        <f>IFERROR(__xludf.DUMMYFUNCTION("""COMPUTED_VALUE"""),1277.0)</f>
        <v>1277</v>
      </c>
      <c r="C2425" s="6">
        <f>IFERROR(__xludf.DUMMYFUNCTION("""COMPUTED_VALUE"""),0.4444)</f>
        <v>0.4444</v>
      </c>
      <c r="D2425" s="2">
        <f>IFERROR(__xludf.DUMMYFUNCTION("""COMPUTED_VALUE"""),0.0030787037037037037)</f>
        <v>0.003078703704</v>
      </c>
      <c r="E2425" s="1">
        <f>IFERROR(__xludf.DUMMYFUNCTION("""COMPUTED_VALUE"""),1.08)</f>
        <v>1.08</v>
      </c>
      <c r="F2425" s="1">
        <f>IFERROR(__xludf.DUMMYFUNCTION("""COMPUTED_VALUE"""),6.94)</f>
        <v>6.94</v>
      </c>
      <c r="G2425" s="5">
        <f>IFERROR(__xludf.DUMMYFUNCTION("""COMPUTED_VALUE"""),9539.0)</f>
        <v>9539</v>
      </c>
      <c r="H2425" s="5">
        <f>IFERROR(__xludf.DUMMYFUNCTION("""COMPUTED_VALUE"""),1375.0)</f>
        <v>1375</v>
      </c>
    </row>
    <row r="2426">
      <c r="A2426" s="4">
        <f>IFERROR(__xludf.DUMMYFUNCTION("""COMPUTED_VALUE"""),44794.0)</f>
        <v>44794</v>
      </c>
      <c r="B2426" s="5">
        <f>IFERROR(__xludf.DUMMYFUNCTION("""COMPUTED_VALUE"""),1555.0)</f>
        <v>1555</v>
      </c>
      <c r="C2426" s="6">
        <f>IFERROR(__xludf.DUMMYFUNCTION("""COMPUTED_VALUE"""),0.4829)</f>
        <v>0.4829</v>
      </c>
      <c r="D2426" s="2">
        <f>IFERROR(__xludf.DUMMYFUNCTION("""COMPUTED_VALUE"""),0.002384259259259259)</f>
        <v>0.002384259259</v>
      </c>
      <c r="E2426" s="1">
        <f>IFERROR(__xludf.DUMMYFUNCTION("""COMPUTED_VALUE"""),1.05)</f>
        <v>1.05</v>
      </c>
      <c r="F2426" s="1">
        <f>IFERROR(__xludf.DUMMYFUNCTION("""COMPUTED_VALUE"""),4.54)</f>
        <v>4.54</v>
      </c>
      <c r="G2426" s="5">
        <f>IFERROR(__xludf.DUMMYFUNCTION("""COMPUTED_VALUE"""),7429.0)</f>
        <v>7429</v>
      </c>
      <c r="H2426" s="5">
        <f>IFERROR(__xludf.DUMMYFUNCTION("""COMPUTED_VALUE"""),1638.0)</f>
        <v>1638</v>
      </c>
    </row>
    <row r="2427">
      <c r="A2427" s="4">
        <f>IFERROR(__xludf.DUMMYFUNCTION("""COMPUTED_VALUE"""),44795.0)</f>
        <v>44795</v>
      </c>
      <c r="B2427" s="5">
        <f>IFERROR(__xludf.DUMMYFUNCTION("""COMPUTED_VALUE"""),2597.0)</f>
        <v>2597</v>
      </c>
      <c r="C2427" s="6">
        <f>IFERROR(__xludf.DUMMYFUNCTION("""COMPUTED_VALUE"""),0.428)</f>
        <v>0.428</v>
      </c>
      <c r="D2427" s="2">
        <f>IFERROR(__xludf.DUMMYFUNCTION("""COMPUTED_VALUE"""),0.0019675925925925924)</f>
        <v>0.001967592593</v>
      </c>
      <c r="E2427" s="1">
        <f>IFERROR(__xludf.DUMMYFUNCTION("""COMPUTED_VALUE"""),1.11)</f>
        <v>1.11</v>
      </c>
      <c r="F2427" s="1">
        <f>IFERROR(__xludf.DUMMYFUNCTION("""COMPUTED_VALUE"""),5.61)</f>
        <v>5.61</v>
      </c>
      <c r="G2427" s="5">
        <f>IFERROR(__xludf.DUMMYFUNCTION("""COMPUTED_VALUE"""),16204.0)</f>
        <v>16204</v>
      </c>
      <c r="H2427" s="5">
        <f>IFERROR(__xludf.DUMMYFUNCTION("""COMPUTED_VALUE"""),2888.0)</f>
        <v>2888</v>
      </c>
    </row>
    <row r="2428">
      <c r="A2428" s="4">
        <f>IFERROR(__xludf.DUMMYFUNCTION("""COMPUTED_VALUE"""),44796.0)</f>
        <v>44796</v>
      </c>
      <c r="B2428" s="5">
        <f>IFERROR(__xludf.DUMMYFUNCTION("""COMPUTED_VALUE"""),2791.0)</f>
        <v>2791</v>
      </c>
      <c r="C2428" s="6">
        <f>IFERROR(__xludf.DUMMYFUNCTION("""COMPUTED_VALUE"""),0.3245)</f>
        <v>0.3245</v>
      </c>
      <c r="D2428" s="2">
        <f>IFERROR(__xludf.DUMMYFUNCTION("""COMPUTED_VALUE"""),0.002638888888888889)</f>
        <v>0.002638888889</v>
      </c>
      <c r="E2428" s="1">
        <f>IFERROR(__xludf.DUMMYFUNCTION("""COMPUTED_VALUE"""),1.15)</f>
        <v>1.15</v>
      </c>
      <c r="F2428" s="1">
        <f>IFERROR(__xludf.DUMMYFUNCTION("""COMPUTED_VALUE"""),5.65)</f>
        <v>5.65</v>
      </c>
      <c r="G2428" s="5">
        <f>IFERROR(__xludf.DUMMYFUNCTION("""COMPUTED_VALUE"""),18134.0)</f>
        <v>18134</v>
      </c>
      <c r="H2428" s="5">
        <f>IFERROR(__xludf.DUMMYFUNCTION("""COMPUTED_VALUE"""),3208.0)</f>
        <v>3208</v>
      </c>
    </row>
    <row r="2429">
      <c r="A2429" s="4">
        <f>IFERROR(__xludf.DUMMYFUNCTION("""COMPUTED_VALUE"""),44797.0)</f>
        <v>44797</v>
      </c>
      <c r="B2429" s="5">
        <f>IFERROR(__xludf.DUMMYFUNCTION("""COMPUTED_VALUE"""),2666.0)</f>
        <v>2666</v>
      </c>
      <c r="C2429" s="6">
        <f>IFERROR(__xludf.DUMMYFUNCTION("""COMPUTED_VALUE"""),0.4211)</f>
        <v>0.4211</v>
      </c>
      <c r="D2429" s="2">
        <f>IFERROR(__xludf.DUMMYFUNCTION("""COMPUTED_VALUE"""),0.0027083333333333334)</f>
        <v>0.002708333333</v>
      </c>
      <c r="E2429" s="1">
        <f>IFERROR(__xludf.DUMMYFUNCTION("""COMPUTED_VALUE"""),1.09)</f>
        <v>1.09</v>
      </c>
      <c r="F2429" s="1">
        <f>IFERROR(__xludf.DUMMYFUNCTION("""COMPUTED_VALUE"""),5.59)</f>
        <v>5.59</v>
      </c>
      <c r="G2429" s="5">
        <f>IFERROR(__xludf.DUMMYFUNCTION("""COMPUTED_VALUE"""),16218.0)</f>
        <v>16218</v>
      </c>
      <c r="H2429" s="5">
        <f>IFERROR(__xludf.DUMMYFUNCTION("""COMPUTED_VALUE"""),2902.0)</f>
        <v>2902</v>
      </c>
    </row>
    <row r="2430">
      <c r="A2430" s="4">
        <f>IFERROR(__xludf.DUMMYFUNCTION("""COMPUTED_VALUE"""),44798.0)</f>
        <v>44798</v>
      </c>
      <c r="B2430" s="5">
        <f>IFERROR(__xludf.DUMMYFUNCTION("""COMPUTED_VALUE"""),2708.0)</f>
        <v>2708</v>
      </c>
      <c r="C2430" s="6">
        <f>IFERROR(__xludf.DUMMYFUNCTION("""COMPUTED_VALUE"""),0.4455)</f>
        <v>0.4455</v>
      </c>
      <c r="D2430" s="2">
        <f>IFERROR(__xludf.DUMMYFUNCTION("""COMPUTED_VALUE"""),0.002534722222222222)</f>
        <v>0.002534722222</v>
      </c>
      <c r="E2430" s="1">
        <f>IFERROR(__xludf.DUMMYFUNCTION("""COMPUTED_VALUE"""),1.13)</f>
        <v>1.13</v>
      </c>
      <c r="F2430" s="1">
        <f>IFERROR(__xludf.DUMMYFUNCTION("""COMPUTED_VALUE"""),4.55)</f>
        <v>4.55</v>
      </c>
      <c r="G2430" s="5">
        <f>IFERROR(__xludf.DUMMYFUNCTION("""COMPUTED_VALUE"""),13913.0)</f>
        <v>13913</v>
      </c>
      <c r="H2430" s="5">
        <f>IFERROR(__xludf.DUMMYFUNCTION("""COMPUTED_VALUE"""),3055.0)</f>
        <v>3055</v>
      </c>
    </row>
    <row r="2431">
      <c r="A2431" s="4">
        <f>IFERROR(__xludf.DUMMYFUNCTION("""COMPUTED_VALUE"""),44799.0)</f>
        <v>44799</v>
      </c>
      <c r="B2431" s="5">
        <f>IFERROR(__xludf.DUMMYFUNCTION("""COMPUTED_VALUE"""),2444.0)</f>
        <v>2444</v>
      </c>
      <c r="C2431" s="6">
        <f>IFERROR(__xludf.DUMMYFUNCTION("""COMPUTED_VALUE"""),0.4128)</f>
        <v>0.4128</v>
      </c>
      <c r="D2431" s="2">
        <f>IFERROR(__xludf.DUMMYFUNCTION("""COMPUTED_VALUE"""),0.0024305555555555556)</f>
        <v>0.002430555556</v>
      </c>
      <c r="E2431" s="1">
        <f>IFERROR(__xludf.DUMMYFUNCTION("""COMPUTED_VALUE"""),1.14)</f>
        <v>1.14</v>
      </c>
      <c r="F2431" s="1">
        <f>IFERROR(__xludf.DUMMYFUNCTION("""COMPUTED_VALUE"""),4.67)</f>
        <v>4.67</v>
      </c>
      <c r="G2431" s="5">
        <f>IFERROR(__xludf.DUMMYFUNCTION("""COMPUTED_VALUE"""),13038.0)</f>
        <v>13038</v>
      </c>
      <c r="H2431" s="5">
        <f>IFERROR(__xludf.DUMMYFUNCTION("""COMPUTED_VALUE"""),2791.0)</f>
        <v>2791</v>
      </c>
    </row>
    <row r="2432">
      <c r="A2432" s="4">
        <f>IFERROR(__xludf.DUMMYFUNCTION("""COMPUTED_VALUE"""),44800.0)</f>
        <v>44800</v>
      </c>
      <c r="B2432" s="5">
        <f>IFERROR(__xludf.DUMMYFUNCTION("""COMPUTED_VALUE"""),1291.0)</f>
        <v>1291</v>
      </c>
      <c r="C2432" s="6">
        <f>IFERROR(__xludf.DUMMYFUNCTION("""COMPUTED_VALUE"""),0.4206)</f>
        <v>0.4206</v>
      </c>
      <c r="D2432" s="2">
        <f>IFERROR(__xludf.DUMMYFUNCTION("""COMPUTED_VALUE"""),0.0017592592592592592)</f>
        <v>0.001759259259</v>
      </c>
      <c r="E2432" s="1">
        <f>IFERROR(__xludf.DUMMYFUNCTION("""COMPUTED_VALUE"""),1.15)</f>
        <v>1.15</v>
      </c>
      <c r="F2432" s="1">
        <f>IFERROR(__xludf.DUMMYFUNCTION("""COMPUTED_VALUE"""),4.76)</f>
        <v>4.76</v>
      </c>
      <c r="G2432" s="5">
        <f>IFERROR(__xludf.DUMMYFUNCTION("""COMPUTED_VALUE"""),7068.0)</f>
        <v>7068</v>
      </c>
      <c r="H2432" s="5">
        <f>IFERROR(__xludf.DUMMYFUNCTION("""COMPUTED_VALUE"""),1486.0)</f>
        <v>1486</v>
      </c>
    </row>
    <row r="2433">
      <c r="A2433" s="4">
        <f>IFERROR(__xludf.DUMMYFUNCTION("""COMPUTED_VALUE"""),44801.0)</f>
        <v>44801</v>
      </c>
      <c r="B2433" s="5">
        <f>IFERROR(__xludf.DUMMYFUNCTION("""COMPUTED_VALUE"""),1305.0)</f>
        <v>1305</v>
      </c>
      <c r="C2433" s="6">
        <f>IFERROR(__xludf.DUMMYFUNCTION("""COMPUTED_VALUE"""),0.4776)</f>
        <v>0.4776</v>
      </c>
      <c r="D2433" s="2">
        <f>IFERROR(__xludf.DUMMYFUNCTION("""COMPUTED_VALUE"""),0.0021064814814814813)</f>
        <v>0.002106481481</v>
      </c>
      <c r="E2433" s="1">
        <f>IFERROR(__xludf.DUMMYFUNCTION("""COMPUTED_VALUE"""),1.18)</f>
        <v>1.18</v>
      </c>
      <c r="F2433" s="1">
        <f>IFERROR(__xludf.DUMMYFUNCTION("""COMPUTED_VALUE"""),4.04)</f>
        <v>4.04</v>
      </c>
      <c r="G2433" s="5">
        <f>IFERROR(__xludf.DUMMYFUNCTION("""COMPUTED_VALUE"""),6221.0)</f>
        <v>6221</v>
      </c>
      <c r="H2433" s="5">
        <f>IFERROR(__xludf.DUMMYFUNCTION("""COMPUTED_VALUE"""),1541.0)</f>
        <v>1541</v>
      </c>
    </row>
    <row r="2434">
      <c r="A2434" s="4">
        <f>IFERROR(__xludf.DUMMYFUNCTION("""COMPUTED_VALUE"""),44802.0)</f>
        <v>44802</v>
      </c>
      <c r="B2434" s="5">
        <f>IFERROR(__xludf.DUMMYFUNCTION("""COMPUTED_VALUE"""),2430.0)</f>
        <v>2430</v>
      </c>
      <c r="C2434" s="6">
        <f>IFERROR(__xludf.DUMMYFUNCTION("""COMPUTED_VALUE"""),0.4507)</f>
        <v>0.4507</v>
      </c>
      <c r="D2434" s="2">
        <f>IFERROR(__xludf.DUMMYFUNCTION("""COMPUTED_VALUE"""),0.0019097222222222222)</f>
        <v>0.001909722222</v>
      </c>
      <c r="E2434" s="1">
        <f>IFERROR(__xludf.DUMMYFUNCTION("""COMPUTED_VALUE"""),1.1)</f>
        <v>1.1</v>
      </c>
      <c r="F2434" s="1">
        <f>IFERROR(__xludf.DUMMYFUNCTION("""COMPUTED_VALUE"""),4.4)</f>
        <v>4.4</v>
      </c>
      <c r="G2434" s="5">
        <f>IFERROR(__xludf.DUMMYFUNCTION("""COMPUTED_VALUE"""),11789.0)</f>
        <v>11789</v>
      </c>
      <c r="H2434" s="5">
        <f>IFERROR(__xludf.DUMMYFUNCTION("""COMPUTED_VALUE"""),2680.0)</f>
        <v>2680</v>
      </c>
    </row>
    <row r="2435">
      <c r="A2435" s="4">
        <f>IFERROR(__xludf.DUMMYFUNCTION("""COMPUTED_VALUE"""),44803.0)</f>
        <v>44803</v>
      </c>
      <c r="B2435" s="5">
        <f>IFERROR(__xludf.DUMMYFUNCTION("""COMPUTED_VALUE"""),2499.0)</f>
        <v>2499</v>
      </c>
      <c r="C2435" s="6">
        <f>IFERROR(__xludf.DUMMYFUNCTION("""COMPUTED_VALUE"""),0.4716)</f>
        <v>0.4716</v>
      </c>
      <c r="D2435" s="2">
        <f>IFERROR(__xludf.DUMMYFUNCTION("""COMPUTED_VALUE"""),0.0018287037037037037)</f>
        <v>0.001828703704</v>
      </c>
      <c r="E2435" s="1">
        <f>IFERROR(__xludf.DUMMYFUNCTION("""COMPUTED_VALUE"""),1.08)</f>
        <v>1.08</v>
      </c>
      <c r="F2435" s="1">
        <f>IFERROR(__xludf.DUMMYFUNCTION("""COMPUTED_VALUE"""),5.07)</f>
        <v>5.07</v>
      </c>
      <c r="G2435" s="5">
        <f>IFERROR(__xludf.DUMMYFUNCTION("""COMPUTED_VALUE"""),13719.0)</f>
        <v>13719</v>
      </c>
      <c r="H2435" s="5">
        <f>IFERROR(__xludf.DUMMYFUNCTION("""COMPUTED_VALUE"""),2708.0)</f>
        <v>2708</v>
      </c>
    </row>
    <row r="2436">
      <c r="A2436" s="4">
        <f>IFERROR(__xludf.DUMMYFUNCTION("""COMPUTED_VALUE"""),44804.0)</f>
        <v>44804</v>
      </c>
      <c r="B2436" s="5">
        <f>IFERROR(__xludf.DUMMYFUNCTION("""COMPUTED_VALUE"""),2680.0)</f>
        <v>2680</v>
      </c>
      <c r="C2436" s="6">
        <f>IFERROR(__xludf.DUMMYFUNCTION("""COMPUTED_VALUE"""),0.4492)</f>
        <v>0.4492</v>
      </c>
      <c r="D2436" s="2">
        <f>IFERROR(__xludf.DUMMYFUNCTION("""COMPUTED_VALUE"""),0.002037037037037037)</f>
        <v>0.002037037037</v>
      </c>
      <c r="E2436" s="1">
        <f>IFERROR(__xludf.DUMMYFUNCTION("""COMPUTED_VALUE"""),1.07)</f>
        <v>1.07</v>
      </c>
      <c r="F2436" s="1">
        <f>IFERROR(__xludf.DUMMYFUNCTION("""COMPUTED_VALUE"""),5.53)</f>
        <v>5.53</v>
      </c>
      <c r="G2436" s="5">
        <f>IFERROR(__xludf.DUMMYFUNCTION("""COMPUTED_VALUE"""),15885.0)</f>
        <v>15885</v>
      </c>
      <c r="H2436" s="5">
        <f>IFERROR(__xludf.DUMMYFUNCTION("""COMPUTED_VALUE"""),2874.0)</f>
        <v>2874</v>
      </c>
    </row>
    <row r="2437">
      <c r="A2437" s="4">
        <f>IFERROR(__xludf.DUMMYFUNCTION("""COMPUTED_VALUE"""),44805.0)</f>
        <v>44805</v>
      </c>
      <c r="B2437" s="5">
        <f>IFERROR(__xludf.DUMMYFUNCTION("""COMPUTED_VALUE"""),2319.0)</f>
        <v>2319</v>
      </c>
      <c r="C2437" s="6">
        <f>IFERROR(__xludf.DUMMYFUNCTION("""COMPUTED_VALUE"""),0.4736)</f>
        <v>0.4736</v>
      </c>
      <c r="D2437" s="2">
        <f>IFERROR(__xludf.DUMMYFUNCTION("""COMPUTED_VALUE"""),0.002002314814814815)</f>
        <v>0.002002314815</v>
      </c>
      <c r="E2437" s="1">
        <f>IFERROR(__xludf.DUMMYFUNCTION("""COMPUTED_VALUE"""),1.13)</f>
        <v>1.13</v>
      </c>
      <c r="F2437" s="1">
        <f>IFERROR(__xludf.DUMMYFUNCTION("""COMPUTED_VALUE"""),5.42)</f>
        <v>5.42</v>
      </c>
      <c r="G2437" s="5">
        <f>IFERROR(__xludf.DUMMYFUNCTION("""COMPUTED_VALUE"""),14135.0)</f>
        <v>14135</v>
      </c>
      <c r="H2437" s="5">
        <f>IFERROR(__xludf.DUMMYFUNCTION("""COMPUTED_VALUE"""),2610.0)</f>
        <v>2610</v>
      </c>
    </row>
    <row r="2438">
      <c r="A2438" s="4">
        <f>IFERROR(__xludf.DUMMYFUNCTION("""COMPUTED_VALUE"""),44806.0)</f>
        <v>44806</v>
      </c>
      <c r="B2438" s="5">
        <f>IFERROR(__xludf.DUMMYFUNCTION("""COMPUTED_VALUE"""),2097.0)</f>
        <v>2097</v>
      </c>
      <c r="C2438" s="6">
        <f>IFERROR(__xludf.DUMMYFUNCTION("""COMPUTED_VALUE"""),0.3963)</f>
        <v>0.3963</v>
      </c>
      <c r="D2438" s="2">
        <f>IFERROR(__xludf.DUMMYFUNCTION("""COMPUTED_VALUE"""),0.002025462962962963)</f>
        <v>0.002025462963</v>
      </c>
      <c r="E2438" s="1">
        <f>IFERROR(__xludf.DUMMYFUNCTION("""COMPUTED_VALUE"""),1.05)</f>
        <v>1.05</v>
      </c>
      <c r="F2438" s="1">
        <f>IFERROR(__xludf.DUMMYFUNCTION("""COMPUTED_VALUE"""),4.78)</f>
        <v>4.78</v>
      </c>
      <c r="G2438" s="5">
        <f>IFERROR(__xludf.DUMMYFUNCTION("""COMPUTED_VALUE"""),10553.0)</f>
        <v>10553</v>
      </c>
      <c r="H2438" s="5">
        <f>IFERROR(__xludf.DUMMYFUNCTION("""COMPUTED_VALUE"""),2208.0)</f>
        <v>2208</v>
      </c>
    </row>
    <row r="2439">
      <c r="A2439" s="4">
        <f>IFERROR(__xludf.DUMMYFUNCTION("""COMPUTED_VALUE"""),44807.0)</f>
        <v>44807</v>
      </c>
      <c r="B2439" s="5">
        <f>IFERROR(__xludf.DUMMYFUNCTION("""COMPUTED_VALUE"""),1277.0)</f>
        <v>1277</v>
      </c>
      <c r="C2439" s="6">
        <f>IFERROR(__xludf.DUMMYFUNCTION("""COMPUTED_VALUE"""),0.4893)</f>
        <v>0.4893</v>
      </c>
      <c r="D2439" s="2">
        <f>IFERROR(__xludf.DUMMYFUNCTION("""COMPUTED_VALUE"""),0.0010879629629629629)</f>
        <v>0.001087962963</v>
      </c>
      <c r="E2439" s="1">
        <f>IFERROR(__xludf.DUMMYFUNCTION("""COMPUTED_VALUE"""),1.07)</f>
        <v>1.07</v>
      </c>
      <c r="F2439" s="1">
        <f>IFERROR(__xludf.DUMMYFUNCTION("""COMPUTED_VALUE"""),3.04)</f>
        <v>3.04</v>
      </c>
      <c r="G2439" s="5">
        <f>IFERROR(__xludf.DUMMYFUNCTION("""COMPUTED_VALUE"""),4138.0)</f>
        <v>4138</v>
      </c>
      <c r="H2439" s="5">
        <f>IFERROR(__xludf.DUMMYFUNCTION("""COMPUTED_VALUE"""),1361.0)</f>
        <v>1361</v>
      </c>
    </row>
    <row r="2440">
      <c r="A2440" s="4">
        <f>IFERROR(__xludf.DUMMYFUNCTION("""COMPUTED_VALUE"""),44808.0)</f>
        <v>44808</v>
      </c>
      <c r="B2440" s="5">
        <f>IFERROR(__xludf.DUMMYFUNCTION("""COMPUTED_VALUE"""),1236.0)</f>
        <v>1236</v>
      </c>
      <c r="C2440" s="6">
        <f>IFERROR(__xludf.DUMMYFUNCTION("""COMPUTED_VALUE"""),0.475)</f>
        <v>0.475</v>
      </c>
      <c r="D2440" s="2">
        <f>IFERROR(__xludf.DUMMYFUNCTION("""COMPUTED_VALUE"""),0.0022453703703703702)</f>
        <v>0.00224537037</v>
      </c>
      <c r="E2440" s="1">
        <f>IFERROR(__xludf.DUMMYFUNCTION("""COMPUTED_VALUE"""),1.13)</f>
        <v>1.13</v>
      </c>
      <c r="F2440" s="1">
        <f>IFERROR(__xludf.DUMMYFUNCTION("""COMPUTED_VALUE"""),4.74)</f>
        <v>4.74</v>
      </c>
      <c r="G2440" s="5">
        <f>IFERROR(__xludf.DUMMYFUNCTION("""COMPUTED_VALUE"""),6651.0)</f>
        <v>6651</v>
      </c>
      <c r="H2440" s="5">
        <f>IFERROR(__xludf.DUMMYFUNCTION("""COMPUTED_VALUE"""),1402.0)</f>
        <v>1402</v>
      </c>
    </row>
    <row r="2441">
      <c r="A2441" s="4">
        <f>IFERROR(__xludf.DUMMYFUNCTION("""COMPUTED_VALUE"""),44809.0)</f>
        <v>44809</v>
      </c>
      <c r="B2441" s="5">
        <f>IFERROR(__xludf.DUMMYFUNCTION("""COMPUTED_VALUE"""),1888.0)</f>
        <v>1888</v>
      </c>
      <c r="C2441" s="6">
        <f>IFERROR(__xludf.DUMMYFUNCTION("""COMPUTED_VALUE"""),0.4652)</f>
        <v>0.4652</v>
      </c>
      <c r="D2441" s="2">
        <f>IFERROR(__xludf.DUMMYFUNCTION("""COMPUTED_VALUE"""),0.0014351851851851852)</f>
        <v>0.001435185185</v>
      </c>
      <c r="E2441" s="1">
        <f>IFERROR(__xludf.DUMMYFUNCTION("""COMPUTED_VALUE"""),1.06)</f>
        <v>1.06</v>
      </c>
      <c r="F2441" s="1">
        <f>IFERROR(__xludf.DUMMYFUNCTION("""COMPUTED_VALUE"""),3.56)</f>
        <v>3.56</v>
      </c>
      <c r="G2441" s="5">
        <f>IFERROR(__xludf.DUMMYFUNCTION("""COMPUTED_VALUE"""),7123.0)</f>
        <v>7123</v>
      </c>
      <c r="H2441" s="5">
        <f>IFERROR(__xludf.DUMMYFUNCTION("""COMPUTED_VALUE"""),1999.0)</f>
        <v>1999</v>
      </c>
    </row>
    <row r="2442">
      <c r="A2442" s="4">
        <f>IFERROR(__xludf.DUMMYFUNCTION("""COMPUTED_VALUE"""),44810.0)</f>
        <v>44810</v>
      </c>
      <c r="B2442" s="5">
        <f>IFERROR(__xludf.DUMMYFUNCTION("""COMPUTED_VALUE"""),2652.0)</f>
        <v>2652</v>
      </c>
      <c r="C2442" s="6">
        <f>IFERROR(__xludf.DUMMYFUNCTION("""COMPUTED_VALUE"""),0.4037)</f>
        <v>0.4037</v>
      </c>
      <c r="D2442" s="2">
        <f>IFERROR(__xludf.DUMMYFUNCTION("""COMPUTED_VALUE"""),0.0019675925925925924)</f>
        <v>0.001967592593</v>
      </c>
      <c r="E2442" s="1">
        <f>IFERROR(__xludf.DUMMYFUNCTION("""COMPUTED_VALUE"""),1.12)</f>
        <v>1.12</v>
      </c>
      <c r="F2442" s="1">
        <f>IFERROR(__xludf.DUMMYFUNCTION("""COMPUTED_VALUE"""),4.3)</f>
        <v>4.3</v>
      </c>
      <c r="G2442" s="5">
        <f>IFERROR(__xludf.DUMMYFUNCTION("""COMPUTED_VALUE"""),12705.0)</f>
        <v>12705</v>
      </c>
      <c r="H2442" s="5">
        <f>IFERROR(__xludf.DUMMYFUNCTION("""COMPUTED_VALUE"""),2958.0)</f>
        <v>2958</v>
      </c>
    </row>
    <row r="2443">
      <c r="A2443" s="4">
        <f>IFERROR(__xludf.DUMMYFUNCTION("""COMPUTED_VALUE"""),44811.0)</f>
        <v>44811</v>
      </c>
      <c r="B2443" s="5">
        <f>IFERROR(__xludf.DUMMYFUNCTION("""COMPUTED_VALUE"""),2597.0)</f>
        <v>2597</v>
      </c>
      <c r="C2443" s="6">
        <f>IFERROR(__xludf.DUMMYFUNCTION("""COMPUTED_VALUE"""),0.4976)</f>
        <v>0.4976</v>
      </c>
      <c r="D2443" s="2">
        <f>IFERROR(__xludf.DUMMYFUNCTION("""COMPUTED_VALUE"""),0.0021064814814814813)</f>
        <v>0.002106481481</v>
      </c>
      <c r="E2443" s="1">
        <f>IFERROR(__xludf.DUMMYFUNCTION("""COMPUTED_VALUE"""),1.12)</f>
        <v>1.12</v>
      </c>
      <c r="F2443" s="1">
        <f>IFERROR(__xludf.DUMMYFUNCTION("""COMPUTED_VALUE"""),4.2)</f>
        <v>4.2</v>
      </c>
      <c r="G2443" s="5">
        <f>IFERROR(__xludf.DUMMYFUNCTION("""COMPUTED_VALUE"""),12177.0)</f>
        <v>12177</v>
      </c>
      <c r="H2443" s="5">
        <f>IFERROR(__xludf.DUMMYFUNCTION("""COMPUTED_VALUE"""),2902.0)</f>
        <v>2902</v>
      </c>
    </row>
    <row r="2444">
      <c r="A2444" s="4">
        <f>IFERROR(__xludf.DUMMYFUNCTION("""COMPUTED_VALUE"""),44812.0)</f>
        <v>44812</v>
      </c>
      <c r="B2444" s="5">
        <f>IFERROR(__xludf.DUMMYFUNCTION("""COMPUTED_VALUE"""),2652.0)</f>
        <v>2652</v>
      </c>
      <c r="C2444" s="6">
        <f>IFERROR(__xludf.DUMMYFUNCTION("""COMPUTED_VALUE"""),0.3431)</f>
        <v>0.3431</v>
      </c>
      <c r="D2444" s="2">
        <f>IFERROR(__xludf.DUMMYFUNCTION("""COMPUTED_VALUE"""),0.0023032407407407407)</f>
        <v>0.002303240741</v>
      </c>
      <c r="E2444" s="1">
        <f>IFERROR(__xludf.DUMMYFUNCTION("""COMPUTED_VALUE"""),1.08)</f>
        <v>1.08</v>
      </c>
      <c r="F2444" s="1">
        <f>IFERROR(__xludf.DUMMYFUNCTION("""COMPUTED_VALUE"""),5.87)</f>
        <v>5.87</v>
      </c>
      <c r="G2444" s="5">
        <f>IFERROR(__xludf.DUMMYFUNCTION("""COMPUTED_VALUE"""),16871.0)</f>
        <v>16871</v>
      </c>
      <c r="H2444" s="5">
        <f>IFERROR(__xludf.DUMMYFUNCTION("""COMPUTED_VALUE"""),2874.0)</f>
        <v>2874</v>
      </c>
    </row>
    <row r="2445">
      <c r="A2445" s="4">
        <f>IFERROR(__xludf.DUMMYFUNCTION("""COMPUTED_VALUE"""),44813.0)</f>
        <v>44813</v>
      </c>
      <c r="B2445" s="5">
        <f>IFERROR(__xludf.DUMMYFUNCTION("""COMPUTED_VALUE"""),2277.0)</f>
        <v>2277</v>
      </c>
      <c r="C2445" s="6">
        <f>IFERROR(__xludf.DUMMYFUNCTION("""COMPUTED_VALUE"""),0.4105)</f>
        <v>0.4105</v>
      </c>
      <c r="D2445" s="2">
        <f>IFERROR(__xludf.DUMMYFUNCTION("""COMPUTED_VALUE"""),0.0030439814814814813)</f>
        <v>0.003043981481</v>
      </c>
      <c r="E2445" s="1">
        <f>IFERROR(__xludf.DUMMYFUNCTION("""COMPUTED_VALUE"""),1.05)</f>
        <v>1.05</v>
      </c>
      <c r="F2445" s="1">
        <f>IFERROR(__xludf.DUMMYFUNCTION("""COMPUTED_VALUE"""),6.27)</f>
        <v>6.27</v>
      </c>
      <c r="G2445" s="5">
        <f>IFERROR(__xludf.DUMMYFUNCTION("""COMPUTED_VALUE"""),15052.0)</f>
        <v>15052</v>
      </c>
      <c r="H2445" s="5">
        <f>IFERROR(__xludf.DUMMYFUNCTION("""COMPUTED_VALUE"""),2402.0)</f>
        <v>2402</v>
      </c>
    </row>
    <row r="2446">
      <c r="A2446" s="4">
        <f>IFERROR(__xludf.DUMMYFUNCTION("""COMPUTED_VALUE"""),44814.0)</f>
        <v>44814</v>
      </c>
      <c r="B2446" s="5">
        <f>IFERROR(__xludf.DUMMYFUNCTION("""COMPUTED_VALUE"""),1236.0)</f>
        <v>1236</v>
      </c>
      <c r="C2446" s="6">
        <f>IFERROR(__xludf.DUMMYFUNCTION("""COMPUTED_VALUE"""),0.5256)</f>
        <v>0.5256</v>
      </c>
      <c r="D2446" s="2">
        <f>IFERROR(__xludf.DUMMYFUNCTION("""COMPUTED_VALUE"""),0.0016782407407407408)</f>
        <v>0.001678240741</v>
      </c>
      <c r="E2446" s="1">
        <f>IFERROR(__xludf.DUMMYFUNCTION("""COMPUTED_VALUE"""),1.09)</f>
        <v>1.09</v>
      </c>
      <c r="F2446" s="1">
        <f>IFERROR(__xludf.DUMMYFUNCTION("""COMPUTED_VALUE"""),4.1)</f>
        <v>4.1</v>
      </c>
      <c r="G2446" s="5">
        <f>IFERROR(__xludf.DUMMYFUNCTION("""COMPUTED_VALUE"""),5526.0)</f>
        <v>5526</v>
      </c>
      <c r="H2446" s="5">
        <f>IFERROR(__xludf.DUMMYFUNCTION("""COMPUTED_VALUE"""),1347.0)</f>
        <v>1347</v>
      </c>
    </row>
    <row r="2447">
      <c r="A2447" s="4">
        <f>IFERROR(__xludf.DUMMYFUNCTION("""COMPUTED_VALUE"""),44815.0)</f>
        <v>44815</v>
      </c>
      <c r="B2447" s="5">
        <f>IFERROR(__xludf.DUMMYFUNCTION("""COMPUTED_VALUE"""),1333.0)</f>
        <v>1333</v>
      </c>
      <c r="C2447" s="6">
        <f>IFERROR(__xludf.DUMMYFUNCTION("""COMPUTED_VALUE"""),0.4095)</f>
        <v>0.4095</v>
      </c>
      <c r="D2447" s="2">
        <f>IFERROR(__xludf.DUMMYFUNCTION("""COMPUTED_VALUE"""),0.0026157407407407405)</f>
        <v>0.002615740741</v>
      </c>
      <c r="E2447" s="1">
        <f>IFERROR(__xludf.DUMMYFUNCTION("""COMPUTED_VALUE"""),1.09)</f>
        <v>1.09</v>
      </c>
      <c r="F2447" s="1">
        <f>IFERROR(__xludf.DUMMYFUNCTION("""COMPUTED_VALUE"""),5.18)</f>
        <v>5.18</v>
      </c>
      <c r="G2447" s="5">
        <f>IFERROR(__xludf.DUMMYFUNCTION("""COMPUTED_VALUE"""),7554.0)</f>
        <v>7554</v>
      </c>
      <c r="H2447" s="5">
        <f>IFERROR(__xludf.DUMMYFUNCTION("""COMPUTED_VALUE"""),1458.0)</f>
        <v>1458</v>
      </c>
    </row>
    <row r="2448">
      <c r="A2448" s="4">
        <f>IFERROR(__xludf.DUMMYFUNCTION("""COMPUTED_VALUE"""),44816.0)</f>
        <v>44816</v>
      </c>
      <c r="B2448" s="5">
        <f>IFERROR(__xludf.DUMMYFUNCTION("""COMPUTED_VALUE"""),2444.0)</f>
        <v>2444</v>
      </c>
      <c r="C2448" s="6">
        <f>IFERROR(__xludf.DUMMYFUNCTION("""COMPUTED_VALUE"""),0.4046)</f>
        <v>0.4046</v>
      </c>
      <c r="D2448" s="2">
        <f>IFERROR(__xludf.DUMMYFUNCTION("""COMPUTED_VALUE"""),0.0017708333333333332)</f>
        <v>0.001770833333</v>
      </c>
      <c r="E2448" s="1">
        <f>IFERROR(__xludf.DUMMYFUNCTION("""COMPUTED_VALUE"""),1.16)</f>
        <v>1.16</v>
      </c>
      <c r="F2448" s="1">
        <f>IFERROR(__xludf.DUMMYFUNCTION("""COMPUTED_VALUE"""),5.33)</f>
        <v>5.33</v>
      </c>
      <c r="G2448" s="5">
        <f>IFERROR(__xludf.DUMMYFUNCTION("""COMPUTED_VALUE"""),15163.0)</f>
        <v>15163</v>
      </c>
      <c r="H2448" s="5">
        <f>IFERROR(__xludf.DUMMYFUNCTION("""COMPUTED_VALUE"""),2847.0)</f>
        <v>2847</v>
      </c>
    </row>
    <row r="2449">
      <c r="A2449" s="4">
        <f>IFERROR(__xludf.DUMMYFUNCTION("""COMPUTED_VALUE"""),44817.0)</f>
        <v>44817</v>
      </c>
      <c r="B2449" s="5">
        <f>IFERROR(__xludf.DUMMYFUNCTION("""COMPUTED_VALUE"""),2777.0)</f>
        <v>2777</v>
      </c>
      <c r="C2449" s="6">
        <f>IFERROR(__xludf.DUMMYFUNCTION("""COMPUTED_VALUE"""),0.4064)</f>
        <v>0.4064</v>
      </c>
      <c r="D2449" s="2">
        <f>IFERROR(__xludf.DUMMYFUNCTION("""COMPUTED_VALUE"""),0.0025925925925925925)</f>
        <v>0.002592592593</v>
      </c>
      <c r="E2449" s="1">
        <f>IFERROR(__xludf.DUMMYFUNCTION("""COMPUTED_VALUE"""),1.1)</f>
        <v>1.1</v>
      </c>
      <c r="F2449" s="1">
        <f>IFERROR(__xludf.DUMMYFUNCTION("""COMPUTED_VALUE"""),5.52)</f>
        <v>5.52</v>
      </c>
      <c r="G2449" s="5">
        <f>IFERROR(__xludf.DUMMYFUNCTION("""COMPUTED_VALUE"""),16801.0)</f>
        <v>16801</v>
      </c>
      <c r="H2449" s="5">
        <f>IFERROR(__xludf.DUMMYFUNCTION("""COMPUTED_VALUE"""),3041.0)</f>
        <v>3041</v>
      </c>
    </row>
    <row r="2450">
      <c r="A2450" s="4">
        <f>IFERROR(__xludf.DUMMYFUNCTION("""COMPUTED_VALUE"""),44818.0)</f>
        <v>44818</v>
      </c>
      <c r="B2450" s="5">
        <f>IFERROR(__xludf.DUMMYFUNCTION("""COMPUTED_VALUE"""),2499.0)</f>
        <v>2499</v>
      </c>
      <c r="C2450" s="6">
        <f>IFERROR(__xludf.DUMMYFUNCTION("""COMPUTED_VALUE"""),0.4328)</f>
        <v>0.4328</v>
      </c>
      <c r="D2450" s="2">
        <f>IFERROR(__xludf.DUMMYFUNCTION("""COMPUTED_VALUE"""),0.0018981481481481482)</f>
        <v>0.001898148148</v>
      </c>
      <c r="E2450" s="1">
        <f>IFERROR(__xludf.DUMMYFUNCTION("""COMPUTED_VALUE"""),1.12)</f>
        <v>1.12</v>
      </c>
      <c r="F2450" s="1">
        <f>IFERROR(__xludf.DUMMYFUNCTION("""COMPUTED_VALUE"""),4.85)</f>
        <v>4.85</v>
      </c>
      <c r="G2450" s="5">
        <f>IFERROR(__xludf.DUMMYFUNCTION("""COMPUTED_VALUE"""),13538.0)</f>
        <v>13538</v>
      </c>
      <c r="H2450" s="5">
        <f>IFERROR(__xludf.DUMMYFUNCTION("""COMPUTED_VALUE"""),2791.0)</f>
        <v>2791</v>
      </c>
    </row>
    <row r="2451">
      <c r="A2451" s="4">
        <f>IFERROR(__xludf.DUMMYFUNCTION("""COMPUTED_VALUE"""),44819.0)</f>
        <v>44819</v>
      </c>
      <c r="B2451" s="5">
        <f>IFERROR(__xludf.DUMMYFUNCTION("""COMPUTED_VALUE"""),2597.0)</f>
        <v>2597</v>
      </c>
      <c r="C2451" s="6">
        <f>IFERROR(__xludf.DUMMYFUNCTION("""COMPUTED_VALUE"""),0.4259)</f>
        <v>0.4259</v>
      </c>
      <c r="D2451" s="2">
        <f>IFERROR(__xludf.DUMMYFUNCTION("""COMPUTED_VALUE"""),0.001851851851851852)</f>
        <v>0.001851851852</v>
      </c>
      <c r="E2451" s="1">
        <f>IFERROR(__xludf.DUMMYFUNCTION("""COMPUTED_VALUE"""),1.12)</f>
        <v>1.12</v>
      </c>
      <c r="F2451" s="1">
        <f>IFERROR(__xludf.DUMMYFUNCTION("""COMPUTED_VALUE"""),3.71)</f>
        <v>3.71</v>
      </c>
      <c r="G2451" s="5">
        <f>IFERROR(__xludf.DUMMYFUNCTION("""COMPUTED_VALUE"""),10775.0)</f>
        <v>10775</v>
      </c>
      <c r="H2451" s="5">
        <f>IFERROR(__xludf.DUMMYFUNCTION("""COMPUTED_VALUE"""),2902.0)</f>
        <v>2902</v>
      </c>
    </row>
    <row r="2452">
      <c r="A2452" s="4">
        <f>IFERROR(__xludf.DUMMYFUNCTION("""COMPUTED_VALUE"""),44820.0)</f>
        <v>44820</v>
      </c>
      <c r="B2452" s="5">
        <f>IFERROR(__xludf.DUMMYFUNCTION("""COMPUTED_VALUE"""),1986.0)</f>
        <v>1986</v>
      </c>
      <c r="C2452" s="6">
        <f>IFERROR(__xludf.DUMMYFUNCTION("""COMPUTED_VALUE"""),0.4023)</f>
        <v>0.4023</v>
      </c>
      <c r="D2452" s="2">
        <f>IFERROR(__xludf.DUMMYFUNCTION("""COMPUTED_VALUE"""),0.0024537037037037036)</f>
        <v>0.002453703704</v>
      </c>
      <c r="E2452" s="1">
        <f>IFERROR(__xludf.DUMMYFUNCTION("""COMPUTED_VALUE"""),1.15)</f>
        <v>1.15</v>
      </c>
      <c r="F2452" s="1">
        <f>IFERROR(__xludf.DUMMYFUNCTION("""COMPUTED_VALUE"""),4.83)</f>
        <v>4.83</v>
      </c>
      <c r="G2452" s="5">
        <f>IFERROR(__xludf.DUMMYFUNCTION("""COMPUTED_VALUE"""),10997.0)</f>
        <v>10997</v>
      </c>
      <c r="H2452" s="5">
        <f>IFERROR(__xludf.DUMMYFUNCTION("""COMPUTED_VALUE"""),2277.0)</f>
        <v>2277</v>
      </c>
    </row>
    <row r="2453">
      <c r="A2453" s="4">
        <f>IFERROR(__xludf.DUMMYFUNCTION("""COMPUTED_VALUE"""),44821.0)</f>
        <v>44821</v>
      </c>
      <c r="B2453" s="5">
        <f>IFERROR(__xludf.DUMMYFUNCTION("""COMPUTED_VALUE"""),1236.0)</f>
        <v>1236</v>
      </c>
      <c r="C2453" s="6">
        <f>IFERROR(__xludf.DUMMYFUNCTION("""COMPUTED_VALUE"""),0.4709)</f>
        <v>0.4709</v>
      </c>
      <c r="D2453" s="2">
        <f>IFERROR(__xludf.DUMMYFUNCTION("""COMPUTED_VALUE"""),0.002928240740740741)</f>
        <v>0.002928240741</v>
      </c>
      <c r="E2453" s="1">
        <f>IFERROR(__xludf.DUMMYFUNCTION("""COMPUTED_VALUE"""),1.17)</f>
        <v>1.17</v>
      </c>
      <c r="F2453" s="1">
        <f>IFERROR(__xludf.DUMMYFUNCTION("""COMPUTED_VALUE"""),4.29)</f>
        <v>4.29</v>
      </c>
      <c r="G2453" s="5">
        <f>IFERROR(__xludf.DUMMYFUNCTION("""COMPUTED_VALUE"""),6193.0)</f>
        <v>6193</v>
      </c>
      <c r="H2453" s="5">
        <f>IFERROR(__xludf.DUMMYFUNCTION("""COMPUTED_VALUE"""),1444.0)</f>
        <v>1444</v>
      </c>
    </row>
    <row r="2454">
      <c r="A2454" s="4">
        <f>IFERROR(__xludf.DUMMYFUNCTION("""COMPUTED_VALUE"""),44822.0)</f>
        <v>44822</v>
      </c>
      <c r="B2454" s="5">
        <f>IFERROR(__xludf.DUMMYFUNCTION("""COMPUTED_VALUE"""),1527.0)</f>
        <v>1527</v>
      </c>
      <c r="C2454" s="6">
        <f>IFERROR(__xludf.DUMMYFUNCTION("""COMPUTED_VALUE"""),0.5041)</f>
        <v>0.5041</v>
      </c>
      <c r="D2454" s="2">
        <f>IFERROR(__xludf.DUMMYFUNCTION("""COMPUTED_VALUE"""),0.0013773148148148147)</f>
        <v>0.001377314815</v>
      </c>
      <c r="E2454" s="1">
        <f>IFERROR(__xludf.DUMMYFUNCTION("""COMPUTED_VALUE"""),1.12)</f>
        <v>1.12</v>
      </c>
      <c r="F2454" s="1">
        <f>IFERROR(__xludf.DUMMYFUNCTION("""COMPUTED_VALUE"""),3.81)</f>
        <v>3.81</v>
      </c>
      <c r="G2454" s="5">
        <f>IFERROR(__xludf.DUMMYFUNCTION("""COMPUTED_VALUE"""),6512.0)</f>
        <v>6512</v>
      </c>
      <c r="H2454" s="5">
        <f>IFERROR(__xludf.DUMMYFUNCTION("""COMPUTED_VALUE"""),1708.0)</f>
        <v>1708</v>
      </c>
    </row>
    <row r="2455">
      <c r="A2455" s="4">
        <f>IFERROR(__xludf.DUMMYFUNCTION("""COMPUTED_VALUE"""),44823.0)</f>
        <v>44823</v>
      </c>
      <c r="B2455" s="5">
        <f>IFERROR(__xludf.DUMMYFUNCTION("""COMPUTED_VALUE"""),2847.0)</f>
        <v>2847</v>
      </c>
      <c r="C2455" s="6">
        <f>IFERROR(__xludf.DUMMYFUNCTION("""COMPUTED_VALUE"""),0.4233)</f>
        <v>0.4233</v>
      </c>
      <c r="D2455" s="2">
        <f>IFERROR(__xludf.DUMMYFUNCTION("""COMPUTED_VALUE"""),0.0021296296296296298)</f>
        <v>0.00212962963</v>
      </c>
      <c r="E2455" s="1">
        <f>IFERROR(__xludf.DUMMYFUNCTION("""COMPUTED_VALUE"""),1.08)</f>
        <v>1.08</v>
      </c>
      <c r="F2455" s="1">
        <f>IFERROR(__xludf.DUMMYFUNCTION("""COMPUTED_VALUE"""),4.31)</f>
        <v>4.31</v>
      </c>
      <c r="G2455" s="5">
        <f>IFERROR(__xludf.DUMMYFUNCTION("""COMPUTED_VALUE"""),13274.0)</f>
        <v>13274</v>
      </c>
      <c r="H2455" s="5">
        <f>IFERROR(__xludf.DUMMYFUNCTION("""COMPUTED_VALUE"""),3083.0)</f>
        <v>3083</v>
      </c>
    </row>
    <row r="2456">
      <c r="A2456" s="4">
        <f>IFERROR(__xludf.DUMMYFUNCTION("""COMPUTED_VALUE"""),44824.0)</f>
        <v>44824</v>
      </c>
      <c r="B2456" s="5">
        <f>IFERROR(__xludf.DUMMYFUNCTION("""COMPUTED_VALUE"""),2888.0)</f>
        <v>2888</v>
      </c>
      <c r="C2456" s="6">
        <f>IFERROR(__xludf.DUMMYFUNCTION("""COMPUTED_VALUE"""),0.4802)</f>
        <v>0.4802</v>
      </c>
      <c r="D2456" s="2">
        <f>IFERROR(__xludf.DUMMYFUNCTION("""COMPUTED_VALUE"""),0.002361111111111111)</f>
        <v>0.002361111111</v>
      </c>
      <c r="E2456" s="1">
        <f>IFERROR(__xludf.DUMMYFUNCTION("""COMPUTED_VALUE"""),1.1)</f>
        <v>1.1</v>
      </c>
      <c r="F2456" s="1">
        <f>IFERROR(__xludf.DUMMYFUNCTION("""COMPUTED_VALUE"""),5.49)</f>
        <v>5.49</v>
      </c>
      <c r="G2456" s="5">
        <f>IFERROR(__xludf.DUMMYFUNCTION("""COMPUTED_VALUE"""),17454.0)</f>
        <v>17454</v>
      </c>
      <c r="H2456" s="5">
        <f>IFERROR(__xludf.DUMMYFUNCTION("""COMPUTED_VALUE"""),3180.0)</f>
        <v>3180</v>
      </c>
    </row>
    <row r="2457">
      <c r="A2457" s="4">
        <f>IFERROR(__xludf.DUMMYFUNCTION("""COMPUTED_VALUE"""),44825.0)</f>
        <v>44825</v>
      </c>
      <c r="B2457" s="5">
        <f>IFERROR(__xludf.DUMMYFUNCTION("""COMPUTED_VALUE"""),2652.0)</f>
        <v>2652</v>
      </c>
      <c r="C2457" s="6">
        <f>IFERROR(__xludf.DUMMYFUNCTION("""COMPUTED_VALUE"""),0.5002)</f>
        <v>0.5002</v>
      </c>
      <c r="D2457" s="2">
        <f>IFERROR(__xludf.DUMMYFUNCTION("""COMPUTED_VALUE"""),0.002002314814814815)</f>
        <v>0.002002314815</v>
      </c>
      <c r="E2457" s="1">
        <f>IFERROR(__xludf.DUMMYFUNCTION("""COMPUTED_VALUE"""),1.13)</f>
        <v>1.13</v>
      </c>
      <c r="F2457" s="1">
        <f>IFERROR(__xludf.DUMMYFUNCTION("""COMPUTED_VALUE"""),4.01)</f>
        <v>4.01</v>
      </c>
      <c r="G2457" s="5">
        <f>IFERROR(__xludf.DUMMYFUNCTION("""COMPUTED_VALUE"""),12011.0)</f>
        <v>12011</v>
      </c>
      <c r="H2457" s="5">
        <f>IFERROR(__xludf.DUMMYFUNCTION("""COMPUTED_VALUE"""),2999.0)</f>
        <v>2999</v>
      </c>
    </row>
    <row r="2458">
      <c r="A2458" s="4">
        <f>IFERROR(__xludf.DUMMYFUNCTION("""COMPUTED_VALUE"""),44826.0)</f>
        <v>44826</v>
      </c>
      <c r="B2458" s="5">
        <f>IFERROR(__xludf.DUMMYFUNCTION("""COMPUTED_VALUE"""),2902.0)</f>
        <v>2902</v>
      </c>
      <c r="C2458" s="6">
        <f>IFERROR(__xludf.DUMMYFUNCTION("""COMPUTED_VALUE"""),0.4312)</f>
        <v>0.4312</v>
      </c>
      <c r="D2458" s="2">
        <f>IFERROR(__xludf.DUMMYFUNCTION("""COMPUTED_VALUE"""),0.0024421296296296296)</f>
        <v>0.00244212963</v>
      </c>
      <c r="E2458" s="1">
        <f>IFERROR(__xludf.DUMMYFUNCTION("""COMPUTED_VALUE"""),1.08)</f>
        <v>1.08</v>
      </c>
      <c r="F2458" s="1">
        <f>IFERROR(__xludf.DUMMYFUNCTION("""COMPUTED_VALUE"""),5.2)</f>
        <v>5.2</v>
      </c>
      <c r="G2458" s="5">
        <f>IFERROR(__xludf.DUMMYFUNCTION("""COMPUTED_VALUE"""),16246.0)</f>
        <v>16246</v>
      </c>
      <c r="H2458" s="5">
        <f>IFERROR(__xludf.DUMMYFUNCTION("""COMPUTED_VALUE"""),3124.0)</f>
        <v>3124</v>
      </c>
    </row>
    <row r="2459">
      <c r="A2459" s="4">
        <f>IFERROR(__xludf.DUMMYFUNCTION("""COMPUTED_VALUE"""),44827.0)</f>
        <v>44827</v>
      </c>
      <c r="B2459" s="5">
        <f>IFERROR(__xludf.DUMMYFUNCTION("""COMPUTED_VALUE"""),2347.0)</f>
        <v>2347</v>
      </c>
      <c r="C2459" s="6">
        <f>IFERROR(__xludf.DUMMYFUNCTION("""COMPUTED_VALUE"""),0.4564)</f>
        <v>0.4564</v>
      </c>
      <c r="D2459" s="2">
        <f>IFERROR(__xludf.DUMMYFUNCTION("""COMPUTED_VALUE"""),0.0030092592592592593)</f>
        <v>0.003009259259</v>
      </c>
      <c r="E2459" s="1">
        <f>IFERROR(__xludf.DUMMYFUNCTION("""COMPUTED_VALUE"""),1.15)</f>
        <v>1.15</v>
      </c>
      <c r="F2459" s="1">
        <f>IFERROR(__xludf.DUMMYFUNCTION("""COMPUTED_VALUE"""),6.05)</f>
        <v>6.05</v>
      </c>
      <c r="G2459" s="5">
        <f>IFERROR(__xludf.DUMMYFUNCTION("""COMPUTED_VALUE"""),16385.0)</f>
        <v>16385</v>
      </c>
      <c r="H2459" s="5">
        <f>IFERROR(__xludf.DUMMYFUNCTION("""COMPUTED_VALUE"""),2708.0)</f>
        <v>2708</v>
      </c>
    </row>
    <row r="2460">
      <c r="A2460" s="4">
        <f>IFERROR(__xludf.DUMMYFUNCTION("""COMPUTED_VALUE"""),44828.0)</f>
        <v>44828</v>
      </c>
      <c r="B2460" s="5">
        <f>IFERROR(__xludf.DUMMYFUNCTION("""COMPUTED_VALUE"""),1402.0)</f>
        <v>1402</v>
      </c>
      <c r="C2460" s="6">
        <f>IFERROR(__xludf.DUMMYFUNCTION("""COMPUTED_VALUE"""),0.4826)</f>
        <v>0.4826</v>
      </c>
      <c r="D2460" s="2">
        <f>IFERROR(__xludf.DUMMYFUNCTION("""COMPUTED_VALUE"""),9.837962962962962E-4)</f>
        <v>0.0009837962963</v>
      </c>
      <c r="E2460" s="1">
        <f>IFERROR(__xludf.DUMMYFUNCTION("""COMPUTED_VALUE"""),1.13)</f>
        <v>1.13</v>
      </c>
      <c r="F2460" s="1">
        <f>IFERROR(__xludf.DUMMYFUNCTION("""COMPUTED_VALUE"""),2.98)</f>
        <v>2.98</v>
      </c>
      <c r="G2460" s="5">
        <f>IFERROR(__xludf.DUMMYFUNCTION("""COMPUTED_VALUE"""),4721.0)</f>
        <v>4721</v>
      </c>
      <c r="H2460" s="5">
        <f>IFERROR(__xludf.DUMMYFUNCTION("""COMPUTED_VALUE"""),1583.0)</f>
        <v>1583</v>
      </c>
    </row>
    <row r="2461">
      <c r="A2461" s="4">
        <f>IFERROR(__xludf.DUMMYFUNCTION("""COMPUTED_VALUE"""),44829.0)</f>
        <v>44829</v>
      </c>
      <c r="B2461" s="5">
        <f>IFERROR(__xludf.DUMMYFUNCTION("""COMPUTED_VALUE"""),1472.0)</f>
        <v>1472</v>
      </c>
      <c r="C2461" s="6">
        <f>IFERROR(__xludf.DUMMYFUNCTION("""COMPUTED_VALUE"""),0.4464)</f>
        <v>0.4464</v>
      </c>
      <c r="D2461" s="2">
        <f>IFERROR(__xludf.DUMMYFUNCTION("""COMPUTED_VALUE"""),0.002013888888888889)</f>
        <v>0.002013888889</v>
      </c>
      <c r="E2461" s="1">
        <f>IFERROR(__xludf.DUMMYFUNCTION("""COMPUTED_VALUE"""),1.14)</f>
        <v>1.14</v>
      </c>
      <c r="F2461" s="1">
        <f>IFERROR(__xludf.DUMMYFUNCTION("""COMPUTED_VALUE"""),4.56)</f>
        <v>4.56</v>
      </c>
      <c r="G2461" s="5">
        <f>IFERROR(__xludf.DUMMYFUNCTION("""COMPUTED_VALUE"""),7665.0)</f>
        <v>7665</v>
      </c>
      <c r="H2461" s="5">
        <f>IFERROR(__xludf.DUMMYFUNCTION("""COMPUTED_VALUE"""),1680.0)</f>
        <v>1680</v>
      </c>
    </row>
    <row r="2462">
      <c r="A2462" s="4">
        <f>IFERROR(__xludf.DUMMYFUNCTION("""COMPUTED_VALUE"""),44830.0)</f>
        <v>44830</v>
      </c>
      <c r="B2462" s="5">
        <f>IFERROR(__xludf.DUMMYFUNCTION("""COMPUTED_VALUE"""),5068.0)</f>
        <v>5068</v>
      </c>
      <c r="C2462" s="6">
        <f>IFERROR(__xludf.DUMMYFUNCTION("""COMPUTED_VALUE"""),0.317)</f>
        <v>0.317</v>
      </c>
      <c r="D2462" s="2">
        <f>IFERROR(__xludf.DUMMYFUNCTION("""COMPUTED_VALUE"""),0.004583333333333333)</f>
        <v>0.004583333333</v>
      </c>
      <c r="E2462" s="1">
        <f>IFERROR(__xludf.DUMMYFUNCTION("""COMPUTED_VALUE"""),1.17)</f>
        <v>1.17</v>
      </c>
      <c r="F2462" s="1">
        <f>IFERROR(__xludf.DUMMYFUNCTION("""COMPUTED_VALUE"""),9.33)</f>
        <v>9.33</v>
      </c>
      <c r="G2462" s="5">
        <f>IFERROR(__xludf.DUMMYFUNCTION("""COMPUTED_VALUE"""),55208.0)</f>
        <v>55208</v>
      </c>
      <c r="H2462" s="5">
        <f>IFERROR(__xludf.DUMMYFUNCTION("""COMPUTED_VALUE"""),5915.0)</f>
        <v>5915</v>
      </c>
    </row>
    <row r="2463">
      <c r="A2463" s="4">
        <f>IFERROR(__xludf.DUMMYFUNCTION("""COMPUTED_VALUE"""),44831.0)</f>
        <v>44831</v>
      </c>
      <c r="B2463" s="5">
        <f>IFERROR(__xludf.DUMMYFUNCTION("""COMPUTED_VALUE"""),6318.0)</f>
        <v>6318</v>
      </c>
      <c r="C2463" s="6">
        <f>IFERROR(__xludf.DUMMYFUNCTION("""COMPUTED_VALUE"""),0.2633)</f>
        <v>0.2633</v>
      </c>
      <c r="D2463" s="2">
        <f>IFERROR(__xludf.DUMMYFUNCTION("""COMPUTED_VALUE"""),0.004571759259259259)</f>
        <v>0.004571759259</v>
      </c>
      <c r="E2463" s="1">
        <f>IFERROR(__xludf.DUMMYFUNCTION("""COMPUTED_VALUE"""),1.24)</f>
        <v>1.24</v>
      </c>
      <c r="F2463" s="1">
        <f>IFERROR(__xludf.DUMMYFUNCTION("""COMPUTED_VALUE"""),10.88)</f>
        <v>10.88</v>
      </c>
      <c r="G2463" s="5">
        <f>IFERROR(__xludf.DUMMYFUNCTION("""COMPUTED_VALUE"""),85478.0)</f>
        <v>85478</v>
      </c>
      <c r="H2463" s="5">
        <f>IFERROR(__xludf.DUMMYFUNCTION("""COMPUTED_VALUE"""),7859.0)</f>
        <v>7859</v>
      </c>
    </row>
    <row r="2464">
      <c r="A2464" s="4">
        <f>IFERROR(__xludf.DUMMYFUNCTION("""COMPUTED_VALUE"""),44832.0)</f>
        <v>44832</v>
      </c>
      <c r="B2464" s="5">
        <f>IFERROR(__xludf.DUMMYFUNCTION("""COMPUTED_VALUE"""),3610.0)</f>
        <v>3610</v>
      </c>
      <c r="C2464" s="6">
        <f>IFERROR(__xludf.DUMMYFUNCTION("""COMPUTED_VALUE"""),0.3827)</f>
        <v>0.3827</v>
      </c>
      <c r="D2464" s="2">
        <f>IFERROR(__xludf.DUMMYFUNCTION("""COMPUTED_VALUE"""),0.0020717592592592593)</f>
        <v>0.002071759259</v>
      </c>
      <c r="E2464" s="1">
        <f>IFERROR(__xludf.DUMMYFUNCTION("""COMPUTED_VALUE"""),1.07)</f>
        <v>1.07</v>
      </c>
      <c r="F2464" s="1">
        <f>IFERROR(__xludf.DUMMYFUNCTION("""COMPUTED_VALUE"""),5.45)</f>
        <v>5.45</v>
      </c>
      <c r="G2464" s="5">
        <f>IFERROR(__xludf.DUMMYFUNCTION("""COMPUTED_VALUE"""),20953.0)</f>
        <v>20953</v>
      </c>
      <c r="H2464" s="5">
        <f>IFERROR(__xludf.DUMMYFUNCTION("""COMPUTED_VALUE"""),3846.0)</f>
        <v>3846</v>
      </c>
    </row>
    <row r="2465">
      <c r="A2465" s="4">
        <f>IFERROR(__xludf.DUMMYFUNCTION("""COMPUTED_VALUE"""),44833.0)</f>
        <v>44833</v>
      </c>
      <c r="B2465" s="5">
        <f>IFERROR(__xludf.DUMMYFUNCTION("""COMPUTED_VALUE"""),2971.0)</f>
        <v>2971</v>
      </c>
      <c r="C2465" s="6">
        <f>IFERROR(__xludf.DUMMYFUNCTION("""COMPUTED_VALUE"""),0.3844)</f>
        <v>0.3844</v>
      </c>
      <c r="D2465" s="2">
        <f>IFERROR(__xludf.DUMMYFUNCTION("""COMPUTED_VALUE"""),0.0028703703703703703)</f>
        <v>0.00287037037</v>
      </c>
      <c r="E2465" s="1">
        <f>IFERROR(__xludf.DUMMYFUNCTION("""COMPUTED_VALUE"""),1.19)</f>
        <v>1.19</v>
      </c>
      <c r="F2465" s="1">
        <f>IFERROR(__xludf.DUMMYFUNCTION("""COMPUTED_VALUE"""),5.98)</f>
        <v>5.98</v>
      </c>
      <c r="G2465" s="5">
        <f>IFERROR(__xludf.DUMMYFUNCTION("""COMPUTED_VALUE"""),21161.0)</f>
        <v>21161</v>
      </c>
      <c r="H2465" s="5">
        <f>IFERROR(__xludf.DUMMYFUNCTION("""COMPUTED_VALUE"""),3541.0)</f>
        <v>3541</v>
      </c>
    </row>
    <row r="2466">
      <c r="A2466" s="4">
        <f>IFERROR(__xludf.DUMMYFUNCTION("""COMPUTED_VALUE"""),44834.0)</f>
        <v>44834</v>
      </c>
      <c r="B2466" s="5">
        <f>IFERROR(__xludf.DUMMYFUNCTION("""COMPUTED_VALUE"""),2499.0)</f>
        <v>2499</v>
      </c>
      <c r="C2466" s="6">
        <f>IFERROR(__xludf.DUMMYFUNCTION("""COMPUTED_VALUE"""),0.4313)</f>
        <v>0.4313</v>
      </c>
      <c r="D2466" s="2">
        <f>IFERROR(__xludf.DUMMYFUNCTION("""COMPUTED_VALUE"""),0.0022916666666666667)</f>
        <v>0.002291666667</v>
      </c>
      <c r="E2466" s="1">
        <f>IFERROR(__xludf.DUMMYFUNCTION("""COMPUTED_VALUE"""),1.13)</f>
        <v>1.13</v>
      </c>
      <c r="F2466" s="1">
        <f>IFERROR(__xludf.DUMMYFUNCTION("""COMPUTED_VALUE"""),6.0)</f>
        <v>6</v>
      </c>
      <c r="G2466" s="5">
        <f>IFERROR(__xludf.DUMMYFUNCTION("""COMPUTED_VALUE"""),17010.0)</f>
        <v>17010</v>
      </c>
      <c r="H2466" s="5">
        <f>IFERROR(__xludf.DUMMYFUNCTION("""COMPUTED_VALUE"""),2833.0)</f>
        <v>2833</v>
      </c>
    </row>
    <row r="2467">
      <c r="A2467" s="4">
        <f>IFERROR(__xludf.DUMMYFUNCTION("""COMPUTED_VALUE"""),44835.0)</f>
        <v>44835</v>
      </c>
      <c r="B2467" s="5">
        <f>IFERROR(__xludf.DUMMYFUNCTION("""COMPUTED_VALUE"""),1472.0)</f>
        <v>1472</v>
      </c>
      <c r="C2467" s="6">
        <f>IFERROR(__xludf.DUMMYFUNCTION("""COMPUTED_VALUE"""),0.5654)</f>
        <v>0.5654</v>
      </c>
      <c r="D2467" s="2">
        <f>IFERROR(__xludf.DUMMYFUNCTION("""COMPUTED_VALUE"""),0.0019560185185185184)</f>
        <v>0.001956018519</v>
      </c>
      <c r="E2467" s="1">
        <f>IFERROR(__xludf.DUMMYFUNCTION("""COMPUTED_VALUE"""),1.08)</f>
        <v>1.08</v>
      </c>
      <c r="F2467" s="1">
        <f>IFERROR(__xludf.DUMMYFUNCTION("""COMPUTED_VALUE"""),3.74)</f>
        <v>3.74</v>
      </c>
      <c r="G2467" s="5">
        <f>IFERROR(__xludf.DUMMYFUNCTION("""COMPUTED_VALUE"""),5971.0)</f>
        <v>5971</v>
      </c>
      <c r="H2467" s="5">
        <f>IFERROR(__xludf.DUMMYFUNCTION("""COMPUTED_VALUE"""),1597.0)</f>
        <v>1597</v>
      </c>
    </row>
    <row r="2468">
      <c r="A2468" s="4">
        <f>IFERROR(__xludf.DUMMYFUNCTION("""COMPUTED_VALUE"""),44836.0)</f>
        <v>44836</v>
      </c>
      <c r="B2468" s="5">
        <f>IFERROR(__xludf.DUMMYFUNCTION("""COMPUTED_VALUE"""),1514.0)</f>
        <v>1514</v>
      </c>
      <c r="C2468" s="6">
        <f>IFERROR(__xludf.DUMMYFUNCTION("""COMPUTED_VALUE"""),0.5714)</f>
        <v>0.5714</v>
      </c>
      <c r="D2468" s="2">
        <f>IFERROR(__xludf.DUMMYFUNCTION("""COMPUTED_VALUE"""),0.0015509259259259259)</f>
        <v>0.001550925926</v>
      </c>
      <c r="E2468" s="1">
        <f>IFERROR(__xludf.DUMMYFUNCTION("""COMPUTED_VALUE"""),1.09)</f>
        <v>1.09</v>
      </c>
      <c r="F2468" s="1">
        <f>IFERROR(__xludf.DUMMYFUNCTION("""COMPUTED_VALUE"""),3.6)</f>
        <v>3.6</v>
      </c>
      <c r="G2468" s="5">
        <f>IFERROR(__xludf.DUMMYFUNCTION("""COMPUTED_VALUE"""),5943.0)</f>
        <v>5943</v>
      </c>
      <c r="H2468" s="5">
        <f>IFERROR(__xludf.DUMMYFUNCTION("""COMPUTED_VALUE"""),1652.0)</f>
        <v>1652</v>
      </c>
    </row>
    <row r="2469">
      <c r="A2469" s="4">
        <f>IFERROR(__xludf.DUMMYFUNCTION("""COMPUTED_VALUE"""),44837.0)</f>
        <v>44837</v>
      </c>
      <c r="B2469" s="5">
        <f>IFERROR(__xludf.DUMMYFUNCTION("""COMPUTED_VALUE"""),2833.0)</f>
        <v>2833</v>
      </c>
      <c r="C2469" s="6">
        <f>IFERROR(__xludf.DUMMYFUNCTION("""COMPUTED_VALUE"""),0.3991)</f>
        <v>0.3991</v>
      </c>
      <c r="D2469" s="2">
        <f>IFERROR(__xludf.DUMMYFUNCTION("""COMPUTED_VALUE"""),0.0026041666666666665)</f>
        <v>0.002604166667</v>
      </c>
      <c r="E2469" s="1">
        <f>IFERROR(__xludf.DUMMYFUNCTION("""COMPUTED_VALUE"""),1.07)</f>
        <v>1.07</v>
      </c>
      <c r="F2469" s="1">
        <f>IFERROR(__xludf.DUMMYFUNCTION("""COMPUTED_VALUE"""),4.87)</f>
        <v>4.87</v>
      </c>
      <c r="G2469" s="5">
        <f>IFERROR(__xludf.DUMMYFUNCTION("""COMPUTED_VALUE"""),14732.0)</f>
        <v>14732</v>
      </c>
      <c r="H2469" s="5">
        <f>IFERROR(__xludf.DUMMYFUNCTION("""COMPUTED_VALUE"""),3027.0)</f>
        <v>3027</v>
      </c>
    </row>
    <row r="2470">
      <c r="A2470" s="4">
        <f>IFERROR(__xludf.DUMMYFUNCTION("""COMPUTED_VALUE"""),44838.0)</f>
        <v>44838</v>
      </c>
      <c r="B2470" s="5">
        <f>IFERROR(__xludf.DUMMYFUNCTION("""COMPUTED_VALUE"""),2874.0)</f>
        <v>2874</v>
      </c>
      <c r="C2470" s="6">
        <f>IFERROR(__xludf.DUMMYFUNCTION("""COMPUTED_VALUE"""),0.4646)</f>
        <v>0.4646</v>
      </c>
      <c r="D2470" s="2">
        <f>IFERROR(__xludf.DUMMYFUNCTION("""COMPUTED_VALUE"""),0.0024421296296296296)</f>
        <v>0.00244212963</v>
      </c>
      <c r="E2470" s="1">
        <f>IFERROR(__xludf.DUMMYFUNCTION("""COMPUTED_VALUE"""),1.09)</f>
        <v>1.09</v>
      </c>
      <c r="F2470" s="1">
        <f>IFERROR(__xludf.DUMMYFUNCTION("""COMPUTED_VALUE"""),4.65)</f>
        <v>4.65</v>
      </c>
      <c r="G2470" s="5">
        <f>IFERROR(__xludf.DUMMYFUNCTION("""COMPUTED_VALUE"""),14607.0)</f>
        <v>14607</v>
      </c>
      <c r="H2470" s="5">
        <f>IFERROR(__xludf.DUMMYFUNCTION("""COMPUTED_VALUE"""),3138.0)</f>
        <v>3138</v>
      </c>
    </row>
    <row r="2471">
      <c r="A2471" s="4">
        <f>IFERROR(__xludf.DUMMYFUNCTION("""COMPUTED_VALUE"""),44839.0)</f>
        <v>44839</v>
      </c>
      <c r="B2471" s="5">
        <f>IFERROR(__xludf.DUMMYFUNCTION("""COMPUTED_VALUE"""),2819.0)</f>
        <v>2819</v>
      </c>
      <c r="C2471" s="6">
        <f>IFERROR(__xludf.DUMMYFUNCTION("""COMPUTED_VALUE"""),0.4073)</f>
        <v>0.4073</v>
      </c>
      <c r="D2471" s="2">
        <f>IFERROR(__xludf.DUMMYFUNCTION("""COMPUTED_VALUE"""),0.0033449074074074076)</f>
        <v>0.003344907407</v>
      </c>
      <c r="E2471" s="1">
        <f>IFERROR(__xludf.DUMMYFUNCTION("""COMPUTED_VALUE"""),1.09)</f>
        <v>1.09</v>
      </c>
      <c r="F2471" s="1">
        <f>IFERROR(__xludf.DUMMYFUNCTION("""COMPUTED_VALUE"""),5.97)</f>
        <v>5.97</v>
      </c>
      <c r="G2471" s="5">
        <f>IFERROR(__xludf.DUMMYFUNCTION("""COMPUTED_VALUE"""),18329.0)</f>
        <v>18329</v>
      </c>
      <c r="H2471" s="5">
        <f>IFERROR(__xludf.DUMMYFUNCTION("""COMPUTED_VALUE"""),3069.0)</f>
        <v>3069</v>
      </c>
    </row>
    <row r="2472">
      <c r="A2472" s="4">
        <f>IFERROR(__xludf.DUMMYFUNCTION("""COMPUTED_VALUE"""),44840.0)</f>
        <v>44840</v>
      </c>
      <c r="B2472" s="5">
        <f>IFERROR(__xludf.DUMMYFUNCTION("""COMPUTED_VALUE"""),3027.0)</f>
        <v>3027</v>
      </c>
      <c r="C2472" s="6">
        <f>IFERROR(__xludf.DUMMYFUNCTION("""COMPUTED_VALUE"""),0.4653)</f>
        <v>0.4653</v>
      </c>
      <c r="D2472" s="2">
        <f>IFERROR(__xludf.DUMMYFUNCTION("""COMPUTED_VALUE"""),0.0019328703703703704)</f>
        <v>0.00193287037</v>
      </c>
      <c r="E2472" s="1">
        <f>IFERROR(__xludf.DUMMYFUNCTION("""COMPUTED_VALUE"""),1.12)</f>
        <v>1.12</v>
      </c>
      <c r="F2472" s="1">
        <f>IFERROR(__xludf.DUMMYFUNCTION("""COMPUTED_VALUE"""),4.94)</f>
        <v>4.94</v>
      </c>
      <c r="G2472" s="5">
        <f>IFERROR(__xludf.DUMMYFUNCTION("""COMPUTED_VALUE"""),16815.0)</f>
        <v>16815</v>
      </c>
      <c r="H2472" s="5">
        <f>IFERROR(__xludf.DUMMYFUNCTION("""COMPUTED_VALUE"""),3402.0)</f>
        <v>3402</v>
      </c>
    </row>
    <row r="2473">
      <c r="A2473" s="4">
        <f>IFERROR(__xludf.DUMMYFUNCTION("""COMPUTED_VALUE"""),44841.0)</f>
        <v>44841</v>
      </c>
      <c r="B2473" s="5">
        <f>IFERROR(__xludf.DUMMYFUNCTION("""COMPUTED_VALUE"""),2402.0)</f>
        <v>2402</v>
      </c>
      <c r="C2473" s="6">
        <f>IFERROR(__xludf.DUMMYFUNCTION("""COMPUTED_VALUE"""),0.4473)</f>
        <v>0.4473</v>
      </c>
      <c r="D2473" s="2">
        <f>IFERROR(__xludf.DUMMYFUNCTION("""COMPUTED_VALUE"""),0.0024074074074074076)</f>
        <v>0.002407407407</v>
      </c>
      <c r="E2473" s="1">
        <f>IFERROR(__xludf.DUMMYFUNCTION("""COMPUTED_VALUE"""),1.1)</f>
        <v>1.1</v>
      </c>
      <c r="F2473" s="1">
        <f>IFERROR(__xludf.DUMMYFUNCTION("""COMPUTED_VALUE"""),5.15)</f>
        <v>5.15</v>
      </c>
      <c r="G2473" s="5">
        <f>IFERROR(__xludf.DUMMYFUNCTION("""COMPUTED_VALUE"""),13594.0)</f>
        <v>13594</v>
      </c>
      <c r="H2473" s="5">
        <f>IFERROR(__xludf.DUMMYFUNCTION("""COMPUTED_VALUE"""),2638.0)</f>
        <v>2638</v>
      </c>
    </row>
    <row r="2474">
      <c r="A2474" s="4">
        <f>IFERROR(__xludf.DUMMYFUNCTION("""COMPUTED_VALUE"""),44842.0)</f>
        <v>44842</v>
      </c>
      <c r="B2474" s="5">
        <f>IFERROR(__xludf.DUMMYFUNCTION("""COMPUTED_VALUE"""),1500.0)</f>
        <v>1500</v>
      </c>
      <c r="C2474" s="6">
        <f>IFERROR(__xludf.DUMMYFUNCTION("""COMPUTED_VALUE"""),0.5427)</f>
        <v>0.5427</v>
      </c>
      <c r="D2474" s="2">
        <f>IFERROR(__xludf.DUMMYFUNCTION("""COMPUTED_VALUE"""),0.0015393518518518519)</f>
        <v>0.001539351852</v>
      </c>
      <c r="E2474" s="1">
        <f>IFERROR(__xludf.DUMMYFUNCTION("""COMPUTED_VALUE"""),1.09)</f>
        <v>1.09</v>
      </c>
      <c r="F2474" s="1">
        <f>IFERROR(__xludf.DUMMYFUNCTION("""COMPUTED_VALUE"""),3.63)</f>
        <v>3.63</v>
      </c>
      <c r="G2474" s="5">
        <f>IFERROR(__xludf.DUMMYFUNCTION("""COMPUTED_VALUE"""),5943.0)</f>
        <v>5943</v>
      </c>
      <c r="H2474" s="5">
        <f>IFERROR(__xludf.DUMMYFUNCTION("""COMPUTED_VALUE"""),1638.0)</f>
        <v>1638</v>
      </c>
    </row>
    <row r="2475">
      <c r="A2475" s="4">
        <f>IFERROR(__xludf.DUMMYFUNCTION("""COMPUTED_VALUE"""),44843.0)</f>
        <v>44843</v>
      </c>
      <c r="B2475" s="5">
        <f>IFERROR(__xludf.DUMMYFUNCTION("""COMPUTED_VALUE"""),1569.0)</f>
        <v>1569</v>
      </c>
      <c r="C2475" s="6">
        <f>IFERROR(__xludf.DUMMYFUNCTION("""COMPUTED_VALUE"""),0.4637)</f>
        <v>0.4637</v>
      </c>
      <c r="D2475" s="2">
        <f>IFERROR(__xludf.DUMMYFUNCTION("""COMPUTED_VALUE"""),0.0020486111111111113)</f>
        <v>0.002048611111</v>
      </c>
      <c r="E2475" s="1">
        <f>IFERROR(__xludf.DUMMYFUNCTION("""COMPUTED_VALUE"""),1.11)</f>
        <v>1.11</v>
      </c>
      <c r="F2475" s="1">
        <f>IFERROR(__xludf.DUMMYFUNCTION("""COMPUTED_VALUE"""),4.93)</f>
        <v>4.93</v>
      </c>
      <c r="G2475" s="5">
        <f>IFERROR(__xludf.DUMMYFUNCTION("""COMPUTED_VALUE"""),8553.0)</f>
        <v>8553</v>
      </c>
      <c r="H2475" s="5">
        <f>IFERROR(__xludf.DUMMYFUNCTION("""COMPUTED_VALUE"""),1736.0)</f>
        <v>1736</v>
      </c>
    </row>
    <row r="2476">
      <c r="A2476" s="4">
        <f>IFERROR(__xludf.DUMMYFUNCTION("""COMPUTED_VALUE"""),44844.0)</f>
        <v>44844</v>
      </c>
      <c r="B2476" s="5">
        <f>IFERROR(__xludf.DUMMYFUNCTION("""COMPUTED_VALUE"""),2638.0)</f>
        <v>2638</v>
      </c>
      <c r="C2476" s="6">
        <f>IFERROR(__xludf.DUMMYFUNCTION("""COMPUTED_VALUE"""),0.4191)</f>
        <v>0.4191</v>
      </c>
      <c r="D2476" s="2">
        <f>IFERROR(__xludf.DUMMYFUNCTION("""COMPUTED_VALUE"""),0.002013888888888889)</f>
        <v>0.002013888889</v>
      </c>
      <c r="E2476" s="1">
        <f>IFERROR(__xludf.DUMMYFUNCTION("""COMPUTED_VALUE"""),1.11)</f>
        <v>1.11</v>
      </c>
      <c r="F2476" s="1">
        <f>IFERROR(__xludf.DUMMYFUNCTION("""COMPUTED_VALUE"""),3.96)</f>
        <v>3.96</v>
      </c>
      <c r="G2476" s="5">
        <f>IFERROR(__xludf.DUMMYFUNCTION("""COMPUTED_VALUE"""),11539.0)</f>
        <v>11539</v>
      </c>
      <c r="H2476" s="5">
        <f>IFERROR(__xludf.DUMMYFUNCTION("""COMPUTED_VALUE"""),2916.0)</f>
        <v>2916</v>
      </c>
    </row>
    <row r="2477">
      <c r="A2477" s="4">
        <f>IFERROR(__xludf.DUMMYFUNCTION("""COMPUTED_VALUE"""),44845.0)</f>
        <v>44845</v>
      </c>
      <c r="B2477" s="5">
        <f>IFERROR(__xludf.DUMMYFUNCTION("""COMPUTED_VALUE"""),2819.0)</f>
        <v>2819</v>
      </c>
      <c r="C2477" s="6">
        <f>IFERROR(__xludf.DUMMYFUNCTION("""COMPUTED_VALUE"""),0.3907)</f>
        <v>0.3907</v>
      </c>
      <c r="D2477" s="2">
        <f>IFERROR(__xludf.DUMMYFUNCTION("""COMPUTED_VALUE"""),0.002523148148148148)</f>
        <v>0.002523148148</v>
      </c>
      <c r="E2477" s="1">
        <f>IFERROR(__xludf.DUMMYFUNCTION("""COMPUTED_VALUE"""),1.15)</f>
        <v>1.15</v>
      </c>
      <c r="F2477" s="1">
        <f>IFERROR(__xludf.DUMMYFUNCTION("""COMPUTED_VALUE"""),4.57)</f>
        <v>4.57</v>
      </c>
      <c r="G2477" s="5">
        <f>IFERROR(__xludf.DUMMYFUNCTION("""COMPUTED_VALUE"""),14774.0)</f>
        <v>14774</v>
      </c>
      <c r="H2477" s="5">
        <f>IFERROR(__xludf.DUMMYFUNCTION("""COMPUTED_VALUE"""),3235.0)</f>
        <v>3235</v>
      </c>
    </row>
    <row r="2478">
      <c r="A2478" s="4">
        <f>IFERROR(__xludf.DUMMYFUNCTION("""COMPUTED_VALUE"""),44846.0)</f>
        <v>44846</v>
      </c>
      <c r="B2478" s="5">
        <f>IFERROR(__xludf.DUMMYFUNCTION("""COMPUTED_VALUE"""),3902.0)</f>
        <v>3902</v>
      </c>
      <c r="C2478" s="6">
        <f>IFERROR(__xludf.DUMMYFUNCTION("""COMPUTED_VALUE"""),0.4086)</f>
        <v>0.4086</v>
      </c>
      <c r="D2478" s="2">
        <f>IFERROR(__xludf.DUMMYFUNCTION("""COMPUTED_VALUE"""),0.0028819444444444444)</f>
        <v>0.002881944444</v>
      </c>
      <c r="E2478" s="1">
        <f>IFERROR(__xludf.DUMMYFUNCTION("""COMPUTED_VALUE"""),1.09)</f>
        <v>1.09</v>
      </c>
      <c r="F2478" s="1">
        <f>IFERROR(__xludf.DUMMYFUNCTION("""COMPUTED_VALUE"""),5.8)</f>
        <v>5.8</v>
      </c>
      <c r="G2478" s="5">
        <f>IFERROR(__xludf.DUMMYFUNCTION("""COMPUTED_VALUE"""),24633.0)</f>
        <v>24633</v>
      </c>
      <c r="H2478" s="5">
        <f>IFERROR(__xludf.DUMMYFUNCTION("""COMPUTED_VALUE"""),4249.0)</f>
        <v>4249</v>
      </c>
    </row>
    <row r="2479">
      <c r="A2479" s="4">
        <f>IFERROR(__xludf.DUMMYFUNCTION("""COMPUTED_VALUE"""),44847.0)</f>
        <v>44847</v>
      </c>
      <c r="B2479" s="5">
        <f>IFERROR(__xludf.DUMMYFUNCTION("""COMPUTED_VALUE"""),3249.0)</f>
        <v>3249</v>
      </c>
      <c r="C2479" s="6">
        <f>IFERROR(__xludf.DUMMYFUNCTION("""COMPUTED_VALUE"""),0.3723)</f>
        <v>0.3723</v>
      </c>
      <c r="D2479" s="2">
        <f>IFERROR(__xludf.DUMMYFUNCTION("""COMPUTED_VALUE"""),0.002627314814814815)</f>
        <v>0.002627314815</v>
      </c>
      <c r="E2479" s="1">
        <f>IFERROR(__xludf.DUMMYFUNCTION("""COMPUTED_VALUE"""),1.06)</f>
        <v>1.06</v>
      </c>
      <c r="F2479" s="1">
        <f>IFERROR(__xludf.DUMMYFUNCTION("""COMPUTED_VALUE"""),5.11)</f>
        <v>5.11</v>
      </c>
      <c r="G2479" s="5">
        <f>IFERROR(__xludf.DUMMYFUNCTION("""COMPUTED_VALUE"""),17537.0)</f>
        <v>17537</v>
      </c>
      <c r="H2479" s="5">
        <f>IFERROR(__xludf.DUMMYFUNCTION("""COMPUTED_VALUE"""),3430.0)</f>
        <v>3430</v>
      </c>
    </row>
    <row r="2480">
      <c r="A2480" s="4">
        <f>IFERROR(__xludf.DUMMYFUNCTION("""COMPUTED_VALUE"""),44848.0)</f>
        <v>44848</v>
      </c>
      <c r="B2480" s="5">
        <f>IFERROR(__xludf.DUMMYFUNCTION("""COMPUTED_VALUE"""),2694.0)</f>
        <v>2694</v>
      </c>
      <c r="C2480" s="6">
        <f>IFERROR(__xludf.DUMMYFUNCTION("""COMPUTED_VALUE"""),0.4744)</f>
        <v>0.4744</v>
      </c>
      <c r="D2480" s="2">
        <f>IFERROR(__xludf.DUMMYFUNCTION("""COMPUTED_VALUE"""),0.002384259259259259)</f>
        <v>0.002384259259</v>
      </c>
      <c r="E2480" s="1">
        <f>IFERROR(__xludf.DUMMYFUNCTION("""COMPUTED_VALUE"""),1.11)</f>
        <v>1.11</v>
      </c>
      <c r="F2480" s="1">
        <f>IFERROR(__xludf.DUMMYFUNCTION("""COMPUTED_VALUE"""),4.98)</f>
        <v>4.98</v>
      </c>
      <c r="G2480" s="5">
        <f>IFERROR(__xludf.DUMMYFUNCTION("""COMPUTED_VALUE"""),14871.0)</f>
        <v>14871</v>
      </c>
      <c r="H2480" s="5">
        <f>IFERROR(__xludf.DUMMYFUNCTION("""COMPUTED_VALUE"""),2985.0)</f>
        <v>2985</v>
      </c>
    </row>
    <row r="2481">
      <c r="A2481" s="4">
        <f>IFERROR(__xludf.DUMMYFUNCTION("""COMPUTED_VALUE"""),44849.0)</f>
        <v>44849</v>
      </c>
      <c r="B2481" s="5">
        <f>IFERROR(__xludf.DUMMYFUNCTION("""COMPUTED_VALUE"""),1527.0)</f>
        <v>1527</v>
      </c>
      <c r="C2481" s="6">
        <f>IFERROR(__xludf.DUMMYFUNCTION("""COMPUTED_VALUE"""),0.5081)</f>
        <v>0.5081</v>
      </c>
      <c r="D2481" s="2">
        <f>IFERROR(__xludf.DUMMYFUNCTION("""COMPUTED_VALUE"""),0.0018981481481481482)</f>
        <v>0.001898148148</v>
      </c>
      <c r="E2481" s="1">
        <f>IFERROR(__xludf.DUMMYFUNCTION("""COMPUTED_VALUE"""),1.13)</f>
        <v>1.13</v>
      </c>
      <c r="F2481" s="1">
        <f>IFERROR(__xludf.DUMMYFUNCTION("""COMPUTED_VALUE"""),3.49)</f>
        <v>3.49</v>
      </c>
      <c r="G2481" s="5">
        <f>IFERROR(__xludf.DUMMYFUNCTION("""COMPUTED_VALUE"""),6012.0)</f>
        <v>6012</v>
      </c>
      <c r="H2481" s="5">
        <f>IFERROR(__xludf.DUMMYFUNCTION("""COMPUTED_VALUE"""),1722.0)</f>
        <v>1722</v>
      </c>
    </row>
    <row r="2482">
      <c r="A2482" s="4">
        <f>IFERROR(__xludf.DUMMYFUNCTION("""COMPUTED_VALUE"""),44850.0)</f>
        <v>44850</v>
      </c>
      <c r="B2482" s="5">
        <f>IFERROR(__xludf.DUMMYFUNCTION("""COMPUTED_VALUE"""),1763.0)</f>
        <v>1763</v>
      </c>
      <c r="C2482" s="6">
        <f>IFERROR(__xludf.DUMMYFUNCTION("""COMPUTED_VALUE"""),0.5037)</f>
        <v>0.5037</v>
      </c>
      <c r="D2482" s="2">
        <f>IFERROR(__xludf.DUMMYFUNCTION("""COMPUTED_VALUE"""),0.0019097222222222222)</f>
        <v>0.001909722222</v>
      </c>
      <c r="E2482" s="1">
        <f>IFERROR(__xludf.DUMMYFUNCTION("""COMPUTED_VALUE"""),1.08)</f>
        <v>1.08</v>
      </c>
      <c r="F2482" s="1">
        <f>IFERROR(__xludf.DUMMYFUNCTION("""COMPUTED_VALUE"""),5.1)</f>
        <v>5.1</v>
      </c>
      <c r="G2482" s="5">
        <f>IFERROR(__xludf.DUMMYFUNCTION("""COMPUTED_VALUE"""),9692.0)</f>
        <v>9692</v>
      </c>
      <c r="H2482" s="5">
        <f>IFERROR(__xludf.DUMMYFUNCTION("""COMPUTED_VALUE"""),1902.0)</f>
        <v>1902</v>
      </c>
    </row>
    <row r="2483">
      <c r="A2483" s="4">
        <f>IFERROR(__xludf.DUMMYFUNCTION("""COMPUTED_VALUE"""),44851.0)</f>
        <v>44851</v>
      </c>
      <c r="B2483" s="5">
        <f>IFERROR(__xludf.DUMMYFUNCTION("""COMPUTED_VALUE"""),3124.0)</f>
        <v>3124</v>
      </c>
      <c r="C2483" s="6">
        <f>IFERROR(__xludf.DUMMYFUNCTION("""COMPUTED_VALUE"""),0.3977)</f>
        <v>0.3977</v>
      </c>
      <c r="D2483" s="2">
        <f>IFERROR(__xludf.DUMMYFUNCTION("""COMPUTED_VALUE"""),0.002928240740740741)</f>
        <v>0.002928240741</v>
      </c>
      <c r="E2483" s="1">
        <f>IFERROR(__xludf.DUMMYFUNCTION("""COMPUTED_VALUE"""),1.11)</f>
        <v>1.11</v>
      </c>
      <c r="F2483" s="1">
        <f>IFERROR(__xludf.DUMMYFUNCTION("""COMPUTED_VALUE"""),4.98)</f>
        <v>4.98</v>
      </c>
      <c r="G2483" s="5">
        <f>IFERROR(__xludf.DUMMYFUNCTION("""COMPUTED_VALUE"""),17204.0)</f>
        <v>17204</v>
      </c>
      <c r="H2483" s="5">
        <f>IFERROR(__xludf.DUMMYFUNCTION("""COMPUTED_VALUE"""),3457.0)</f>
        <v>3457</v>
      </c>
    </row>
    <row r="2484">
      <c r="A2484" s="4">
        <f>IFERROR(__xludf.DUMMYFUNCTION("""COMPUTED_VALUE"""),44852.0)</f>
        <v>44852</v>
      </c>
      <c r="B2484" s="5">
        <f>IFERROR(__xludf.DUMMYFUNCTION("""COMPUTED_VALUE"""),2694.0)</f>
        <v>2694</v>
      </c>
      <c r="C2484" s="6">
        <f>IFERROR(__xludf.DUMMYFUNCTION("""COMPUTED_VALUE"""),0.3744)</f>
        <v>0.3744</v>
      </c>
      <c r="D2484" s="2">
        <f>IFERROR(__xludf.DUMMYFUNCTION("""COMPUTED_VALUE"""),0.002800925925925926)</f>
        <v>0.002800925926</v>
      </c>
      <c r="E2484" s="1">
        <f>IFERROR(__xludf.DUMMYFUNCTION("""COMPUTED_VALUE"""),1.17)</f>
        <v>1.17</v>
      </c>
      <c r="F2484" s="1">
        <f>IFERROR(__xludf.DUMMYFUNCTION("""COMPUTED_VALUE"""),6.11)</f>
        <v>6.11</v>
      </c>
      <c r="G2484" s="5">
        <f>IFERROR(__xludf.DUMMYFUNCTION("""COMPUTED_VALUE"""),19273.0)</f>
        <v>19273</v>
      </c>
      <c r="H2484" s="5">
        <f>IFERROR(__xludf.DUMMYFUNCTION("""COMPUTED_VALUE"""),3152.0)</f>
        <v>3152</v>
      </c>
    </row>
    <row r="2485">
      <c r="A2485" s="4">
        <f>IFERROR(__xludf.DUMMYFUNCTION("""COMPUTED_VALUE"""),44853.0)</f>
        <v>44853</v>
      </c>
      <c r="B2485" s="5">
        <f>IFERROR(__xludf.DUMMYFUNCTION("""COMPUTED_VALUE"""),3208.0)</f>
        <v>3208</v>
      </c>
      <c r="C2485" s="6">
        <f>IFERROR(__xludf.DUMMYFUNCTION("""COMPUTED_VALUE"""),0.4276)</f>
        <v>0.4276</v>
      </c>
      <c r="D2485" s="2">
        <f>IFERROR(__xludf.DUMMYFUNCTION("""COMPUTED_VALUE"""),0.002395833333333333)</f>
        <v>0.002395833333</v>
      </c>
      <c r="E2485" s="1">
        <f>IFERROR(__xludf.DUMMYFUNCTION("""COMPUTED_VALUE"""),1.1)</f>
        <v>1.1</v>
      </c>
      <c r="F2485" s="1">
        <f>IFERROR(__xludf.DUMMYFUNCTION("""COMPUTED_VALUE"""),5.07)</f>
        <v>5.07</v>
      </c>
      <c r="G2485" s="5">
        <f>IFERROR(__xludf.DUMMYFUNCTION("""COMPUTED_VALUE"""),17954.0)</f>
        <v>17954</v>
      </c>
      <c r="H2485" s="5">
        <f>IFERROR(__xludf.DUMMYFUNCTION("""COMPUTED_VALUE"""),3541.0)</f>
        <v>3541</v>
      </c>
    </row>
    <row r="2486">
      <c r="A2486" s="4">
        <f>IFERROR(__xludf.DUMMYFUNCTION("""COMPUTED_VALUE"""),44854.0)</f>
        <v>44854</v>
      </c>
      <c r="B2486" s="5">
        <f>IFERROR(__xludf.DUMMYFUNCTION("""COMPUTED_VALUE"""),2888.0)</f>
        <v>2888</v>
      </c>
      <c r="C2486" s="6">
        <f>IFERROR(__xludf.DUMMYFUNCTION("""COMPUTED_VALUE"""),0.4273)</f>
        <v>0.4273</v>
      </c>
      <c r="D2486" s="2">
        <f>IFERROR(__xludf.DUMMYFUNCTION("""COMPUTED_VALUE"""),0.001979166666666667)</f>
        <v>0.001979166667</v>
      </c>
      <c r="E2486" s="1">
        <f>IFERROR(__xludf.DUMMYFUNCTION("""COMPUTED_VALUE"""),1.09)</f>
        <v>1.09</v>
      </c>
      <c r="F2486" s="1">
        <f>IFERROR(__xludf.DUMMYFUNCTION("""COMPUTED_VALUE"""),4.04)</f>
        <v>4.04</v>
      </c>
      <c r="G2486" s="5">
        <f>IFERROR(__xludf.DUMMYFUNCTION("""COMPUTED_VALUE"""),12733.0)</f>
        <v>12733</v>
      </c>
      <c r="H2486" s="5">
        <f>IFERROR(__xludf.DUMMYFUNCTION("""COMPUTED_VALUE"""),3152.0)</f>
        <v>3152</v>
      </c>
    </row>
    <row r="2487">
      <c r="A2487" s="4">
        <f>IFERROR(__xludf.DUMMYFUNCTION("""COMPUTED_VALUE"""),44855.0)</f>
        <v>44855</v>
      </c>
      <c r="B2487" s="5">
        <f>IFERROR(__xludf.DUMMYFUNCTION("""COMPUTED_VALUE"""),2333.0)</f>
        <v>2333</v>
      </c>
      <c r="C2487" s="6">
        <f>IFERROR(__xludf.DUMMYFUNCTION("""COMPUTED_VALUE"""),0.4325)</f>
        <v>0.4325</v>
      </c>
      <c r="D2487" s="2">
        <f>IFERROR(__xludf.DUMMYFUNCTION("""COMPUTED_VALUE"""),0.002395833333333333)</f>
        <v>0.002395833333</v>
      </c>
      <c r="E2487" s="1">
        <f>IFERROR(__xludf.DUMMYFUNCTION("""COMPUTED_VALUE"""),1.1)</f>
        <v>1.1</v>
      </c>
      <c r="F2487" s="1">
        <f>IFERROR(__xludf.DUMMYFUNCTION("""COMPUTED_VALUE"""),4.64)</f>
        <v>4.64</v>
      </c>
      <c r="G2487" s="5">
        <f>IFERROR(__xludf.DUMMYFUNCTION("""COMPUTED_VALUE"""),11914.0)</f>
        <v>11914</v>
      </c>
      <c r="H2487" s="5">
        <f>IFERROR(__xludf.DUMMYFUNCTION("""COMPUTED_VALUE"""),2569.0)</f>
        <v>2569</v>
      </c>
    </row>
    <row r="2488">
      <c r="A2488" s="4">
        <f>IFERROR(__xludf.DUMMYFUNCTION("""COMPUTED_VALUE"""),44856.0)</f>
        <v>44856</v>
      </c>
      <c r="B2488" s="5">
        <f>IFERROR(__xludf.DUMMYFUNCTION("""COMPUTED_VALUE"""),1291.0)</f>
        <v>1291</v>
      </c>
      <c r="C2488" s="6">
        <f>IFERROR(__xludf.DUMMYFUNCTION("""COMPUTED_VALUE"""),0.4657)</f>
        <v>0.4657</v>
      </c>
      <c r="D2488" s="2">
        <f>IFERROR(__xludf.DUMMYFUNCTION("""COMPUTED_VALUE"""),0.002384259259259259)</f>
        <v>0.002384259259</v>
      </c>
      <c r="E2488" s="1">
        <f>IFERROR(__xludf.DUMMYFUNCTION("""COMPUTED_VALUE"""),1.11)</f>
        <v>1.11</v>
      </c>
      <c r="F2488" s="1">
        <f>IFERROR(__xludf.DUMMYFUNCTION("""COMPUTED_VALUE"""),5.85)</f>
        <v>5.85</v>
      </c>
      <c r="G2488" s="5">
        <f>IFERROR(__xludf.DUMMYFUNCTION("""COMPUTED_VALUE"""),8359.0)</f>
        <v>8359</v>
      </c>
      <c r="H2488" s="5">
        <f>IFERROR(__xludf.DUMMYFUNCTION("""COMPUTED_VALUE"""),1430.0)</f>
        <v>1430</v>
      </c>
    </row>
    <row r="2489">
      <c r="A2489" s="4">
        <f>IFERROR(__xludf.DUMMYFUNCTION("""COMPUTED_VALUE"""),44857.0)</f>
        <v>44857</v>
      </c>
      <c r="B2489" s="5">
        <f>IFERROR(__xludf.DUMMYFUNCTION("""COMPUTED_VALUE"""),1472.0)</f>
        <v>1472</v>
      </c>
      <c r="C2489" s="6">
        <f>IFERROR(__xludf.DUMMYFUNCTION("""COMPUTED_VALUE"""),0.4655)</f>
        <v>0.4655</v>
      </c>
      <c r="D2489" s="2">
        <f>IFERROR(__xludf.DUMMYFUNCTION("""COMPUTED_VALUE"""),0.0034837962962962965)</f>
        <v>0.003483796296</v>
      </c>
      <c r="E2489" s="1">
        <f>IFERROR(__xludf.DUMMYFUNCTION("""COMPUTED_VALUE"""),1.09)</f>
        <v>1.09</v>
      </c>
      <c r="F2489" s="1">
        <f>IFERROR(__xludf.DUMMYFUNCTION("""COMPUTED_VALUE"""),7.35)</f>
        <v>7.35</v>
      </c>
      <c r="G2489" s="5">
        <f>IFERROR(__xludf.DUMMYFUNCTION("""COMPUTED_VALUE"""),11844.0)</f>
        <v>11844</v>
      </c>
      <c r="H2489" s="5">
        <f>IFERROR(__xludf.DUMMYFUNCTION("""COMPUTED_VALUE"""),1611.0)</f>
        <v>1611</v>
      </c>
    </row>
    <row r="2490">
      <c r="A2490" s="4">
        <f>IFERROR(__xludf.DUMMYFUNCTION("""COMPUTED_VALUE"""),44858.0)</f>
        <v>44858</v>
      </c>
      <c r="B2490" s="5">
        <f>IFERROR(__xludf.DUMMYFUNCTION("""COMPUTED_VALUE"""),2513.0)</f>
        <v>2513</v>
      </c>
      <c r="C2490" s="6">
        <f>IFERROR(__xludf.DUMMYFUNCTION("""COMPUTED_VALUE"""),0.4154)</f>
        <v>0.4154</v>
      </c>
      <c r="D2490" s="2">
        <f>IFERROR(__xludf.DUMMYFUNCTION("""COMPUTED_VALUE"""),0.0032291666666666666)</f>
        <v>0.003229166667</v>
      </c>
      <c r="E2490" s="1">
        <f>IFERROR(__xludf.DUMMYFUNCTION("""COMPUTED_VALUE"""),1.14)</f>
        <v>1.14</v>
      </c>
      <c r="F2490" s="1">
        <f>IFERROR(__xludf.DUMMYFUNCTION("""COMPUTED_VALUE"""),5.65)</f>
        <v>5.65</v>
      </c>
      <c r="G2490" s="5">
        <f>IFERROR(__xludf.DUMMYFUNCTION("""COMPUTED_VALUE"""),16246.0)</f>
        <v>16246</v>
      </c>
      <c r="H2490" s="5">
        <f>IFERROR(__xludf.DUMMYFUNCTION("""COMPUTED_VALUE"""),2874.0)</f>
        <v>2874</v>
      </c>
    </row>
    <row r="2491">
      <c r="A2491" s="4">
        <f>IFERROR(__xludf.DUMMYFUNCTION("""COMPUTED_VALUE"""),44859.0)</f>
        <v>44859</v>
      </c>
      <c r="B2491" s="5">
        <f>IFERROR(__xludf.DUMMYFUNCTION("""COMPUTED_VALUE"""),2971.0)</f>
        <v>2971</v>
      </c>
      <c r="C2491" s="6">
        <f>IFERROR(__xludf.DUMMYFUNCTION("""COMPUTED_VALUE"""),0.4958)</f>
        <v>0.4958</v>
      </c>
      <c r="D2491" s="2">
        <f>IFERROR(__xludf.DUMMYFUNCTION("""COMPUTED_VALUE"""),0.0018287037037037037)</f>
        <v>0.001828703704</v>
      </c>
      <c r="E2491" s="1">
        <f>IFERROR(__xludf.DUMMYFUNCTION("""COMPUTED_VALUE"""),1.09)</f>
        <v>1.09</v>
      </c>
      <c r="F2491" s="1">
        <f>IFERROR(__xludf.DUMMYFUNCTION("""COMPUTED_VALUE"""),4.36)</f>
        <v>4.36</v>
      </c>
      <c r="G2491" s="5">
        <f>IFERROR(__xludf.DUMMYFUNCTION("""COMPUTED_VALUE"""),14177.0)</f>
        <v>14177</v>
      </c>
      <c r="H2491" s="5">
        <f>IFERROR(__xludf.DUMMYFUNCTION("""COMPUTED_VALUE"""),3249.0)</f>
        <v>3249</v>
      </c>
    </row>
    <row r="2492">
      <c r="A2492" s="4">
        <f>IFERROR(__xludf.DUMMYFUNCTION("""COMPUTED_VALUE"""),44860.0)</f>
        <v>44860</v>
      </c>
      <c r="B2492" s="5">
        <f>IFERROR(__xludf.DUMMYFUNCTION("""COMPUTED_VALUE"""),2916.0)</f>
        <v>2916</v>
      </c>
      <c r="C2492" s="6">
        <f>IFERROR(__xludf.DUMMYFUNCTION("""COMPUTED_VALUE"""),0.4453)</f>
        <v>0.4453</v>
      </c>
      <c r="D2492" s="2">
        <f>IFERROR(__xludf.DUMMYFUNCTION("""COMPUTED_VALUE"""),0.002685185185185185)</f>
        <v>0.002685185185</v>
      </c>
      <c r="E2492" s="1">
        <f>IFERROR(__xludf.DUMMYFUNCTION("""COMPUTED_VALUE"""),1.09)</f>
        <v>1.09</v>
      </c>
      <c r="F2492" s="1">
        <f>IFERROR(__xludf.DUMMYFUNCTION("""COMPUTED_VALUE"""),4.69)</f>
        <v>4.69</v>
      </c>
      <c r="G2492" s="5">
        <f>IFERROR(__xludf.DUMMYFUNCTION("""COMPUTED_VALUE"""),14913.0)</f>
        <v>14913</v>
      </c>
      <c r="H2492" s="5">
        <f>IFERROR(__xludf.DUMMYFUNCTION("""COMPUTED_VALUE"""),3180.0)</f>
        <v>3180</v>
      </c>
    </row>
    <row r="2493">
      <c r="A2493" s="4">
        <f>IFERROR(__xludf.DUMMYFUNCTION("""COMPUTED_VALUE"""),44861.0)</f>
        <v>44861</v>
      </c>
      <c r="B2493" s="5">
        <f>IFERROR(__xludf.DUMMYFUNCTION("""COMPUTED_VALUE"""),2499.0)</f>
        <v>2499</v>
      </c>
      <c r="C2493" s="6">
        <f>IFERROR(__xludf.DUMMYFUNCTION("""COMPUTED_VALUE"""),0.4171)</f>
        <v>0.4171</v>
      </c>
      <c r="D2493" s="2">
        <f>IFERROR(__xludf.DUMMYFUNCTION("""COMPUTED_VALUE"""),0.0027314814814814814)</f>
        <v>0.002731481481</v>
      </c>
      <c r="E2493" s="1">
        <f>IFERROR(__xludf.DUMMYFUNCTION("""COMPUTED_VALUE"""),1.17)</f>
        <v>1.17</v>
      </c>
      <c r="F2493" s="1">
        <f>IFERROR(__xludf.DUMMYFUNCTION("""COMPUTED_VALUE"""),5.64)</f>
        <v>5.64</v>
      </c>
      <c r="G2493" s="5">
        <f>IFERROR(__xludf.DUMMYFUNCTION("""COMPUTED_VALUE"""),16537.0)</f>
        <v>16537</v>
      </c>
      <c r="H2493" s="5">
        <f>IFERROR(__xludf.DUMMYFUNCTION("""COMPUTED_VALUE"""),2930.0)</f>
        <v>2930</v>
      </c>
    </row>
    <row r="2494">
      <c r="A2494" s="4">
        <f>IFERROR(__xludf.DUMMYFUNCTION("""COMPUTED_VALUE"""),44862.0)</f>
        <v>44862</v>
      </c>
      <c r="B2494" s="5">
        <f>IFERROR(__xludf.DUMMYFUNCTION("""COMPUTED_VALUE"""),2166.0)</f>
        <v>2166</v>
      </c>
      <c r="C2494" s="6">
        <f>IFERROR(__xludf.DUMMYFUNCTION("""COMPUTED_VALUE"""),0.3695)</f>
        <v>0.3695</v>
      </c>
      <c r="D2494" s="2">
        <f>IFERROR(__xludf.DUMMYFUNCTION("""COMPUTED_VALUE"""),0.0032407407407407406)</f>
        <v>0.003240740741</v>
      </c>
      <c r="E2494" s="1">
        <f>IFERROR(__xludf.DUMMYFUNCTION("""COMPUTED_VALUE"""),1.13)</f>
        <v>1.13</v>
      </c>
      <c r="F2494" s="1">
        <f>IFERROR(__xludf.DUMMYFUNCTION("""COMPUTED_VALUE"""),5.15)</f>
        <v>5.15</v>
      </c>
      <c r="G2494" s="5">
        <f>IFERROR(__xludf.DUMMYFUNCTION("""COMPUTED_VALUE"""),12580.0)</f>
        <v>12580</v>
      </c>
      <c r="H2494" s="5">
        <f>IFERROR(__xludf.DUMMYFUNCTION("""COMPUTED_VALUE"""),2444.0)</f>
        <v>2444</v>
      </c>
    </row>
    <row r="2495">
      <c r="A2495" s="4">
        <f>IFERROR(__xludf.DUMMYFUNCTION("""COMPUTED_VALUE"""),44863.0)</f>
        <v>44863</v>
      </c>
      <c r="B2495" s="5">
        <f>IFERROR(__xludf.DUMMYFUNCTION("""COMPUTED_VALUE"""),1319.0)</f>
        <v>1319</v>
      </c>
      <c r="C2495" s="6">
        <f>IFERROR(__xludf.DUMMYFUNCTION("""COMPUTED_VALUE"""),0.4576)</f>
        <v>0.4576</v>
      </c>
      <c r="D2495" s="2">
        <f>IFERROR(__xludf.DUMMYFUNCTION("""COMPUTED_VALUE"""),0.001851851851851852)</f>
        <v>0.001851851852</v>
      </c>
      <c r="E2495" s="1">
        <f>IFERROR(__xludf.DUMMYFUNCTION("""COMPUTED_VALUE"""),1.13)</f>
        <v>1.13</v>
      </c>
      <c r="F2495" s="1">
        <f>IFERROR(__xludf.DUMMYFUNCTION("""COMPUTED_VALUE"""),4.37)</f>
        <v>4.37</v>
      </c>
      <c r="G2495" s="5">
        <f>IFERROR(__xludf.DUMMYFUNCTION("""COMPUTED_VALUE"""),6498.0)</f>
        <v>6498</v>
      </c>
      <c r="H2495" s="5">
        <f>IFERROR(__xludf.DUMMYFUNCTION("""COMPUTED_VALUE"""),1486.0)</f>
        <v>1486</v>
      </c>
    </row>
    <row r="2496">
      <c r="A2496" s="4">
        <f>IFERROR(__xludf.DUMMYFUNCTION("""COMPUTED_VALUE"""),44864.0)</f>
        <v>44864</v>
      </c>
      <c r="B2496" s="5">
        <f>IFERROR(__xludf.DUMMYFUNCTION("""COMPUTED_VALUE"""),1514.0)</f>
        <v>1514</v>
      </c>
      <c r="C2496" s="6">
        <f>IFERROR(__xludf.DUMMYFUNCTION("""COMPUTED_VALUE"""),0.4418)</f>
        <v>0.4418</v>
      </c>
      <c r="D2496" s="2">
        <f>IFERROR(__xludf.DUMMYFUNCTION("""COMPUTED_VALUE"""),0.0021296296296296298)</f>
        <v>0.00212962963</v>
      </c>
      <c r="E2496" s="1">
        <f>IFERROR(__xludf.DUMMYFUNCTION("""COMPUTED_VALUE"""),1.1)</f>
        <v>1.1</v>
      </c>
      <c r="F2496" s="1">
        <f>IFERROR(__xludf.DUMMYFUNCTION("""COMPUTED_VALUE"""),4.62)</f>
        <v>4.62</v>
      </c>
      <c r="G2496" s="5">
        <f>IFERROR(__xludf.DUMMYFUNCTION("""COMPUTED_VALUE"""),7693.0)</f>
        <v>7693</v>
      </c>
      <c r="H2496" s="5">
        <f>IFERROR(__xludf.DUMMYFUNCTION("""COMPUTED_VALUE"""),1666.0)</f>
        <v>1666</v>
      </c>
    </row>
    <row r="2497">
      <c r="A2497" s="4">
        <f>IFERROR(__xludf.DUMMYFUNCTION("""COMPUTED_VALUE"""),44865.0)</f>
        <v>44865</v>
      </c>
      <c r="B2497" s="5">
        <f>IFERROR(__xludf.DUMMYFUNCTION("""COMPUTED_VALUE"""),2402.0)</f>
        <v>2402</v>
      </c>
      <c r="C2497" s="6">
        <f>IFERROR(__xludf.DUMMYFUNCTION("""COMPUTED_VALUE"""),0.3991)</f>
        <v>0.3991</v>
      </c>
      <c r="D2497" s="2">
        <f>IFERROR(__xludf.DUMMYFUNCTION("""COMPUTED_VALUE"""),0.002384259259259259)</f>
        <v>0.002384259259</v>
      </c>
      <c r="E2497" s="1">
        <f>IFERROR(__xludf.DUMMYFUNCTION("""COMPUTED_VALUE"""),1.14)</f>
        <v>1.14</v>
      </c>
      <c r="F2497" s="1">
        <f>IFERROR(__xludf.DUMMYFUNCTION("""COMPUTED_VALUE"""),3.89)</f>
        <v>3.89</v>
      </c>
      <c r="G2497" s="5">
        <f>IFERROR(__xludf.DUMMYFUNCTION("""COMPUTED_VALUE"""),10692.0)</f>
        <v>10692</v>
      </c>
      <c r="H2497" s="5">
        <f>IFERROR(__xludf.DUMMYFUNCTION("""COMPUTED_VALUE"""),2749.0)</f>
        <v>2749</v>
      </c>
    </row>
    <row r="2498">
      <c r="A2498" s="4">
        <f>IFERROR(__xludf.DUMMYFUNCTION("""COMPUTED_VALUE"""),44866.0)</f>
        <v>44866</v>
      </c>
      <c r="B2498" s="5">
        <f>IFERROR(__xludf.DUMMYFUNCTION("""COMPUTED_VALUE"""),3777.0)</f>
        <v>3777</v>
      </c>
      <c r="C2498" s="6">
        <f>IFERROR(__xludf.DUMMYFUNCTION("""COMPUTED_VALUE"""),0.3409)</f>
        <v>0.3409</v>
      </c>
      <c r="D2498" s="2">
        <f>IFERROR(__xludf.DUMMYFUNCTION("""COMPUTED_VALUE"""),0.002777777777777778)</f>
        <v>0.002777777778</v>
      </c>
      <c r="E2498" s="1">
        <f>IFERROR(__xludf.DUMMYFUNCTION("""COMPUTED_VALUE"""),1.14)</f>
        <v>1.14</v>
      </c>
      <c r="F2498" s="1">
        <f>IFERROR(__xludf.DUMMYFUNCTION("""COMPUTED_VALUE"""),6.1)</f>
        <v>6.1</v>
      </c>
      <c r="G2498" s="5">
        <f>IFERROR(__xludf.DUMMYFUNCTION("""COMPUTED_VALUE"""),26354.0)</f>
        <v>26354</v>
      </c>
      <c r="H2498" s="5">
        <f>IFERROR(__xludf.DUMMYFUNCTION("""COMPUTED_VALUE"""),4318.0)</f>
        <v>4318</v>
      </c>
    </row>
    <row r="2499">
      <c r="A2499" s="4">
        <f>IFERROR(__xludf.DUMMYFUNCTION("""COMPUTED_VALUE"""),44867.0)</f>
        <v>44867</v>
      </c>
      <c r="B2499" s="5">
        <f>IFERROR(__xludf.DUMMYFUNCTION("""COMPUTED_VALUE"""),3180.0)</f>
        <v>3180</v>
      </c>
      <c r="C2499" s="6">
        <f>IFERROR(__xludf.DUMMYFUNCTION("""COMPUTED_VALUE"""),0.3895)</f>
        <v>0.3895</v>
      </c>
      <c r="D2499" s="2">
        <f>IFERROR(__xludf.DUMMYFUNCTION("""COMPUTED_VALUE"""),0.003599537037037037)</f>
        <v>0.003599537037</v>
      </c>
      <c r="E2499" s="1">
        <f>IFERROR(__xludf.DUMMYFUNCTION("""COMPUTED_VALUE"""),1.17)</f>
        <v>1.17</v>
      </c>
      <c r="F2499" s="1">
        <f>IFERROR(__xludf.DUMMYFUNCTION("""COMPUTED_VALUE"""),6.62)</f>
        <v>6.62</v>
      </c>
      <c r="G2499" s="5">
        <f>IFERROR(__xludf.DUMMYFUNCTION("""COMPUTED_VALUE"""),24522.0)</f>
        <v>24522</v>
      </c>
      <c r="H2499" s="5">
        <f>IFERROR(__xludf.DUMMYFUNCTION("""COMPUTED_VALUE"""),3707.0)</f>
        <v>3707</v>
      </c>
    </row>
    <row r="2500">
      <c r="A2500" s="4">
        <f>IFERROR(__xludf.DUMMYFUNCTION("""COMPUTED_VALUE"""),44868.0)</f>
        <v>44868</v>
      </c>
      <c r="B2500" s="5">
        <f>IFERROR(__xludf.DUMMYFUNCTION("""COMPUTED_VALUE"""),3999.0)</f>
        <v>3999</v>
      </c>
      <c r="C2500" s="6">
        <f>IFERROR(__xludf.DUMMYFUNCTION("""COMPUTED_VALUE"""),0.3574)</f>
        <v>0.3574</v>
      </c>
      <c r="D2500" s="2">
        <f>IFERROR(__xludf.DUMMYFUNCTION("""COMPUTED_VALUE"""),0.002372685185185185)</f>
        <v>0.002372685185</v>
      </c>
      <c r="E2500" s="1">
        <f>IFERROR(__xludf.DUMMYFUNCTION("""COMPUTED_VALUE"""),1.11)</f>
        <v>1.11</v>
      </c>
      <c r="F2500" s="1">
        <f>IFERROR(__xludf.DUMMYFUNCTION("""COMPUTED_VALUE"""),5.19)</f>
        <v>5.19</v>
      </c>
      <c r="G2500" s="5">
        <f>IFERROR(__xludf.DUMMYFUNCTION("""COMPUTED_VALUE"""),22980.0)</f>
        <v>22980</v>
      </c>
      <c r="H2500" s="5">
        <f>IFERROR(__xludf.DUMMYFUNCTION("""COMPUTED_VALUE"""),4429.0)</f>
        <v>4429</v>
      </c>
    </row>
    <row r="2501">
      <c r="A2501" s="4">
        <f>IFERROR(__xludf.DUMMYFUNCTION("""COMPUTED_VALUE"""),44869.0)</f>
        <v>44869</v>
      </c>
      <c r="B2501" s="5">
        <f>IFERROR(__xludf.DUMMYFUNCTION("""COMPUTED_VALUE"""),3388.0)</f>
        <v>3388</v>
      </c>
      <c r="C2501" s="6">
        <f>IFERROR(__xludf.DUMMYFUNCTION("""COMPUTED_VALUE"""),0.3483)</f>
        <v>0.3483</v>
      </c>
      <c r="D2501" s="2">
        <f>IFERROR(__xludf.DUMMYFUNCTION("""COMPUTED_VALUE"""),0.0033796296296296296)</f>
        <v>0.00337962963</v>
      </c>
      <c r="E2501" s="1">
        <f>IFERROR(__xludf.DUMMYFUNCTION("""COMPUTED_VALUE"""),1.09)</f>
        <v>1.09</v>
      </c>
      <c r="F2501" s="1">
        <f>IFERROR(__xludf.DUMMYFUNCTION("""COMPUTED_VALUE"""),6.78)</f>
        <v>6.78</v>
      </c>
      <c r="G2501" s="5">
        <f>IFERROR(__xludf.DUMMYFUNCTION("""COMPUTED_VALUE"""),25119.0)</f>
        <v>25119</v>
      </c>
      <c r="H2501" s="5">
        <f>IFERROR(__xludf.DUMMYFUNCTION("""COMPUTED_VALUE"""),3707.0)</f>
        <v>3707</v>
      </c>
    </row>
    <row r="2502">
      <c r="A2502" s="4">
        <f>IFERROR(__xludf.DUMMYFUNCTION("""COMPUTED_VALUE"""),44870.0)</f>
        <v>44870</v>
      </c>
      <c r="B2502" s="5">
        <f>IFERROR(__xludf.DUMMYFUNCTION("""COMPUTED_VALUE"""),1652.0)</f>
        <v>1652</v>
      </c>
      <c r="C2502" s="6">
        <f>IFERROR(__xludf.DUMMYFUNCTION("""COMPUTED_VALUE"""),0.481)</f>
        <v>0.481</v>
      </c>
      <c r="D2502" s="2">
        <f>IFERROR(__xludf.DUMMYFUNCTION("""COMPUTED_VALUE"""),0.002488425925925926)</f>
        <v>0.002488425926</v>
      </c>
      <c r="E2502" s="1">
        <f>IFERROR(__xludf.DUMMYFUNCTION("""COMPUTED_VALUE"""),1.1)</f>
        <v>1.1</v>
      </c>
      <c r="F2502" s="1">
        <f>IFERROR(__xludf.DUMMYFUNCTION("""COMPUTED_VALUE"""),5.49)</f>
        <v>5.49</v>
      </c>
      <c r="G2502" s="5">
        <f>IFERROR(__xludf.DUMMYFUNCTION("""COMPUTED_VALUE"""),9984.0)</f>
        <v>9984</v>
      </c>
      <c r="H2502" s="5">
        <f>IFERROR(__xludf.DUMMYFUNCTION("""COMPUTED_VALUE"""),1819.0)</f>
        <v>1819</v>
      </c>
    </row>
    <row r="2503">
      <c r="A2503" s="4">
        <f>IFERROR(__xludf.DUMMYFUNCTION("""COMPUTED_VALUE"""),44871.0)</f>
        <v>44871</v>
      </c>
      <c r="B2503" s="5">
        <f>IFERROR(__xludf.DUMMYFUNCTION("""COMPUTED_VALUE"""),1916.0)</f>
        <v>1916</v>
      </c>
      <c r="C2503" s="6">
        <f>IFERROR(__xludf.DUMMYFUNCTION("""COMPUTED_VALUE"""),0.4746)</f>
        <v>0.4746</v>
      </c>
      <c r="D2503" s="2">
        <f>IFERROR(__xludf.DUMMYFUNCTION("""COMPUTED_VALUE"""),0.0021875)</f>
        <v>0.0021875</v>
      </c>
      <c r="E2503" s="1">
        <f>IFERROR(__xludf.DUMMYFUNCTION("""COMPUTED_VALUE"""),1.13)</f>
        <v>1.13</v>
      </c>
      <c r="F2503" s="1">
        <f>IFERROR(__xludf.DUMMYFUNCTION("""COMPUTED_VALUE"""),4.51)</f>
        <v>4.51</v>
      </c>
      <c r="G2503" s="5">
        <f>IFERROR(__xludf.DUMMYFUNCTION("""COMPUTED_VALUE"""),9761.0)</f>
        <v>9761</v>
      </c>
      <c r="H2503" s="5">
        <f>IFERROR(__xludf.DUMMYFUNCTION("""COMPUTED_VALUE"""),2166.0)</f>
        <v>2166</v>
      </c>
    </row>
    <row r="2504">
      <c r="A2504" s="4">
        <f>IFERROR(__xludf.DUMMYFUNCTION("""COMPUTED_VALUE"""),44872.0)</f>
        <v>44872</v>
      </c>
      <c r="B2504" s="5">
        <f>IFERROR(__xludf.DUMMYFUNCTION("""COMPUTED_VALUE"""),3346.0)</f>
        <v>3346</v>
      </c>
      <c r="C2504" s="6">
        <f>IFERROR(__xludf.DUMMYFUNCTION("""COMPUTED_VALUE"""),0.3922)</f>
        <v>0.3922</v>
      </c>
      <c r="D2504" s="2">
        <f>IFERROR(__xludf.DUMMYFUNCTION("""COMPUTED_VALUE"""),0.0019444444444444444)</f>
        <v>0.001944444444</v>
      </c>
      <c r="E2504" s="1">
        <f>IFERROR(__xludf.DUMMYFUNCTION("""COMPUTED_VALUE"""),1.08)</f>
        <v>1.08</v>
      </c>
      <c r="F2504" s="1">
        <f>IFERROR(__xludf.DUMMYFUNCTION("""COMPUTED_VALUE"""),5.41)</f>
        <v>5.41</v>
      </c>
      <c r="G2504" s="5">
        <f>IFERROR(__xludf.DUMMYFUNCTION("""COMPUTED_VALUE"""),19537.0)</f>
        <v>19537</v>
      </c>
      <c r="H2504" s="5">
        <f>IFERROR(__xludf.DUMMYFUNCTION("""COMPUTED_VALUE"""),3610.0)</f>
        <v>3610</v>
      </c>
    </row>
    <row r="2505">
      <c r="A2505" s="4">
        <f>IFERROR(__xludf.DUMMYFUNCTION("""COMPUTED_VALUE"""),44873.0)</f>
        <v>44873</v>
      </c>
      <c r="B2505" s="5">
        <f>IFERROR(__xludf.DUMMYFUNCTION("""COMPUTED_VALUE"""),3930.0)</f>
        <v>3930</v>
      </c>
      <c r="C2505" s="6">
        <f>IFERROR(__xludf.DUMMYFUNCTION("""COMPUTED_VALUE"""),0.4767)</f>
        <v>0.4767</v>
      </c>
      <c r="D2505" s="2">
        <f>IFERROR(__xludf.DUMMYFUNCTION("""COMPUTED_VALUE"""),0.0019560185185185184)</f>
        <v>0.001956018519</v>
      </c>
      <c r="E2505" s="1">
        <f>IFERROR(__xludf.DUMMYFUNCTION("""COMPUTED_VALUE"""),1.07)</f>
        <v>1.07</v>
      </c>
      <c r="F2505" s="1">
        <f>IFERROR(__xludf.DUMMYFUNCTION("""COMPUTED_VALUE"""),4.28)</f>
        <v>4.28</v>
      </c>
      <c r="G2505" s="5">
        <f>IFERROR(__xludf.DUMMYFUNCTION("""COMPUTED_VALUE"""),17954.0)</f>
        <v>17954</v>
      </c>
      <c r="H2505" s="5">
        <f>IFERROR(__xludf.DUMMYFUNCTION("""COMPUTED_VALUE"""),4193.0)</f>
        <v>4193</v>
      </c>
    </row>
    <row r="2506">
      <c r="A2506" s="4">
        <f>IFERROR(__xludf.DUMMYFUNCTION("""COMPUTED_VALUE"""),44874.0)</f>
        <v>44874</v>
      </c>
      <c r="B2506" s="5">
        <f>IFERROR(__xludf.DUMMYFUNCTION("""COMPUTED_VALUE"""),3388.0)</f>
        <v>3388</v>
      </c>
      <c r="C2506" s="6">
        <f>IFERROR(__xludf.DUMMYFUNCTION("""COMPUTED_VALUE"""),0.421)</f>
        <v>0.421</v>
      </c>
      <c r="D2506" s="2">
        <f>IFERROR(__xludf.DUMMYFUNCTION("""COMPUTED_VALUE"""),0.0027083333333333334)</f>
        <v>0.002708333333</v>
      </c>
      <c r="E2506" s="1">
        <f>IFERROR(__xludf.DUMMYFUNCTION("""COMPUTED_VALUE"""),1.09)</f>
        <v>1.09</v>
      </c>
      <c r="F2506" s="1">
        <f>IFERROR(__xludf.DUMMYFUNCTION("""COMPUTED_VALUE"""),5.32)</f>
        <v>5.32</v>
      </c>
      <c r="G2506" s="5">
        <f>IFERROR(__xludf.DUMMYFUNCTION("""COMPUTED_VALUE"""),19634.0)</f>
        <v>19634</v>
      </c>
      <c r="H2506" s="5">
        <f>IFERROR(__xludf.DUMMYFUNCTION("""COMPUTED_VALUE"""),3694.0)</f>
        <v>3694</v>
      </c>
    </row>
    <row r="2507">
      <c r="A2507" s="4">
        <f>IFERROR(__xludf.DUMMYFUNCTION("""COMPUTED_VALUE"""),44875.0)</f>
        <v>44875</v>
      </c>
      <c r="B2507" s="5">
        <f>IFERROR(__xludf.DUMMYFUNCTION("""COMPUTED_VALUE"""),3013.0)</f>
        <v>3013</v>
      </c>
      <c r="C2507" s="6">
        <f>IFERROR(__xludf.DUMMYFUNCTION("""COMPUTED_VALUE"""),0.4574)</f>
        <v>0.4574</v>
      </c>
      <c r="D2507" s="2">
        <f>IFERROR(__xludf.DUMMYFUNCTION("""COMPUTED_VALUE"""),0.0019675925925925924)</f>
        <v>0.001967592593</v>
      </c>
      <c r="E2507" s="1">
        <f>IFERROR(__xludf.DUMMYFUNCTION("""COMPUTED_VALUE"""),1.08)</f>
        <v>1.08</v>
      </c>
      <c r="F2507" s="1">
        <f>IFERROR(__xludf.DUMMYFUNCTION("""COMPUTED_VALUE"""),4.68)</f>
        <v>4.68</v>
      </c>
      <c r="G2507" s="5">
        <f>IFERROR(__xludf.DUMMYFUNCTION("""COMPUTED_VALUE"""),15218.0)</f>
        <v>15218</v>
      </c>
      <c r="H2507" s="5">
        <f>IFERROR(__xludf.DUMMYFUNCTION("""COMPUTED_VALUE"""),3249.0)</f>
        <v>3249</v>
      </c>
    </row>
    <row r="2508">
      <c r="A2508" s="4">
        <f>IFERROR(__xludf.DUMMYFUNCTION("""COMPUTED_VALUE"""),44876.0)</f>
        <v>44876</v>
      </c>
      <c r="B2508" s="5">
        <f>IFERROR(__xludf.DUMMYFUNCTION("""COMPUTED_VALUE"""),2569.0)</f>
        <v>2569</v>
      </c>
      <c r="C2508" s="6">
        <f>IFERROR(__xludf.DUMMYFUNCTION("""COMPUTED_VALUE"""),0.4165)</f>
        <v>0.4165</v>
      </c>
      <c r="D2508" s="2">
        <f>IFERROR(__xludf.DUMMYFUNCTION("""COMPUTED_VALUE"""),0.002824074074074074)</f>
        <v>0.002824074074</v>
      </c>
      <c r="E2508" s="1">
        <f>IFERROR(__xludf.DUMMYFUNCTION("""COMPUTED_VALUE"""),1.1)</f>
        <v>1.1</v>
      </c>
      <c r="F2508" s="1">
        <f>IFERROR(__xludf.DUMMYFUNCTION("""COMPUTED_VALUE"""),5.04)</f>
        <v>5.04</v>
      </c>
      <c r="G2508" s="5">
        <f>IFERROR(__xludf.DUMMYFUNCTION("""COMPUTED_VALUE"""),14274.0)</f>
        <v>14274</v>
      </c>
      <c r="H2508" s="5">
        <f>IFERROR(__xludf.DUMMYFUNCTION("""COMPUTED_VALUE"""),2833.0)</f>
        <v>2833</v>
      </c>
    </row>
    <row r="2509">
      <c r="A2509" s="4">
        <f>IFERROR(__xludf.DUMMYFUNCTION("""COMPUTED_VALUE"""),44877.0)</f>
        <v>44877</v>
      </c>
      <c r="B2509" s="5">
        <f>IFERROR(__xludf.DUMMYFUNCTION("""COMPUTED_VALUE"""),1666.0)</f>
        <v>1666</v>
      </c>
      <c r="C2509" s="6">
        <f>IFERROR(__xludf.DUMMYFUNCTION("""COMPUTED_VALUE"""),0.4566)</f>
        <v>0.4566</v>
      </c>
      <c r="D2509" s="2">
        <f>IFERROR(__xludf.DUMMYFUNCTION("""COMPUTED_VALUE"""),0.0022916666666666667)</f>
        <v>0.002291666667</v>
      </c>
      <c r="E2509" s="1">
        <f>IFERROR(__xludf.DUMMYFUNCTION("""COMPUTED_VALUE"""),1.06)</f>
        <v>1.06</v>
      </c>
      <c r="F2509" s="1">
        <f>IFERROR(__xludf.DUMMYFUNCTION("""COMPUTED_VALUE"""),5.28)</f>
        <v>5.28</v>
      </c>
      <c r="G2509" s="5">
        <f>IFERROR(__xludf.DUMMYFUNCTION("""COMPUTED_VALUE"""),9317.0)</f>
        <v>9317</v>
      </c>
      <c r="H2509" s="5">
        <f>IFERROR(__xludf.DUMMYFUNCTION("""COMPUTED_VALUE"""),1763.0)</f>
        <v>1763</v>
      </c>
    </row>
    <row r="2510">
      <c r="A2510" s="4">
        <f>IFERROR(__xludf.DUMMYFUNCTION("""COMPUTED_VALUE"""),44878.0)</f>
        <v>44878</v>
      </c>
      <c r="B2510" s="5">
        <f>IFERROR(__xludf.DUMMYFUNCTION("""COMPUTED_VALUE"""),1652.0)</f>
        <v>1652</v>
      </c>
      <c r="C2510" s="6">
        <f>IFERROR(__xludf.DUMMYFUNCTION("""COMPUTED_VALUE"""),0.4926)</f>
        <v>0.4926</v>
      </c>
      <c r="D2510" s="2">
        <f>IFERROR(__xludf.DUMMYFUNCTION("""COMPUTED_VALUE"""),0.001388888888888889)</f>
        <v>0.001388888889</v>
      </c>
      <c r="E2510" s="1">
        <f>IFERROR(__xludf.DUMMYFUNCTION("""COMPUTED_VALUE"""),1.14)</f>
        <v>1.14</v>
      </c>
      <c r="F2510" s="1">
        <f>IFERROR(__xludf.DUMMYFUNCTION("""COMPUTED_VALUE"""),3.95)</f>
        <v>3.95</v>
      </c>
      <c r="G2510" s="5">
        <f>IFERROR(__xludf.DUMMYFUNCTION("""COMPUTED_VALUE"""),7456.0)</f>
        <v>7456</v>
      </c>
      <c r="H2510" s="5">
        <f>IFERROR(__xludf.DUMMYFUNCTION("""COMPUTED_VALUE"""),1888.0)</f>
        <v>1888</v>
      </c>
    </row>
    <row r="2511">
      <c r="A2511" s="4">
        <f>IFERROR(__xludf.DUMMYFUNCTION("""COMPUTED_VALUE"""),44879.0)</f>
        <v>44879</v>
      </c>
      <c r="B2511" s="5">
        <f>IFERROR(__xludf.DUMMYFUNCTION("""COMPUTED_VALUE"""),3180.0)</f>
        <v>3180</v>
      </c>
      <c r="C2511" s="6">
        <f>IFERROR(__xludf.DUMMYFUNCTION("""COMPUTED_VALUE"""),0.4716)</f>
        <v>0.4716</v>
      </c>
      <c r="D2511" s="2">
        <f>IFERROR(__xludf.DUMMYFUNCTION("""COMPUTED_VALUE"""),0.0016087962962962963)</f>
        <v>0.001608796296</v>
      </c>
      <c r="E2511" s="1">
        <f>IFERROR(__xludf.DUMMYFUNCTION("""COMPUTED_VALUE"""),1.07)</f>
        <v>1.07</v>
      </c>
      <c r="F2511" s="1">
        <f>IFERROR(__xludf.DUMMYFUNCTION("""COMPUTED_VALUE"""),4.13)</f>
        <v>4.13</v>
      </c>
      <c r="G2511" s="5">
        <f>IFERROR(__xludf.DUMMYFUNCTION("""COMPUTED_VALUE"""),14108.0)</f>
        <v>14108</v>
      </c>
      <c r="H2511" s="5">
        <f>IFERROR(__xludf.DUMMYFUNCTION("""COMPUTED_VALUE"""),3416.0)</f>
        <v>3416</v>
      </c>
    </row>
    <row r="2512">
      <c r="A2512" s="4">
        <f>IFERROR(__xludf.DUMMYFUNCTION("""COMPUTED_VALUE"""),44880.0)</f>
        <v>44880</v>
      </c>
      <c r="B2512" s="5">
        <f>IFERROR(__xludf.DUMMYFUNCTION("""COMPUTED_VALUE"""),3221.0)</f>
        <v>3221</v>
      </c>
      <c r="C2512" s="6">
        <f>IFERROR(__xludf.DUMMYFUNCTION("""COMPUTED_VALUE"""),0.5281)</f>
        <v>0.5281</v>
      </c>
      <c r="D2512" s="2">
        <f>IFERROR(__xludf.DUMMYFUNCTION("""COMPUTED_VALUE"""),0.0024074074074074076)</f>
        <v>0.002407407407</v>
      </c>
      <c r="E2512" s="1">
        <f>IFERROR(__xludf.DUMMYFUNCTION("""COMPUTED_VALUE"""),1.08)</f>
        <v>1.08</v>
      </c>
      <c r="F2512" s="1">
        <f>IFERROR(__xludf.DUMMYFUNCTION("""COMPUTED_VALUE"""),4.34)</f>
        <v>4.34</v>
      </c>
      <c r="G2512" s="5">
        <f>IFERROR(__xludf.DUMMYFUNCTION("""COMPUTED_VALUE"""),15066.0)</f>
        <v>15066</v>
      </c>
      <c r="H2512" s="5">
        <f>IFERROR(__xludf.DUMMYFUNCTION("""COMPUTED_VALUE"""),3471.0)</f>
        <v>3471</v>
      </c>
    </row>
    <row r="2513">
      <c r="A2513" s="4">
        <f>IFERROR(__xludf.DUMMYFUNCTION("""COMPUTED_VALUE"""),44881.0)</f>
        <v>44881</v>
      </c>
      <c r="B2513" s="5">
        <f>IFERROR(__xludf.DUMMYFUNCTION("""COMPUTED_VALUE"""),3319.0)</f>
        <v>3319</v>
      </c>
      <c r="C2513" s="6">
        <f>IFERROR(__xludf.DUMMYFUNCTION("""COMPUTED_VALUE"""),0.4672)</f>
        <v>0.4672</v>
      </c>
      <c r="D2513" s="2">
        <f>IFERROR(__xludf.DUMMYFUNCTION("""COMPUTED_VALUE"""),0.0018865740740740742)</f>
        <v>0.001886574074</v>
      </c>
      <c r="E2513" s="1">
        <f>IFERROR(__xludf.DUMMYFUNCTION("""COMPUTED_VALUE"""),1.08)</f>
        <v>1.08</v>
      </c>
      <c r="F2513" s="1">
        <f>IFERROR(__xludf.DUMMYFUNCTION("""COMPUTED_VALUE"""),5.12)</f>
        <v>5.12</v>
      </c>
      <c r="G2513" s="5">
        <f>IFERROR(__xludf.DUMMYFUNCTION("""COMPUTED_VALUE"""),18426.0)</f>
        <v>18426</v>
      </c>
      <c r="H2513" s="5">
        <f>IFERROR(__xludf.DUMMYFUNCTION("""COMPUTED_VALUE"""),3596.0)</f>
        <v>3596</v>
      </c>
    </row>
    <row r="2514">
      <c r="A2514" s="4">
        <f>IFERROR(__xludf.DUMMYFUNCTION("""COMPUTED_VALUE"""),44882.0)</f>
        <v>44882</v>
      </c>
      <c r="B2514" s="5">
        <f>IFERROR(__xludf.DUMMYFUNCTION("""COMPUTED_VALUE"""),3513.0)</f>
        <v>3513</v>
      </c>
      <c r="C2514" s="6">
        <f>IFERROR(__xludf.DUMMYFUNCTION("""COMPUTED_VALUE"""),0.4195)</f>
        <v>0.4195</v>
      </c>
      <c r="D2514" s="2">
        <f>IFERROR(__xludf.DUMMYFUNCTION("""COMPUTED_VALUE"""),0.0021296296296296298)</f>
        <v>0.00212962963</v>
      </c>
      <c r="E2514" s="1">
        <f>IFERROR(__xludf.DUMMYFUNCTION("""COMPUTED_VALUE"""),1.13)</f>
        <v>1.13</v>
      </c>
      <c r="F2514" s="1">
        <f>IFERROR(__xludf.DUMMYFUNCTION("""COMPUTED_VALUE"""),5.26)</f>
        <v>5.26</v>
      </c>
      <c r="G2514" s="5">
        <f>IFERROR(__xludf.DUMMYFUNCTION("""COMPUTED_VALUE"""),20897.0)</f>
        <v>20897</v>
      </c>
      <c r="H2514" s="5">
        <f>IFERROR(__xludf.DUMMYFUNCTION("""COMPUTED_VALUE"""),3971.0)</f>
        <v>3971</v>
      </c>
    </row>
    <row r="2515">
      <c r="A2515" s="4">
        <f>IFERROR(__xludf.DUMMYFUNCTION("""COMPUTED_VALUE"""),44883.0)</f>
        <v>44883</v>
      </c>
      <c r="B2515" s="5">
        <f>IFERROR(__xludf.DUMMYFUNCTION("""COMPUTED_VALUE"""),2722.0)</f>
        <v>2722</v>
      </c>
      <c r="C2515" s="6">
        <f>IFERROR(__xludf.DUMMYFUNCTION("""COMPUTED_VALUE"""),0.4505)</f>
        <v>0.4505</v>
      </c>
      <c r="D2515" s="2">
        <f>IFERROR(__xludf.DUMMYFUNCTION("""COMPUTED_VALUE"""),0.0021180555555555558)</f>
        <v>0.002118055556</v>
      </c>
      <c r="E2515" s="1">
        <f>IFERROR(__xludf.DUMMYFUNCTION("""COMPUTED_VALUE"""),1.13)</f>
        <v>1.13</v>
      </c>
      <c r="F2515" s="1">
        <f>IFERROR(__xludf.DUMMYFUNCTION("""COMPUTED_VALUE"""),5.22)</f>
        <v>5.22</v>
      </c>
      <c r="G2515" s="5">
        <f>IFERROR(__xludf.DUMMYFUNCTION("""COMPUTED_VALUE"""),16079.0)</f>
        <v>16079</v>
      </c>
      <c r="H2515" s="5">
        <f>IFERROR(__xludf.DUMMYFUNCTION("""COMPUTED_VALUE"""),3083.0)</f>
        <v>3083</v>
      </c>
    </row>
    <row r="2516">
      <c r="A2516" s="4">
        <f>IFERROR(__xludf.DUMMYFUNCTION("""COMPUTED_VALUE"""),44884.0)</f>
        <v>44884</v>
      </c>
      <c r="B2516" s="5">
        <f>IFERROR(__xludf.DUMMYFUNCTION("""COMPUTED_VALUE"""),1597.0)</f>
        <v>1597</v>
      </c>
      <c r="C2516" s="6">
        <f>IFERROR(__xludf.DUMMYFUNCTION("""COMPUTED_VALUE"""),0.4495)</f>
        <v>0.4495</v>
      </c>
      <c r="D2516" s="2">
        <f>IFERROR(__xludf.DUMMYFUNCTION("""COMPUTED_VALUE"""),0.0022453703703703702)</f>
        <v>0.00224537037</v>
      </c>
      <c r="E2516" s="1">
        <f>IFERROR(__xludf.DUMMYFUNCTION("""COMPUTED_VALUE"""),1.12)</f>
        <v>1.12</v>
      </c>
      <c r="F2516" s="1">
        <f>IFERROR(__xludf.DUMMYFUNCTION("""COMPUTED_VALUE"""),4.81)</f>
        <v>4.81</v>
      </c>
      <c r="G2516" s="5">
        <f>IFERROR(__xludf.DUMMYFUNCTION("""COMPUTED_VALUE"""),8623.0)</f>
        <v>8623</v>
      </c>
      <c r="H2516" s="5">
        <f>IFERROR(__xludf.DUMMYFUNCTION("""COMPUTED_VALUE"""),1791.0)</f>
        <v>1791</v>
      </c>
    </row>
    <row r="2517">
      <c r="A2517" s="4">
        <f>IFERROR(__xludf.DUMMYFUNCTION("""COMPUTED_VALUE"""),44885.0)</f>
        <v>44885</v>
      </c>
      <c r="B2517" s="5">
        <f>IFERROR(__xludf.DUMMYFUNCTION("""COMPUTED_VALUE"""),1750.0)</f>
        <v>1750</v>
      </c>
      <c r="C2517" s="6">
        <f>IFERROR(__xludf.DUMMYFUNCTION("""COMPUTED_VALUE"""),0.5146)</f>
        <v>0.5146</v>
      </c>
      <c r="D2517" s="2">
        <f>IFERROR(__xludf.DUMMYFUNCTION("""COMPUTED_VALUE"""),0.002349537037037037)</f>
        <v>0.002349537037</v>
      </c>
      <c r="E2517" s="1">
        <f>IFERROR(__xludf.DUMMYFUNCTION("""COMPUTED_VALUE"""),1.09)</f>
        <v>1.09</v>
      </c>
      <c r="F2517" s="1">
        <f>IFERROR(__xludf.DUMMYFUNCTION("""COMPUTED_VALUE"""),5.39)</f>
        <v>5.39</v>
      </c>
      <c r="G2517" s="5">
        <f>IFERROR(__xludf.DUMMYFUNCTION("""COMPUTED_VALUE"""),10331.0)</f>
        <v>10331</v>
      </c>
      <c r="H2517" s="5">
        <f>IFERROR(__xludf.DUMMYFUNCTION("""COMPUTED_VALUE"""),1916.0)</f>
        <v>1916</v>
      </c>
    </row>
    <row r="2518">
      <c r="A2518" s="4">
        <f>IFERROR(__xludf.DUMMYFUNCTION("""COMPUTED_VALUE"""),44886.0)</f>
        <v>44886</v>
      </c>
      <c r="B2518" s="5">
        <f>IFERROR(__xludf.DUMMYFUNCTION("""COMPUTED_VALUE"""),2902.0)</f>
        <v>2902</v>
      </c>
      <c r="C2518" s="6">
        <f>IFERROR(__xludf.DUMMYFUNCTION("""COMPUTED_VALUE"""),0.389)</f>
        <v>0.389</v>
      </c>
      <c r="D2518" s="2">
        <f>IFERROR(__xludf.DUMMYFUNCTION("""COMPUTED_VALUE"""),0.0033564814814814816)</f>
        <v>0.003356481481</v>
      </c>
      <c r="E2518" s="1">
        <f>IFERROR(__xludf.DUMMYFUNCTION("""COMPUTED_VALUE"""),1.12)</f>
        <v>1.12</v>
      </c>
      <c r="F2518" s="1">
        <f>IFERROR(__xludf.DUMMYFUNCTION("""COMPUTED_VALUE"""),6.68)</f>
        <v>6.68</v>
      </c>
      <c r="G2518" s="5">
        <f>IFERROR(__xludf.DUMMYFUNCTION("""COMPUTED_VALUE"""),21717.0)</f>
        <v>21717</v>
      </c>
      <c r="H2518" s="5">
        <f>IFERROR(__xludf.DUMMYFUNCTION("""COMPUTED_VALUE"""),3249.0)</f>
        <v>3249</v>
      </c>
    </row>
    <row r="2519">
      <c r="A2519" s="4">
        <f>IFERROR(__xludf.DUMMYFUNCTION("""COMPUTED_VALUE"""),44887.0)</f>
        <v>44887</v>
      </c>
      <c r="B2519" s="5">
        <f>IFERROR(__xludf.DUMMYFUNCTION("""COMPUTED_VALUE"""),3083.0)</f>
        <v>3083</v>
      </c>
      <c r="C2519" s="6">
        <f>IFERROR(__xludf.DUMMYFUNCTION("""COMPUTED_VALUE"""),0.4548)</f>
        <v>0.4548</v>
      </c>
      <c r="D2519" s="2">
        <f>IFERROR(__xludf.DUMMYFUNCTION("""COMPUTED_VALUE"""),0.0025578703703703705)</f>
        <v>0.00255787037</v>
      </c>
      <c r="E2519" s="1">
        <f>IFERROR(__xludf.DUMMYFUNCTION("""COMPUTED_VALUE"""),1.1)</f>
        <v>1.1</v>
      </c>
      <c r="F2519" s="1">
        <f>IFERROR(__xludf.DUMMYFUNCTION("""COMPUTED_VALUE"""),5.31)</f>
        <v>5.31</v>
      </c>
      <c r="G2519" s="5">
        <f>IFERROR(__xludf.DUMMYFUNCTION("""COMPUTED_VALUE"""),17995.0)</f>
        <v>17995</v>
      </c>
      <c r="H2519" s="5">
        <f>IFERROR(__xludf.DUMMYFUNCTION("""COMPUTED_VALUE"""),3388.0)</f>
        <v>3388</v>
      </c>
    </row>
    <row r="2520">
      <c r="A2520" s="4">
        <f>IFERROR(__xludf.DUMMYFUNCTION("""COMPUTED_VALUE"""),44888.0)</f>
        <v>44888</v>
      </c>
      <c r="B2520" s="5">
        <f>IFERROR(__xludf.DUMMYFUNCTION("""COMPUTED_VALUE"""),2583.0)</f>
        <v>2583</v>
      </c>
      <c r="C2520" s="6">
        <f>IFERROR(__xludf.DUMMYFUNCTION("""COMPUTED_VALUE"""),0.4649)</f>
        <v>0.4649</v>
      </c>
      <c r="D2520" s="2">
        <f>IFERROR(__xludf.DUMMYFUNCTION("""COMPUTED_VALUE"""),0.0019675925925925924)</f>
        <v>0.001967592593</v>
      </c>
      <c r="E2520" s="1">
        <f>IFERROR(__xludf.DUMMYFUNCTION("""COMPUTED_VALUE"""),1.08)</f>
        <v>1.08</v>
      </c>
      <c r="F2520" s="1">
        <f>IFERROR(__xludf.DUMMYFUNCTION("""COMPUTED_VALUE"""),4.17)</f>
        <v>4.17</v>
      </c>
      <c r="G2520" s="5">
        <f>IFERROR(__xludf.DUMMYFUNCTION("""COMPUTED_VALUE"""),11580.0)</f>
        <v>11580</v>
      </c>
      <c r="H2520" s="5">
        <f>IFERROR(__xludf.DUMMYFUNCTION("""COMPUTED_VALUE"""),2777.0)</f>
        <v>2777</v>
      </c>
    </row>
    <row r="2521">
      <c r="A2521" s="4">
        <f>IFERROR(__xludf.DUMMYFUNCTION("""COMPUTED_VALUE"""),44889.0)</f>
        <v>44889</v>
      </c>
      <c r="B2521" s="5">
        <f>IFERROR(__xludf.DUMMYFUNCTION("""COMPUTED_VALUE"""),2222.0)</f>
        <v>2222</v>
      </c>
      <c r="C2521" s="6">
        <f>IFERROR(__xludf.DUMMYFUNCTION("""COMPUTED_VALUE"""),0.5202)</f>
        <v>0.5202</v>
      </c>
      <c r="D2521" s="2">
        <f>IFERROR(__xludf.DUMMYFUNCTION("""COMPUTED_VALUE"""),0.0013773148148148147)</f>
        <v>0.001377314815</v>
      </c>
      <c r="E2521" s="1">
        <f>IFERROR(__xludf.DUMMYFUNCTION("""COMPUTED_VALUE"""),1.09)</f>
        <v>1.09</v>
      </c>
      <c r="F2521" s="1">
        <f>IFERROR(__xludf.DUMMYFUNCTION("""COMPUTED_VALUE"""),3.07)</f>
        <v>3.07</v>
      </c>
      <c r="G2521" s="5">
        <f>IFERROR(__xludf.DUMMYFUNCTION("""COMPUTED_VALUE"""),7456.0)</f>
        <v>7456</v>
      </c>
      <c r="H2521" s="5">
        <f>IFERROR(__xludf.DUMMYFUNCTION("""COMPUTED_VALUE"""),2430.0)</f>
        <v>2430</v>
      </c>
    </row>
    <row r="2522">
      <c r="A2522" s="4">
        <f>IFERROR(__xludf.DUMMYFUNCTION("""COMPUTED_VALUE"""),44890.0)</f>
        <v>44890</v>
      </c>
      <c r="B2522" s="5">
        <f>IFERROR(__xludf.DUMMYFUNCTION("""COMPUTED_VALUE"""),2194.0)</f>
        <v>2194</v>
      </c>
      <c r="C2522" s="6">
        <f>IFERROR(__xludf.DUMMYFUNCTION("""COMPUTED_VALUE"""),0.4153)</f>
        <v>0.4153</v>
      </c>
      <c r="D2522" s="2">
        <f>IFERROR(__xludf.DUMMYFUNCTION("""COMPUTED_VALUE"""),0.002002314814814815)</f>
        <v>0.002002314815</v>
      </c>
      <c r="E2522" s="1">
        <f>IFERROR(__xludf.DUMMYFUNCTION("""COMPUTED_VALUE"""),1.08)</f>
        <v>1.08</v>
      </c>
      <c r="F2522" s="1">
        <f>IFERROR(__xludf.DUMMYFUNCTION("""COMPUTED_VALUE"""),3.89)</f>
        <v>3.89</v>
      </c>
      <c r="G2522" s="5">
        <f>IFERROR(__xludf.DUMMYFUNCTION("""COMPUTED_VALUE"""),9234.0)</f>
        <v>9234</v>
      </c>
      <c r="H2522" s="5">
        <f>IFERROR(__xludf.DUMMYFUNCTION("""COMPUTED_VALUE"""),2374.0)</f>
        <v>2374</v>
      </c>
    </row>
    <row r="2523">
      <c r="A2523" s="4">
        <f>IFERROR(__xludf.DUMMYFUNCTION("""COMPUTED_VALUE"""),44891.0)</f>
        <v>44891</v>
      </c>
      <c r="B2523" s="5">
        <f>IFERROR(__xludf.DUMMYFUNCTION("""COMPUTED_VALUE"""),1625.0)</f>
        <v>1625</v>
      </c>
      <c r="C2523" s="6">
        <f>IFERROR(__xludf.DUMMYFUNCTION("""COMPUTED_VALUE"""),0.5314)</f>
        <v>0.5314</v>
      </c>
      <c r="D2523" s="2">
        <f>IFERROR(__xludf.DUMMYFUNCTION("""COMPUTED_VALUE"""),0.0022916666666666667)</f>
        <v>0.002291666667</v>
      </c>
      <c r="E2523" s="1">
        <f>IFERROR(__xludf.DUMMYFUNCTION("""COMPUTED_VALUE"""),1.08)</f>
        <v>1.08</v>
      </c>
      <c r="F2523" s="1">
        <f>IFERROR(__xludf.DUMMYFUNCTION("""COMPUTED_VALUE"""),4.86)</f>
        <v>4.86</v>
      </c>
      <c r="G2523" s="5">
        <f>IFERROR(__xludf.DUMMYFUNCTION("""COMPUTED_VALUE"""),8498.0)</f>
        <v>8498</v>
      </c>
      <c r="H2523" s="5">
        <f>IFERROR(__xludf.DUMMYFUNCTION("""COMPUTED_VALUE"""),1750.0)</f>
        <v>1750</v>
      </c>
    </row>
    <row r="2524">
      <c r="A2524" s="4">
        <f>IFERROR(__xludf.DUMMYFUNCTION("""COMPUTED_VALUE"""),44892.0)</f>
        <v>44892</v>
      </c>
      <c r="B2524" s="5">
        <f>IFERROR(__xludf.DUMMYFUNCTION("""COMPUTED_VALUE"""),1888.0)</f>
        <v>1888</v>
      </c>
      <c r="C2524" s="6">
        <f>IFERROR(__xludf.DUMMYFUNCTION("""COMPUTED_VALUE"""),0.4568)</f>
        <v>0.4568</v>
      </c>
      <c r="D2524" s="2">
        <f>IFERROR(__xludf.DUMMYFUNCTION("""COMPUTED_VALUE"""),0.0032175925925925926)</f>
        <v>0.003217592593</v>
      </c>
      <c r="E2524" s="1">
        <f>IFERROR(__xludf.DUMMYFUNCTION("""COMPUTED_VALUE"""),1.11)</f>
        <v>1.11</v>
      </c>
      <c r="F2524" s="1">
        <f>IFERROR(__xludf.DUMMYFUNCTION("""COMPUTED_VALUE"""),5.48)</f>
        <v>5.48</v>
      </c>
      <c r="G2524" s="5">
        <f>IFERROR(__xludf.DUMMYFUNCTION("""COMPUTED_VALUE"""),11497.0)</f>
        <v>11497</v>
      </c>
      <c r="H2524" s="5">
        <f>IFERROR(__xludf.DUMMYFUNCTION("""COMPUTED_VALUE"""),2097.0)</f>
        <v>2097</v>
      </c>
    </row>
    <row r="2525">
      <c r="A2525" s="4">
        <f>IFERROR(__xludf.DUMMYFUNCTION("""COMPUTED_VALUE"""),44893.0)</f>
        <v>44893</v>
      </c>
      <c r="B2525" s="5">
        <f>IFERROR(__xludf.DUMMYFUNCTION("""COMPUTED_VALUE"""),5235.0)</f>
        <v>5235</v>
      </c>
      <c r="C2525" s="6">
        <f>IFERROR(__xludf.DUMMYFUNCTION("""COMPUTED_VALUE"""),0.3021)</f>
        <v>0.3021</v>
      </c>
      <c r="D2525" s="2">
        <f>IFERROR(__xludf.DUMMYFUNCTION("""COMPUTED_VALUE"""),0.0035185185185185185)</f>
        <v>0.003518518519</v>
      </c>
      <c r="E2525" s="1">
        <f>IFERROR(__xludf.DUMMYFUNCTION("""COMPUTED_VALUE"""),1.16)</f>
        <v>1.16</v>
      </c>
      <c r="F2525" s="1">
        <f>IFERROR(__xludf.DUMMYFUNCTION("""COMPUTED_VALUE"""),7.48)</f>
        <v>7.48</v>
      </c>
      <c r="G2525" s="5">
        <f>IFERROR(__xludf.DUMMYFUNCTION("""COMPUTED_VALUE"""),45391.0)</f>
        <v>45391</v>
      </c>
      <c r="H2525" s="5">
        <f>IFERROR(__xludf.DUMMYFUNCTION("""COMPUTED_VALUE"""),6068.0)</f>
        <v>6068</v>
      </c>
    </row>
    <row r="2526">
      <c r="A2526" s="4">
        <f>IFERROR(__xludf.DUMMYFUNCTION("""COMPUTED_VALUE"""),44894.0)</f>
        <v>44894</v>
      </c>
      <c r="B2526" s="5">
        <f>IFERROR(__xludf.DUMMYFUNCTION("""COMPUTED_VALUE"""),3152.0)</f>
        <v>3152</v>
      </c>
      <c r="C2526" s="6">
        <f>IFERROR(__xludf.DUMMYFUNCTION("""COMPUTED_VALUE"""),0.4)</f>
        <v>0.4</v>
      </c>
      <c r="D2526" s="2">
        <f>IFERROR(__xludf.DUMMYFUNCTION("""COMPUTED_VALUE"""),0.0021643518518518518)</f>
        <v>0.002164351852</v>
      </c>
      <c r="E2526" s="1">
        <f>IFERROR(__xludf.DUMMYFUNCTION("""COMPUTED_VALUE"""),1.15)</f>
        <v>1.15</v>
      </c>
      <c r="F2526" s="1">
        <f>IFERROR(__xludf.DUMMYFUNCTION("""COMPUTED_VALUE"""),4.09)</f>
        <v>4.09</v>
      </c>
      <c r="G2526" s="5">
        <f>IFERROR(__xludf.DUMMYFUNCTION("""COMPUTED_VALUE"""),14760.0)</f>
        <v>14760</v>
      </c>
      <c r="H2526" s="5">
        <f>IFERROR(__xludf.DUMMYFUNCTION("""COMPUTED_VALUE"""),3610.0)</f>
        <v>3610</v>
      </c>
    </row>
    <row r="2527">
      <c r="A2527" s="4">
        <f>IFERROR(__xludf.DUMMYFUNCTION("""COMPUTED_VALUE"""),44895.0)</f>
        <v>44895</v>
      </c>
      <c r="B2527" s="5">
        <f>IFERROR(__xludf.DUMMYFUNCTION("""COMPUTED_VALUE"""),2958.0)</f>
        <v>2958</v>
      </c>
      <c r="C2527" s="6">
        <f>IFERROR(__xludf.DUMMYFUNCTION("""COMPUTED_VALUE"""),0.4274)</f>
        <v>0.4274</v>
      </c>
      <c r="D2527" s="2">
        <f>IFERROR(__xludf.DUMMYFUNCTION("""COMPUTED_VALUE"""),0.002476851851851852)</f>
        <v>0.002476851852</v>
      </c>
      <c r="E2527" s="1">
        <f>IFERROR(__xludf.DUMMYFUNCTION("""COMPUTED_VALUE"""),1.13)</f>
        <v>1.13</v>
      </c>
      <c r="F2527" s="1">
        <f>IFERROR(__xludf.DUMMYFUNCTION("""COMPUTED_VALUE"""),4.27)</f>
        <v>4.27</v>
      </c>
      <c r="G2527" s="5">
        <f>IFERROR(__xludf.DUMMYFUNCTION("""COMPUTED_VALUE"""),14302.0)</f>
        <v>14302</v>
      </c>
      <c r="H2527" s="5">
        <f>IFERROR(__xludf.DUMMYFUNCTION("""COMPUTED_VALUE"""),3346.0)</f>
        <v>3346</v>
      </c>
    </row>
    <row r="2528">
      <c r="A2528" s="4">
        <f>IFERROR(__xludf.DUMMYFUNCTION("""COMPUTED_VALUE"""),44896.0)</f>
        <v>44896</v>
      </c>
      <c r="B2528" s="5">
        <f>IFERROR(__xludf.DUMMYFUNCTION("""COMPUTED_VALUE"""),3416.0)</f>
        <v>3416</v>
      </c>
      <c r="C2528" s="6">
        <f>IFERROR(__xludf.DUMMYFUNCTION("""COMPUTED_VALUE"""),0.4046)</f>
        <v>0.4046</v>
      </c>
      <c r="D2528" s="2">
        <f>IFERROR(__xludf.DUMMYFUNCTION("""COMPUTED_VALUE"""),0.0023148148148148147)</f>
        <v>0.002314814815</v>
      </c>
      <c r="E2528" s="1">
        <f>IFERROR(__xludf.DUMMYFUNCTION("""COMPUTED_VALUE"""),1.04)</f>
        <v>1.04</v>
      </c>
      <c r="F2528" s="1">
        <f>IFERROR(__xludf.DUMMYFUNCTION("""COMPUTED_VALUE"""),5.01)</f>
        <v>5.01</v>
      </c>
      <c r="G2528" s="5">
        <f>IFERROR(__xludf.DUMMYFUNCTION("""COMPUTED_VALUE"""),17898.0)</f>
        <v>17898</v>
      </c>
      <c r="H2528" s="5">
        <f>IFERROR(__xludf.DUMMYFUNCTION("""COMPUTED_VALUE"""),3569.0)</f>
        <v>3569</v>
      </c>
    </row>
    <row r="2529">
      <c r="A2529" s="4">
        <f>IFERROR(__xludf.DUMMYFUNCTION("""COMPUTED_VALUE"""),44897.0)</f>
        <v>44897</v>
      </c>
      <c r="B2529" s="5">
        <f>IFERROR(__xludf.DUMMYFUNCTION("""COMPUTED_VALUE"""),3041.0)</f>
        <v>3041</v>
      </c>
      <c r="C2529" s="6">
        <f>IFERROR(__xludf.DUMMYFUNCTION("""COMPUTED_VALUE"""),0.464)</f>
        <v>0.464</v>
      </c>
      <c r="D2529" s="2">
        <f>IFERROR(__xludf.DUMMYFUNCTION("""COMPUTED_VALUE"""),0.001990740740740741)</f>
        <v>0.001990740741</v>
      </c>
      <c r="E2529" s="1">
        <f>IFERROR(__xludf.DUMMYFUNCTION("""COMPUTED_VALUE"""),1.07)</f>
        <v>1.07</v>
      </c>
      <c r="F2529" s="1">
        <f>IFERROR(__xludf.DUMMYFUNCTION("""COMPUTED_VALUE"""),4.43)</f>
        <v>4.43</v>
      </c>
      <c r="G2529" s="5">
        <f>IFERROR(__xludf.DUMMYFUNCTION("""COMPUTED_VALUE"""),14469.0)</f>
        <v>14469</v>
      </c>
      <c r="H2529" s="5">
        <f>IFERROR(__xludf.DUMMYFUNCTION("""COMPUTED_VALUE"""),3263.0)</f>
        <v>3263</v>
      </c>
    </row>
    <row r="2530">
      <c r="A2530" s="4">
        <f>IFERROR(__xludf.DUMMYFUNCTION("""COMPUTED_VALUE"""),44898.0)</f>
        <v>44898</v>
      </c>
      <c r="B2530" s="5">
        <f>IFERROR(__xludf.DUMMYFUNCTION("""COMPUTED_VALUE"""),1666.0)</f>
        <v>1666</v>
      </c>
      <c r="C2530" s="6">
        <f>IFERROR(__xludf.DUMMYFUNCTION("""COMPUTED_VALUE"""),0.4713)</f>
        <v>0.4713</v>
      </c>
      <c r="D2530" s="2">
        <f>IFERROR(__xludf.DUMMYFUNCTION("""COMPUTED_VALUE"""),0.0020601851851851853)</f>
        <v>0.002060185185</v>
      </c>
      <c r="E2530" s="1">
        <f>IFERROR(__xludf.DUMMYFUNCTION("""COMPUTED_VALUE"""),1.03)</f>
        <v>1.03</v>
      </c>
      <c r="F2530" s="1">
        <f>IFERROR(__xludf.DUMMYFUNCTION("""COMPUTED_VALUE"""),4.19)</f>
        <v>4.19</v>
      </c>
      <c r="G2530" s="5">
        <f>IFERROR(__xludf.DUMMYFUNCTION("""COMPUTED_VALUE"""),7165.0)</f>
        <v>7165</v>
      </c>
      <c r="H2530" s="5">
        <f>IFERROR(__xludf.DUMMYFUNCTION("""COMPUTED_VALUE"""),1708.0)</f>
        <v>1708</v>
      </c>
    </row>
    <row r="2531">
      <c r="A2531" s="4">
        <f>IFERROR(__xludf.DUMMYFUNCTION("""COMPUTED_VALUE"""),44899.0)</f>
        <v>44899</v>
      </c>
      <c r="B2531" s="5">
        <f>IFERROR(__xludf.DUMMYFUNCTION("""COMPUTED_VALUE"""),1944.0)</f>
        <v>1944</v>
      </c>
      <c r="C2531" s="6">
        <f>IFERROR(__xludf.DUMMYFUNCTION("""COMPUTED_VALUE"""),0.5636)</f>
        <v>0.5636</v>
      </c>
      <c r="D2531" s="2">
        <f>IFERROR(__xludf.DUMMYFUNCTION("""COMPUTED_VALUE"""),0.0016203703703703703)</f>
        <v>0.00162037037</v>
      </c>
      <c r="E2531" s="1">
        <f>IFERROR(__xludf.DUMMYFUNCTION("""COMPUTED_VALUE"""),1.06)</f>
        <v>1.06</v>
      </c>
      <c r="F2531" s="1">
        <f>IFERROR(__xludf.DUMMYFUNCTION("""COMPUTED_VALUE"""),3.2)</f>
        <v>3.2</v>
      </c>
      <c r="G2531" s="5">
        <f>IFERROR(__xludf.DUMMYFUNCTION("""COMPUTED_VALUE"""),6623.0)</f>
        <v>6623</v>
      </c>
      <c r="H2531" s="5">
        <f>IFERROR(__xludf.DUMMYFUNCTION("""COMPUTED_VALUE"""),2069.0)</f>
        <v>2069</v>
      </c>
    </row>
    <row r="2532">
      <c r="A2532" s="4">
        <f>IFERROR(__xludf.DUMMYFUNCTION("""COMPUTED_VALUE"""),44900.0)</f>
        <v>44900</v>
      </c>
      <c r="B2532" s="5">
        <f>IFERROR(__xludf.DUMMYFUNCTION("""COMPUTED_VALUE"""),3124.0)</f>
        <v>3124</v>
      </c>
      <c r="C2532" s="6">
        <f>IFERROR(__xludf.DUMMYFUNCTION("""COMPUTED_VALUE"""),0.4362)</f>
        <v>0.4362</v>
      </c>
      <c r="D2532" s="2">
        <f>IFERROR(__xludf.DUMMYFUNCTION("""COMPUTED_VALUE"""),0.002372685185185185)</f>
        <v>0.002372685185</v>
      </c>
      <c r="E2532" s="1">
        <f>IFERROR(__xludf.DUMMYFUNCTION("""COMPUTED_VALUE"""),1.11)</f>
        <v>1.11</v>
      </c>
      <c r="F2532" s="1">
        <f>IFERROR(__xludf.DUMMYFUNCTION("""COMPUTED_VALUE"""),4.86)</f>
        <v>4.86</v>
      </c>
      <c r="G2532" s="5">
        <f>IFERROR(__xludf.DUMMYFUNCTION("""COMPUTED_VALUE"""),16871.0)</f>
        <v>16871</v>
      </c>
      <c r="H2532" s="5">
        <f>IFERROR(__xludf.DUMMYFUNCTION("""COMPUTED_VALUE"""),3471.0)</f>
        <v>3471</v>
      </c>
    </row>
    <row r="2533">
      <c r="A2533" s="4">
        <f>IFERROR(__xludf.DUMMYFUNCTION("""COMPUTED_VALUE"""),44901.0)</f>
        <v>44901</v>
      </c>
      <c r="B2533" s="5">
        <f>IFERROR(__xludf.DUMMYFUNCTION("""COMPUTED_VALUE"""),3916.0)</f>
        <v>3916</v>
      </c>
      <c r="C2533" s="6">
        <f>IFERROR(__xludf.DUMMYFUNCTION("""COMPUTED_VALUE"""),0.3895)</f>
        <v>0.3895</v>
      </c>
      <c r="D2533" s="2">
        <f>IFERROR(__xludf.DUMMYFUNCTION("""COMPUTED_VALUE"""),0.002361111111111111)</f>
        <v>0.002361111111</v>
      </c>
      <c r="E2533" s="1">
        <f>IFERROR(__xludf.DUMMYFUNCTION("""COMPUTED_VALUE"""),1.14)</f>
        <v>1.14</v>
      </c>
      <c r="F2533" s="1">
        <f>IFERROR(__xludf.DUMMYFUNCTION("""COMPUTED_VALUE"""),4.77)</f>
        <v>4.77</v>
      </c>
      <c r="G2533" s="5">
        <f>IFERROR(__xludf.DUMMYFUNCTION("""COMPUTED_VALUE"""),21259.0)</f>
        <v>21259</v>
      </c>
      <c r="H2533" s="5">
        <f>IFERROR(__xludf.DUMMYFUNCTION("""COMPUTED_VALUE"""),4457.0)</f>
        <v>4457</v>
      </c>
    </row>
    <row r="2534">
      <c r="A2534" s="4">
        <f>IFERROR(__xludf.DUMMYFUNCTION("""COMPUTED_VALUE"""),44902.0)</f>
        <v>44902</v>
      </c>
      <c r="B2534" s="5">
        <f>IFERROR(__xludf.DUMMYFUNCTION("""COMPUTED_VALUE"""),8359.0)</f>
        <v>8359</v>
      </c>
      <c r="C2534" s="6">
        <f>IFERROR(__xludf.DUMMYFUNCTION("""COMPUTED_VALUE"""),0.4262)</f>
        <v>0.4262</v>
      </c>
      <c r="D2534" s="2">
        <f>IFERROR(__xludf.DUMMYFUNCTION("""COMPUTED_VALUE"""),0.00318287037037037)</f>
        <v>0.00318287037</v>
      </c>
      <c r="E2534" s="1">
        <f>IFERROR(__xludf.DUMMYFUNCTION("""COMPUTED_VALUE"""),1.1)</f>
        <v>1.1</v>
      </c>
      <c r="F2534" s="1">
        <f>IFERROR(__xludf.DUMMYFUNCTION("""COMPUTED_VALUE"""),5.56)</f>
        <v>5.56</v>
      </c>
      <c r="G2534" s="5">
        <f>IFERROR(__xludf.DUMMYFUNCTION("""COMPUTED_VALUE"""),51251.0)</f>
        <v>51251</v>
      </c>
      <c r="H2534" s="5">
        <f>IFERROR(__xludf.DUMMYFUNCTION("""COMPUTED_VALUE"""),9220.0)</f>
        <v>9220</v>
      </c>
    </row>
    <row r="2535">
      <c r="A2535" s="4">
        <f>IFERROR(__xludf.DUMMYFUNCTION("""COMPUTED_VALUE"""),44903.0)</f>
        <v>44903</v>
      </c>
      <c r="B2535" s="5">
        <f>IFERROR(__xludf.DUMMYFUNCTION("""COMPUTED_VALUE"""),4902.0)</f>
        <v>4902</v>
      </c>
      <c r="C2535" s="6">
        <f>IFERROR(__xludf.DUMMYFUNCTION("""COMPUTED_VALUE"""),0.4406)</f>
        <v>0.4406</v>
      </c>
      <c r="D2535" s="2">
        <f>IFERROR(__xludf.DUMMYFUNCTION("""COMPUTED_VALUE"""),0.0022337962962962962)</f>
        <v>0.002233796296</v>
      </c>
      <c r="E2535" s="1">
        <f>IFERROR(__xludf.DUMMYFUNCTION("""COMPUTED_VALUE"""),1.1)</f>
        <v>1.1</v>
      </c>
      <c r="F2535" s="1">
        <f>IFERROR(__xludf.DUMMYFUNCTION("""COMPUTED_VALUE"""),4.56)</f>
        <v>4.56</v>
      </c>
      <c r="G2535" s="5">
        <f>IFERROR(__xludf.DUMMYFUNCTION("""COMPUTED_VALUE"""),24563.0)</f>
        <v>24563</v>
      </c>
      <c r="H2535" s="5">
        <f>IFERROR(__xludf.DUMMYFUNCTION("""COMPUTED_VALUE"""),5388.0)</f>
        <v>5388</v>
      </c>
    </row>
    <row r="2536">
      <c r="A2536" s="4">
        <f>IFERROR(__xludf.DUMMYFUNCTION("""COMPUTED_VALUE"""),44904.0)</f>
        <v>44904</v>
      </c>
      <c r="B2536" s="5">
        <f>IFERROR(__xludf.DUMMYFUNCTION("""COMPUTED_VALUE"""),3096.0)</f>
        <v>3096</v>
      </c>
      <c r="C2536" s="6">
        <f>IFERROR(__xludf.DUMMYFUNCTION("""COMPUTED_VALUE"""),0.4761)</f>
        <v>0.4761</v>
      </c>
      <c r="D2536" s="2">
        <f>IFERROR(__xludf.DUMMYFUNCTION("""COMPUTED_VALUE"""),0.0018865740740740742)</f>
        <v>0.001886574074</v>
      </c>
      <c r="E2536" s="1">
        <f>IFERROR(__xludf.DUMMYFUNCTION("""COMPUTED_VALUE"""),1.13)</f>
        <v>1.13</v>
      </c>
      <c r="F2536" s="1">
        <f>IFERROR(__xludf.DUMMYFUNCTION("""COMPUTED_VALUE"""),4.26)</f>
        <v>4.26</v>
      </c>
      <c r="G2536" s="5">
        <f>IFERROR(__xludf.DUMMYFUNCTION("""COMPUTED_VALUE"""),14913.0)</f>
        <v>14913</v>
      </c>
      <c r="H2536" s="5">
        <f>IFERROR(__xludf.DUMMYFUNCTION("""COMPUTED_VALUE"""),3499.0)</f>
        <v>3499</v>
      </c>
    </row>
    <row r="2537">
      <c r="A2537" s="4">
        <f>IFERROR(__xludf.DUMMYFUNCTION("""COMPUTED_VALUE"""),44905.0)</f>
        <v>44905</v>
      </c>
      <c r="B2537" s="5">
        <f>IFERROR(__xludf.DUMMYFUNCTION("""COMPUTED_VALUE"""),2166.0)</f>
        <v>2166</v>
      </c>
      <c r="C2537" s="6">
        <f>IFERROR(__xludf.DUMMYFUNCTION("""COMPUTED_VALUE"""),0.5326)</f>
        <v>0.5326</v>
      </c>
      <c r="D2537" s="2">
        <f>IFERROR(__xludf.DUMMYFUNCTION("""COMPUTED_VALUE"""),0.001388888888888889)</f>
        <v>0.001388888889</v>
      </c>
      <c r="E2537" s="1">
        <f>IFERROR(__xludf.DUMMYFUNCTION("""COMPUTED_VALUE"""),1.08)</f>
        <v>1.08</v>
      </c>
      <c r="F2537" s="1">
        <f>IFERROR(__xludf.DUMMYFUNCTION("""COMPUTED_VALUE"""),3.84)</f>
        <v>3.84</v>
      </c>
      <c r="G2537" s="5">
        <f>IFERROR(__xludf.DUMMYFUNCTION("""COMPUTED_VALUE"""),9012.0)</f>
        <v>9012</v>
      </c>
      <c r="H2537" s="5">
        <f>IFERROR(__xludf.DUMMYFUNCTION("""COMPUTED_VALUE"""),2347.0)</f>
        <v>2347</v>
      </c>
    </row>
    <row r="2538">
      <c r="A2538" s="4">
        <f>IFERROR(__xludf.DUMMYFUNCTION("""COMPUTED_VALUE"""),44906.0)</f>
        <v>44906</v>
      </c>
      <c r="B2538" s="5">
        <f>IFERROR(__xludf.DUMMYFUNCTION("""COMPUTED_VALUE"""),2319.0)</f>
        <v>2319</v>
      </c>
      <c r="C2538" s="6">
        <f>IFERROR(__xludf.DUMMYFUNCTION("""COMPUTED_VALUE"""),0.5621)</f>
        <v>0.5621</v>
      </c>
      <c r="D2538" s="2">
        <f>IFERROR(__xludf.DUMMYFUNCTION("""COMPUTED_VALUE"""),0.0022453703703703702)</f>
        <v>0.00224537037</v>
      </c>
      <c r="E2538" s="1">
        <f>IFERROR(__xludf.DUMMYFUNCTION("""COMPUTED_VALUE"""),1.11)</f>
        <v>1.11</v>
      </c>
      <c r="F2538" s="1">
        <f>IFERROR(__xludf.DUMMYFUNCTION("""COMPUTED_VALUE"""),4.31)</f>
        <v>4.31</v>
      </c>
      <c r="G2538" s="5">
        <f>IFERROR(__xludf.DUMMYFUNCTION("""COMPUTED_VALUE"""),11081.0)</f>
        <v>11081</v>
      </c>
      <c r="H2538" s="5">
        <f>IFERROR(__xludf.DUMMYFUNCTION("""COMPUTED_VALUE"""),2569.0)</f>
        <v>2569</v>
      </c>
    </row>
    <row r="2539">
      <c r="A2539" s="4">
        <f>IFERROR(__xludf.DUMMYFUNCTION("""COMPUTED_VALUE"""),44907.0)</f>
        <v>44907</v>
      </c>
      <c r="B2539" s="5">
        <f>IFERROR(__xludf.DUMMYFUNCTION("""COMPUTED_VALUE"""),3152.0)</f>
        <v>3152</v>
      </c>
      <c r="C2539" s="6">
        <f>IFERROR(__xludf.DUMMYFUNCTION("""COMPUTED_VALUE"""),0.38)</f>
        <v>0.38</v>
      </c>
      <c r="D2539" s="2">
        <f>IFERROR(__xludf.DUMMYFUNCTION("""COMPUTED_VALUE"""),0.00369212962962963)</f>
        <v>0.00369212963</v>
      </c>
      <c r="E2539" s="1">
        <f>IFERROR(__xludf.DUMMYFUNCTION("""COMPUTED_VALUE"""),1.23)</f>
        <v>1.23</v>
      </c>
      <c r="F2539" s="1">
        <f>IFERROR(__xludf.DUMMYFUNCTION("""COMPUTED_VALUE"""),6.69)</f>
        <v>6.69</v>
      </c>
      <c r="G2539" s="5">
        <f>IFERROR(__xludf.DUMMYFUNCTION("""COMPUTED_VALUE"""),25910.0)</f>
        <v>25910</v>
      </c>
      <c r="H2539" s="5">
        <f>IFERROR(__xludf.DUMMYFUNCTION("""COMPUTED_VALUE"""),3874.0)</f>
        <v>3874</v>
      </c>
    </row>
    <row r="2540">
      <c r="A2540" s="4">
        <f>IFERROR(__xludf.DUMMYFUNCTION("""COMPUTED_VALUE"""),44908.0)</f>
        <v>44908</v>
      </c>
      <c r="B2540" s="5">
        <f>IFERROR(__xludf.DUMMYFUNCTION("""COMPUTED_VALUE"""),3041.0)</f>
        <v>3041</v>
      </c>
      <c r="C2540" s="6">
        <f>IFERROR(__xludf.DUMMYFUNCTION("""COMPUTED_VALUE"""),0.4203)</f>
        <v>0.4203</v>
      </c>
      <c r="D2540" s="2">
        <f>IFERROR(__xludf.DUMMYFUNCTION("""COMPUTED_VALUE"""),0.0024652777777777776)</f>
        <v>0.002465277778</v>
      </c>
      <c r="E2540" s="1">
        <f>IFERROR(__xludf.DUMMYFUNCTION("""COMPUTED_VALUE"""),1.12)</f>
        <v>1.12</v>
      </c>
      <c r="F2540" s="1">
        <f>IFERROR(__xludf.DUMMYFUNCTION("""COMPUTED_VALUE"""),5.69)</f>
        <v>5.69</v>
      </c>
      <c r="G2540" s="5">
        <f>IFERROR(__xludf.DUMMYFUNCTION("""COMPUTED_VALUE"""),19342.0)</f>
        <v>19342</v>
      </c>
      <c r="H2540" s="5">
        <f>IFERROR(__xludf.DUMMYFUNCTION("""COMPUTED_VALUE"""),3402.0)</f>
        <v>3402</v>
      </c>
    </row>
    <row r="2541">
      <c r="A2541" s="4">
        <f>IFERROR(__xludf.DUMMYFUNCTION("""COMPUTED_VALUE"""),44909.0)</f>
        <v>44909</v>
      </c>
      <c r="B2541" s="5">
        <f>IFERROR(__xludf.DUMMYFUNCTION("""COMPUTED_VALUE"""),3152.0)</f>
        <v>3152</v>
      </c>
      <c r="C2541" s="6">
        <f>IFERROR(__xludf.DUMMYFUNCTION("""COMPUTED_VALUE"""),0.4506)</f>
        <v>0.4506</v>
      </c>
      <c r="D2541" s="2">
        <f>IFERROR(__xludf.DUMMYFUNCTION("""COMPUTED_VALUE"""),0.002627314814814815)</f>
        <v>0.002627314815</v>
      </c>
      <c r="E2541" s="1">
        <f>IFERROR(__xludf.DUMMYFUNCTION("""COMPUTED_VALUE"""),1.07)</f>
        <v>1.07</v>
      </c>
      <c r="F2541" s="1">
        <f>IFERROR(__xludf.DUMMYFUNCTION("""COMPUTED_VALUE"""),5.13)</f>
        <v>5.13</v>
      </c>
      <c r="G2541" s="5">
        <f>IFERROR(__xludf.DUMMYFUNCTION("""COMPUTED_VALUE"""),17232.0)</f>
        <v>17232</v>
      </c>
      <c r="H2541" s="5">
        <f>IFERROR(__xludf.DUMMYFUNCTION("""COMPUTED_VALUE"""),3360.0)</f>
        <v>3360</v>
      </c>
    </row>
    <row r="2542">
      <c r="A2542" s="4">
        <f>IFERROR(__xludf.DUMMYFUNCTION("""COMPUTED_VALUE"""),44910.0)</f>
        <v>44910</v>
      </c>
      <c r="B2542" s="5">
        <f>IFERROR(__xludf.DUMMYFUNCTION("""COMPUTED_VALUE"""),2833.0)</f>
        <v>2833</v>
      </c>
      <c r="C2542" s="6">
        <f>IFERROR(__xludf.DUMMYFUNCTION("""COMPUTED_VALUE"""),0.4207)</f>
        <v>0.4207</v>
      </c>
      <c r="D2542" s="2">
        <f>IFERROR(__xludf.DUMMYFUNCTION("""COMPUTED_VALUE"""),0.002210648148148148)</f>
        <v>0.002210648148</v>
      </c>
      <c r="E2542" s="1">
        <f>IFERROR(__xludf.DUMMYFUNCTION("""COMPUTED_VALUE"""),1.08)</f>
        <v>1.08</v>
      </c>
      <c r="F2542" s="1">
        <f>IFERROR(__xludf.DUMMYFUNCTION("""COMPUTED_VALUE"""),4.26)</f>
        <v>4.26</v>
      </c>
      <c r="G2542" s="5">
        <f>IFERROR(__xludf.DUMMYFUNCTION("""COMPUTED_VALUE"""),13080.0)</f>
        <v>13080</v>
      </c>
      <c r="H2542" s="5">
        <f>IFERROR(__xludf.DUMMYFUNCTION("""COMPUTED_VALUE"""),3069.0)</f>
        <v>3069</v>
      </c>
    </row>
    <row r="2543">
      <c r="A2543" s="4">
        <f>IFERROR(__xludf.DUMMYFUNCTION("""COMPUTED_VALUE"""),44911.0)</f>
        <v>44911</v>
      </c>
      <c r="B2543" s="5">
        <f>IFERROR(__xludf.DUMMYFUNCTION("""COMPUTED_VALUE"""),2388.0)</f>
        <v>2388</v>
      </c>
      <c r="C2543" s="6">
        <f>IFERROR(__xludf.DUMMYFUNCTION("""COMPUTED_VALUE"""),0.4031)</f>
        <v>0.4031</v>
      </c>
      <c r="D2543" s="2">
        <f>IFERROR(__xludf.DUMMYFUNCTION("""COMPUTED_VALUE"""),0.002488425925925926)</f>
        <v>0.002488425926</v>
      </c>
      <c r="E2543" s="1">
        <f>IFERROR(__xludf.DUMMYFUNCTION("""COMPUTED_VALUE"""),1.11)</f>
        <v>1.11</v>
      </c>
      <c r="F2543" s="1">
        <f>IFERROR(__xludf.DUMMYFUNCTION("""COMPUTED_VALUE"""),4.82)</f>
        <v>4.82</v>
      </c>
      <c r="G2543" s="5">
        <f>IFERROR(__xludf.DUMMYFUNCTION("""COMPUTED_VALUE"""),12775.0)</f>
        <v>12775</v>
      </c>
      <c r="H2543" s="5">
        <f>IFERROR(__xludf.DUMMYFUNCTION("""COMPUTED_VALUE"""),2652.0)</f>
        <v>2652</v>
      </c>
    </row>
    <row r="2544">
      <c r="A2544" s="4">
        <f>IFERROR(__xludf.DUMMYFUNCTION("""COMPUTED_VALUE"""),44912.0)</f>
        <v>44912</v>
      </c>
      <c r="B2544" s="5">
        <f>IFERROR(__xludf.DUMMYFUNCTION("""COMPUTED_VALUE"""),1597.0)</f>
        <v>1597</v>
      </c>
      <c r="C2544" s="6">
        <f>IFERROR(__xludf.DUMMYFUNCTION("""COMPUTED_VALUE"""),0.425)</f>
        <v>0.425</v>
      </c>
      <c r="D2544" s="2">
        <f>IFERROR(__xludf.DUMMYFUNCTION("""COMPUTED_VALUE"""),0.003171296296296296)</f>
        <v>0.003171296296</v>
      </c>
      <c r="E2544" s="1">
        <f>IFERROR(__xludf.DUMMYFUNCTION("""COMPUTED_VALUE"""),1.17)</f>
        <v>1.17</v>
      </c>
      <c r="F2544" s="1">
        <f>IFERROR(__xludf.DUMMYFUNCTION("""COMPUTED_VALUE"""),7.64)</f>
        <v>7.64</v>
      </c>
      <c r="G2544" s="5">
        <f>IFERROR(__xludf.DUMMYFUNCTION("""COMPUTED_VALUE"""),14219.0)</f>
        <v>14219</v>
      </c>
      <c r="H2544" s="5">
        <f>IFERROR(__xludf.DUMMYFUNCTION("""COMPUTED_VALUE"""),1861.0)</f>
        <v>1861</v>
      </c>
    </row>
    <row r="2545">
      <c r="A2545" s="4">
        <f>IFERROR(__xludf.DUMMYFUNCTION("""COMPUTED_VALUE"""),44913.0)</f>
        <v>44913</v>
      </c>
      <c r="B2545" s="5">
        <f>IFERROR(__xludf.DUMMYFUNCTION("""COMPUTED_VALUE"""),1416.0)</f>
        <v>1416</v>
      </c>
      <c r="C2545" s="6">
        <f>IFERROR(__xludf.DUMMYFUNCTION("""COMPUTED_VALUE"""),0.5557)</f>
        <v>0.5557</v>
      </c>
      <c r="D2545" s="2">
        <f>IFERROR(__xludf.DUMMYFUNCTION("""COMPUTED_VALUE"""),0.002013888888888889)</f>
        <v>0.002013888889</v>
      </c>
      <c r="E2545" s="1">
        <f>IFERROR(__xludf.DUMMYFUNCTION("""COMPUTED_VALUE"""),1.15)</f>
        <v>1.15</v>
      </c>
      <c r="F2545" s="1">
        <f>IFERROR(__xludf.DUMMYFUNCTION("""COMPUTED_VALUE"""),4.08)</f>
        <v>4.08</v>
      </c>
      <c r="G2545" s="5">
        <f>IFERROR(__xludf.DUMMYFUNCTION("""COMPUTED_VALUE"""),6637.0)</f>
        <v>6637</v>
      </c>
      <c r="H2545" s="5">
        <f>IFERROR(__xludf.DUMMYFUNCTION("""COMPUTED_VALUE"""),1625.0)</f>
        <v>1625</v>
      </c>
    </row>
    <row r="2546">
      <c r="A2546" s="4">
        <f>IFERROR(__xludf.DUMMYFUNCTION("""COMPUTED_VALUE"""),44914.0)</f>
        <v>44914</v>
      </c>
      <c r="B2546" s="5">
        <f>IFERROR(__xludf.DUMMYFUNCTION("""COMPUTED_VALUE"""),2638.0)</f>
        <v>2638</v>
      </c>
      <c r="C2546" s="6">
        <f>IFERROR(__xludf.DUMMYFUNCTION("""COMPUTED_VALUE"""),0.44)</f>
        <v>0.44</v>
      </c>
      <c r="D2546" s="2">
        <f>IFERROR(__xludf.DUMMYFUNCTION("""COMPUTED_VALUE"""),0.0031944444444444446)</f>
        <v>0.003194444444</v>
      </c>
      <c r="E2546" s="1">
        <f>IFERROR(__xludf.DUMMYFUNCTION("""COMPUTED_VALUE"""),1.1)</f>
        <v>1.1</v>
      </c>
      <c r="F2546" s="1">
        <f>IFERROR(__xludf.DUMMYFUNCTION("""COMPUTED_VALUE"""),4.82)</f>
        <v>4.82</v>
      </c>
      <c r="G2546" s="5">
        <f>IFERROR(__xludf.DUMMYFUNCTION("""COMPUTED_VALUE"""),13996.0)</f>
        <v>13996</v>
      </c>
      <c r="H2546" s="5">
        <f>IFERROR(__xludf.DUMMYFUNCTION("""COMPUTED_VALUE"""),2902.0)</f>
        <v>2902</v>
      </c>
    </row>
    <row r="2547">
      <c r="A2547" s="4">
        <f>IFERROR(__xludf.DUMMYFUNCTION("""COMPUTED_VALUE"""),44915.0)</f>
        <v>44915</v>
      </c>
      <c r="B2547" s="5">
        <f>IFERROR(__xludf.DUMMYFUNCTION("""COMPUTED_VALUE"""),2458.0)</f>
        <v>2458</v>
      </c>
      <c r="C2547" s="6">
        <f>IFERROR(__xludf.DUMMYFUNCTION("""COMPUTED_VALUE"""),0.4052)</f>
        <v>0.4052</v>
      </c>
      <c r="D2547" s="2">
        <f>IFERROR(__xludf.DUMMYFUNCTION("""COMPUTED_VALUE"""),0.0022916666666666667)</f>
        <v>0.002291666667</v>
      </c>
      <c r="E2547" s="1">
        <f>IFERROR(__xludf.DUMMYFUNCTION("""COMPUTED_VALUE"""),1.07)</f>
        <v>1.07</v>
      </c>
      <c r="F2547" s="1">
        <f>IFERROR(__xludf.DUMMYFUNCTION("""COMPUTED_VALUE"""),4.36)</f>
        <v>4.36</v>
      </c>
      <c r="G2547" s="5">
        <f>IFERROR(__xludf.DUMMYFUNCTION("""COMPUTED_VALUE"""),11497.0)</f>
        <v>11497</v>
      </c>
      <c r="H2547" s="5">
        <f>IFERROR(__xludf.DUMMYFUNCTION("""COMPUTED_VALUE"""),2638.0)</f>
        <v>2638</v>
      </c>
    </row>
    <row r="2548">
      <c r="A2548" s="4">
        <f>IFERROR(__xludf.DUMMYFUNCTION("""COMPUTED_VALUE"""),44916.0)</f>
        <v>44916</v>
      </c>
      <c r="B2548" s="5">
        <f>IFERROR(__xludf.DUMMYFUNCTION("""COMPUTED_VALUE"""),2374.0)</f>
        <v>2374</v>
      </c>
      <c r="C2548" s="6">
        <f>IFERROR(__xludf.DUMMYFUNCTION("""COMPUTED_VALUE"""),0.4436)</f>
        <v>0.4436</v>
      </c>
      <c r="D2548" s="2">
        <f>IFERROR(__xludf.DUMMYFUNCTION("""COMPUTED_VALUE"""),0.0020717592592592593)</f>
        <v>0.002071759259</v>
      </c>
      <c r="E2548" s="1">
        <f>IFERROR(__xludf.DUMMYFUNCTION("""COMPUTED_VALUE"""),1.09)</f>
        <v>1.09</v>
      </c>
      <c r="F2548" s="1">
        <f>IFERROR(__xludf.DUMMYFUNCTION("""COMPUTED_VALUE"""),4.87)</f>
        <v>4.87</v>
      </c>
      <c r="G2548" s="5">
        <f>IFERROR(__xludf.DUMMYFUNCTION("""COMPUTED_VALUE"""),12650.0)</f>
        <v>12650</v>
      </c>
      <c r="H2548" s="5">
        <f>IFERROR(__xludf.DUMMYFUNCTION("""COMPUTED_VALUE"""),2597.0)</f>
        <v>2597</v>
      </c>
    </row>
    <row r="2549">
      <c r="A2549" s="4">
        <f>IFERROR(__xludf.DUMMYFUNCTION("""COMPUTED_VALUE"""),44917.0)</f>
        <v>44917</v>
      </c>
      <c r="B2549" s="5">
        <f>IFERROR(__xludf.DUMMYFUNCTION("""COMPUTED_VALUE"""),2111.0)</f>
        <v>2111</v>
      </c>
      <c r="C2549" s="6">
        <f>IFERROR(__xludf.DUMMYFUNCTION("""COMPUTED_VALUE"""),0.4346)</f>
        <v>0.4346</v>
      </c>
      <c r="D2549" s="2">
        <f>IFERROR(__xludf.DUMMYFUNCTION("""COMPUTED_VALUE"""),0.0014351851851851852)</f>
        <v>0.001435185185</v>
      </c>
      <c r="E2549" s="1">
        <f>IFERROR(__xludf.DUMMYFUNCTION("""COMPUTED_VALUE"""),1.11)</f>
        <v>1.11</v>
      </c>
      <c r="F2549" s="1">
        <f>IFERROR(__xludf.DUMMYFUNCTION("""COMPUTED_VALUE"""),2.91)</f>
        <v>2.91</v>
      </c>
      <c r="G2549" s="5">
        <f>IFERROR(__xludf.DUMMYFUNCTION("""COMPUTED_VALUE"""),6790.0)</f>
        <v>6790</v>
      </c>
      <c r="H2549" s="5">
        <f>IFERROR(__xludf.DUMMYFUNCTION("""COMPUTED_VALUE"""),2333.0)</f>
        <v>2333</v>
      </c>
    </row>
    <row r="2550">
      <c r="A2550" s="4">
        <f>IFERROR(__xludf.DUMMYFUNCTION("""COMPUTED_VALUE"""),44918.0)</f>
        <v>44918</v>
      </c>
      <c r="B2550" s="5">
        <f>IFERROR(__xludf.DUMMYFUNCTION("""COMPUTED_VALUE"""),1458.0)</f>
        <v>1458</v>
      </c>
      <c r="C2550" s="6">
        <f>IFERROR(__xludf.DUMMYFUNCTION("""COMPUTED_VALUE"""),0.5212)</f>
        <v>0.5212</v>
      </c>
      <c r="D2550" s="2">
        <f>IFERROR(__xludf.DUMMYFUNCTION("""COMPUTED_VALUE"""),0.0019560185185185184)</f>
        <v>0.001956018519</v>
      </c>
      <c r="E2550" s="1">
        <f>IFERROR(__xludf.DUMMYFUNCTION("""COMPUTED_VALUE"""),1.11)</f>
        <v>1.11</v>
      </c>
      <c r="F2550" s="1">
        <f>IFERROR(__xludf.DUMMYFUNCTION("""COMPUTED_VALUE"""),4.0)</f>
        <v>4</v>
      </c>
      <c r="G2550" s="5">
        <f>IFERROR(__xludf.DUMMYFUNCTION("""COMPUTED_VALUE"""),6498.0)</f>
        <v>6498</v>
      </c>
      <c r="H2550" s="5">
        <f>IFERROR(__xludf.DUMMYFUNCTION("""COMPUTED_VALUE"""),1625.0)</f>
        <v>1625</v>
      </c>
    </row>
    <row r="2551">
      <c r="A2551" s="4">
        <f>IFERROR(__xludf.DUMMYFUNCTION("""COMPUTED_VALUE"""),44919.0)</f>
        <v>44919</v>
      </c>
      <c r="B2551" s="5">
        <f>IFERROR(__xludf.DUMMYFUNCTION("""COMPUTED_VALUE"""),1125.0)</f>
        <v>1125</v>
      </c>
      <c r="C2551" s="6">
        <f>IFERROR(__xludf.DUMMYFUNCTION("""COMPUTED_VALUE"""),0.56)</f>
        <v>0.56</v>
      </c>
      <c r="D2551" s="2">
        <f>IFERROR(__xludf.DUMMYFUNCTION("""COMPUTED_VALUE"""),0.0011342592592592593)</f>
        <v>0.001134259259</v>
      </c>
      <c r="E2551" s="1">
        <f>IFERROR(__xludf.DUMMYFUNCTION("""COMPUTED_VALUE"""),1.04)</f>
        <v>1.04</v>
      </c>
      <c r="F2551" s="1">
        <f>IFERROR(__xludf.DUMMYFUNCTION("""COMPUTED_VALUE"""),3.0)</f>
        <v>3</v>
      </c>
      <c r="G2551" s="5">
        <f>IFERROR(__xludf.DUMMYFUNCTION("""COMPUTED_VALUE"""),3499.0)</f>
        <v>3499</v>
      </c>
      <c r="H2551" s="5">
        <f>IFERROR(__xludf.DUMMYFUNCTION("""COMPUTED_VALUE"""),1166.0)</f>
        <v>1166</v>
      </c>
    </row>
    <row r="2552">
      <c r="A2552" s="4">
        <f>IFERROR(__xludf.DUMMYFUNCTION("""COMPUTED_VALUE"""),44920.0)</f>
        <v>44920</v>
      </c>
      <c r="B2552" s="5">
        <f>IFERROR(__xludf.DUMMYFUNCTION("""COMPUTED_VALUE"""),1222.0)</f>
        <v>1222</v>
      </c>
      <c r="C2552" s="6">
        <f>IFERROR(__xludf.DUMMYFUNCTION("""COMPUTED_VALUE"""),0.4845)</f>
        <v>0.4845</v>
      </c>
      <c r="D2552" s="2">
        <f>IFERROR(__xludf.DUMMYFUNCTION("""COMPUTED_VALUE"""),0.0030208333333333333)</f>
        <v>0.003020833333</v>
      </c>
      <c r="E2552" s="1">
        <f>IFERROR(__xludf.DUMMYFUNCTION("""COMPUTED_VALUE"""),1.08)</f>
        <v>1.08</v>
      </c>
      <c r="F2552" s="1">
        <f>IFERROR(__xludf.DUMMYFUNCTION("""COMPUTED_VALUE"""),4.52)</f>
        <v>4.52</v>
      </c>
      <c r="G2552" s="5">
        <f>IFERROR(__xludf.DUMMYFUNCTION("""COMPUTED_VALUE"""),5957.0)</f>
        <v>5957</v>
      </c>
      <c r="H2552" s="5">
        <f>IFERROR(__xludf.DUMMYFUNCTION("""COMPUTED_VALUE"""),1319.0)</f>
        <v>1319</v>
      </c>
    </row>
    <row r="2553">
      <c r="A2553" s="4">
        <f>IFERROR(__xludf.DUMMYFUNCTION("""COMPUTED_VALUE"""),44921.0)</f>
        <v>44921</v>
      </c>
      <c r="B2553" s="5">
        <f>IFERROR(__xludf.DUMMYFUNCTION("""COMPUTED_VALUE"""),1416.0)</f>
        <v>1416</v>
      </c>
      <c r="C2553" s="6">
        <f>IFERROR(__xludf.DUMMYFUNCTION("""COMPUTED_VALUE"""),0.5391)</f>
        <v>0.5391</v>
      </c>
      <c r="D2553" s="2">
        <f>IFERROR(__xludf.DUMMYFUNCTION("""COMPUTED_VALUE"""),0.0013078703703703703)</f>
        <v>0.00130787037</v>
      </c>
      <c r="E2553" s="1">
        <f>IFERROR(__xludf.DUMMYFUNCTION("""COMPUTED_VALUE"""),1.13)</f>
        <v>1.13</v>
      </c>
      <c r="F2553" s="1">
        <f>IFERROR(__xludf.DUMMYFUNCTION("""COMPUTED_VALUE"""),3.64)</f>
        <v>3.64</v>
      </c>
      <c r="G2553" s="5">
        <f>IFERROR(__xludf.DUMMYFUNCTION("""COMPUTED_VALUE"""),5818.0)</f>
        <v>5818</v>
      </c>
      <c r="H2553" s="5">
        <f>IFERROR(__xludf.DUMMYFUNCTION("""COMPUTED_VALUE"""),1597.0)</f>
        <v>1597</v>
      </c>
    </row>
    <row r="2554">
      <c r="A2554" s="4">
        <f>IFERROR(__xludf.DUMMYFUNCTION("""COMPUTED_VALUE"""),44922.0)</f>
        <v>44922</v>
      </c>
      <c r="B2554" s="5">
        <f>IFERROR(__xludf.DUMMYFUNCTION("""COMPUTED_VALUE"""),2013.0)</f>
        <v>2013</v>
      </c>
      <c r="C2554" s="6">
        <f>IFERROR(__xludf.DUMMYFUNCTION("""COMPUTED_VALUE"""),0.4251)</f>
        <v>0.4251</v>
      </c>
      <c r="D2554" s="2">
        <f>IFERROR(__xludf.DUMMYFUNCTION("""COMPUTED_VALUE"""),0.0019675925925925924)</f>
        <v>0.001967592593</v>
      </c>
      <c r="E2554" s="1">
        <f>IFERROR(__xludf.DUMMYFUNCTION("""COMPUTED_VALUE"""),1.06)</f>
        <v>1.06</v>
      </c>
      <c r="F2554" s="1">
        <f>IFERROR(__xludf.DUMMYFUNCTION("""COMPUTED_VALUE"""),3.83)</f>
        <v>3.83</v>
      </c>
      <c r="G2554" s="5">
        <f>IFERROR(__xludf.DUMMYFUNCTION("""COMPUTED_VALUE"""),8137.0)</f>
        <v>8137</v>
      </c>
      <c r="H2554" s="5">
        <f>IFERROR(__xludf.DUMMYFUNCTION("""COMPUTED_VALUE"""),2124.0)</f>
        <v>2124</v>
      </c>
    </row>
    <row r="2555">
      <c r="A2555" s="4">
        <f>IFERROR(__xludf.DUMMYFUNCTION("""COMPUTED_VALUE"""),44923.0)</f>
        <v>44923</v>
      </c>
      <c r="B2555" s="5">
        <f>IFERROR(__xludf.DUMMYFUNCTION("""COMPUTED_VALUE"""),1847.0)</f>
        <v>1847</v>
      </c>
      <c r="C2555" s="6">
        <f>IFERROR(__xludf.DUMMYFUNCTION("""COMPUTED_VALUE"""),0.5171)</f>
        <v>0.5171</v>
      </c>
      <c r="D2555" s="2">
        <f>IFERROR(__xludf.DUMMYFUNCTION("""COMPUTED_VALUE"""),0.0018981481481481482)</f>
        <v>0.001898148148</v>
      </c>
      <c r="E2555" s="1">
        <f>IFERROR(__xludf.DUMMYFUNCTION("""COMPUTED_VALUE"""),1.09)</f>
        <v>1.09</v>
      </c>
      <c r="F2555" s="1">
        <f>IFERROR(__xludf.DUMMYFUNCTION("""COMPUTED_VALUE"""),3.74)</f>
        <v>3.74</v>
      </c>
      <c r="G2555" s="5">
        <f>IFERROR(__xludf.DUMMYFUNCTION("""COMPUTED_VALUE"""),7526.0)</f>
        <v>7526</v>
      </c>
      <c r="H2555" s="5">
        <f>IFERROR(__xludf.DUMMYFUNCTION("""COMPUTED_VALUE"""),2013.0)</f>
        <v>2013</v>
      </c>
    </row>
    <row r="2556">
      <c r="A2556" s="4">
        <f>IFERROR(__xludf.DUMMYFUNCTION("""COMPUTED_VALUE"""),44924.0)</f>
        <v>44924</v>
      </c>
      <c r="B2556" s="5">
        <f>IFERROR(__xludf.DUMMYFUNCTION("""COMPUTED_VALUE"""),1708.0)</f>
        <v>1708</v>
      </c>
      <c r="C2556" s="6">
        <f>IFERROR(__xludf.DUMMYFUNCTION("""COMPUTED_VALUE"""),0.5483)</f>
        <v>0.5483</v>
      </c>
      <c r="D2556" s="2">
        <f>IFERROR(__xludf.DUMMYFUNCTION("""COMPUTED_VALUE"""),0.001585648148148148)</f>
        <v>0.001585648148</v>
      </c>
      <c r="E2556" s="1">
        <f>IFERROR(__xludf.DUMMYFUNCTION("""COMPUTED_VALUE"""),1.1)</f>
        <v>1.1</v>
      </c>
      <c r="F2556" s="1">
        <f>IFERROR(__xludf.DUMMYFUNCTION("""COMPUTED_VALUE"""),3.61)</f>
        <v>3.61</v>
      </c>
      <c r="G2556" s="5">
        <f>IFERROR(__xludf.DUMMYFUNCTION("""COMPUTED_VALUE"""),6762.0)</f>
        <v>6762</v>
      </c>
      <c r="H2556" s="5">
        <f>IFERROR(__xludf.DUMMYFUNCTION("""COMPUTED_VALUE"""),1875.0)</f>
        <v>1875</v>
      </c>
    </row>
    <row r="2557">
      <c r="A2557" s="4">
        <f>IFERROR(__xludf.DUMMYFUNCTION("""COMPUTED_VALUE"""),44925.0)</f>
        <v>44925</v>
      </c>
      <c r="B2557" s="5">
        <f>IFERROR(__xludf.DUMMYFUNCTION("""COMPUTED_VALUE"""),1375.0)</f>
        <v>1375</v>
      </c>
      <c r="C2557" s="6">
        <f>IFERROR(__xludf.DUMMYFUNCTION("""COMPUTED_VALUE"""),0.5095)</f>
        <v>0.5095</v>
      </c>
      <c r="D2557" s="2">
        <f>IFERROR(__xludf.DUMMYFUNCTION("""COMPUTED_VALUE"""),0.0020717592592592593)</f>
        <v>0.002071759259</v>
      </c>
      <c r="E2557" s="1">
        <f>IFERROR(__xludf.DUMMYFUNCTION("""COMPUTED_VALUE"""),1.07)</f>
        <v>1.07</v>
      </c>
      <c r="F2557" s="1">
        <f>IFERROR(__xludf.DUMMYFUNCTION("""COMPUTED_VALUE"""),4.39)</f>
        <v>4.39</v>
      </c>
      <c r="G2557" s="5">
        <f>IFERROR(__xludf.DUMMYFUNCTION("""COMPUTED_VALUE"""),6457.0)</f>
        <v>6457</v>
      </c>
      <c r="H2557" s="5">
        <f>IFERROR(__xludf.DUMMYFUNCTION("""COMPUTED_VALUE"""),1472.0)</f>
        <v>1472</v>
      </c>
    </row>
    <row r="2558">
      <c r="A2558" s="4">
        <f>IFERROR(__xludf.DUMMYFUNCTION("""COMPUTED_VALUE"""),44926.0)</f>
        <v>44926</v>
      </c>
      <c r="B2558" s="5">
        <f>IFERROR(__xludf.DUMMYFUNCTION("""COMPUTED_VALUE"""),1041.0)</f>
        <v>1041</v>
      </c>
      <c r="C2558" s="6">
        <f>IFERROR(__xludf.DUMMYFUNCTION("""COMPUTED_VALUE"""),0.4693)</f>
        <v>0.4693</v>
      </c>
      <c r="D2558" s="2">
        <f>IFERROR(__xludf.DUMMYFUNCTION("""COMPUTED_VALUE"""),0.0023148148148148147)</f>
        <v>0.002314814815</v>
      </c>
      <c r="E2558" s="1">
        <f>IFERROR(__xludf.DUMMYFUNCTION("""COMPUTED_VALUE"""),1.08)</f>
        <v>1.08</v>
      </c>
      <c r="F2558" s="1">
        <f>IFERROR(__xludf.DUMMYFUNCTION("""COMPUTED_VALUE"""),3.86)</f>
        <v>3.86</v>
      </c>
      <c r="G2558" s="5">
        <f>IFERROR(__xludf.DUMMYFUNCTION("""COMPUTED_VALUE"""),4346.0)</f>
        <v>4346</v>
      </c>
      <c r="H2558" s="5">
        <f>IFERROR(__xludf.DUMMYFUNCTION("""COMPUTED_VALUE"""),1125.0)</f>
        <v>1125</v>
      </c>
    </row>
    <row r="2559">
      <c r="A2559" s="4">
        <f>IFERROR(__xludf.DUMMYFUNCTION("""COMPUTED_VALUE"""),44927.0)</f>
        <v>44927</v>
      </c>
      <c r="B2559" s="5">
        <f>IFERROR(__xludf.DUMMYFUNCTION("""COMPUTED_VALUE"""),1208.0)</f>
        <v>1208</v>
      </c>
      <c r="C2559" s="6">
        <f>IFERROR(__xludf.DUMMYFUNCTION("""COMPUTED_VALUE"""),0.4701)</f>
        <v>0.4701</v>
      </c>
      <c r="D2559" s="2">
        <f>IFERROR(__xludf.DUMMYFUNCTION("""COMPUTED_VALUE"""),0.0023263888888888887)</f>
        <v>0.002326388889</v>
      </c>
      <c r="E2559" s="1">
        <f>IFERROR(__xludf.DUMMYFUNCTION("""COMPUTED_VALUE"""),1.15)</f>
        <v>1.15</v>
      </c>
      <c r="F2559" s="1">
        <f>IFERROR(__xludf.DUMMYFUNCTION("""COMPUTED_VALUE"""),4.83)</f>
        <v>4.83</v>
      </c>
      <c r="G2559" s="5">
        <f>IFERROR(__xludf.DUMMYFUNCTION("""COMPUTED_VALUE"""),6707.0)</f>
        <v>6707</v>
      </c>
      <c r="H2559" s="5">
        <f>IFERROR(__xludf.DUMMYFUNCTION("""COMPUTED_VALUE"""),1389.0)</f>
        <v>1389</v>
      </c>
    </row>
    <row r="2560">
      <c r="A2560" s="4">
        <f>IFERROR(__xludf.DUMMYFUNCTION("""COMPUTED_VALUE"""),44928.0)</f>
        <v>44928</v>
      </c>
      <c r="B2560" s="5">
        <f>IFERROR(__xludf.DUMMYFUNCTION("""COMPUTED_VALUE"""),1597.0)</f>
        <v>1597</v>
      </c>
      <c r="C2560" s="6">
        <f>IFERROR(__xludf.DUMMYFUNCTION("""COMPUTED_VALUE"""),0.5121)</f>
        <v>0.5121</v>
      </c>
      <c r="D2560" s="2">
        <f>IFERROR(__xludf.DUMMYFUNCTION("""COMPUTED_VALUE"""),0.0012037037037037038)</f>
        <v>0.001203703704</v>
      </c>
      <c r="E2560" s="1">
        <f>IFERROR(__xludf.DUMMYFUNCTION("""COMPUTED_VALUE"""),1.09)</f>
        <v>1.09</v>
      </c>
      <c r="F2560" s="1">
        <f>IFERROR(__xludf.DUMMYFUNCTION("""COMPUTED_VALUE"""),3.53)</f>
        <v>3.53</v>
      </c>
      <c r="G2560" s="5">
        <f>IFERROR(__xludf.DUMMYFUNCTION("""COMPUTED_VALUE"""),6123.0)</f>
        <v>6123</v>
      </c>
      <c r="H2560" s="5">
        <f>IFERROR(__xludf.DUMMYFUNCTION("""COMPUTED_VALUE"""),1736.0)</f>
        <v>1736</v>
      </c>
    </row>
    <row r="2561">
      <c r="A2561" s="4">
        <f>IFERROR(__xludf.DUMMYFUNCTION("""COMPUTED_VALUE"""),44929.0)</f>
        <v>44929</v>
      </c>
      <c r="B2561" s="5">
        <f>IFERROR(__xludf.DUMMYFUNCTION("""COMPUTED_VALUE"""),2555.0)</f>
        <v>2555</v>
      </c>
      <c r="C2561" s="6">
        <f>IFERROR(__xludf.DUMMYFUNCTION("""COMPUTED_VALUE"""),0.4228)</f>
        <v>0.4228</v>
      </c>
      <c r="D2561" s="2">
        <f>IFERROR(__xludf.DUMMYFUNCTION("""COMPUTED_VALUE"""),0.0018402777777777777)</f>
        <v>0.001840277778</v>
      </c>
      <c r="E2561" s="1">
        <f>IFERROR(__xludf.DUMMYFUNCTION("""COMPUTED_VALUE"""),1.09)</f>
        <v>1.09</v>
      </c>
      <c r="F2561" s="1">
        <f>IFERROR(__xludf.DUMMYFUNCTION("""COMPUTED_VALUE"""),4.28)</f>
        <v>4.28</v>
      </c>
      <c r="G2561" s="5">
        <f>IFERROR(__xludf.DUMMYFUNCTION("""COMPUTED_VALUE"""),11955.0)</f>
        <v>11955</v>
      </c>
      <c r="H2561" s="5">
        <f>IFERROR(__xludf.DUMMYFUNCTION("""COMPUTED_VALUE"""),2791.0)</f>
        <v>2791</v>
      </c>
    </row>
    <row r="2562">
      <c r="A2562" s="4">
        <f>IFERROR(__xludf.DUMMYFUNCTION("""COMPUTED_VALUE"""),44930.0)</f>
        <v>44930</v>
      </c>
      <c r="B2562" s="5">
        <f>IFERROR(__xludf.DUMMYFUNCTION("""COMPUTED_VALUE"""),2430.0)</f>
        <v>2430</v>
      </c>
      <c r="C2562" s="6">
        <f>IFERROR(__xludf.DUMMYFUNCTION("""COMPUTED_VALUE"""),0.5177)</f>
        <v>0.5177</v>
      </c>
      <c r="D2562" s="2">
        <f>IFERROR(__xludf.DUMMYFUNCTION("""COMPUTED_VALUE"""),0.0023263888888888887)</f>
        <v>0.002326388889</v>
      </c>
      <c r="E2562" s="1">
        <f>IFERROR(__xludf.DUMMYFUNCTION("""COMPUTED_VALUE"""),1.11)</f>
        <v>1.11</v>
      </c>
      <c r="F2562" s="1">
        <f>IFERROR(__xludf.DUMMYFUNCTION("""COMPUTED_VALUE"""),3.45)</f>
        <v>3.45</v>
      </c>
      <c r="G2562" s="5">
        <f>IFERROR(__xludf.DUMMYFUNCTION("""COMPUTED_VALUE"""),9345.0)</f>
        <v>9345</v>
      </c>
      <c r="H2562" s="5">
        <f>IFERROR(__xludf.DUMMYFUNCTION("""COMPUTED_VALUE"""),2708.0)</f>
        <v>2708</v>
      </c>
    </row>
    <row r="2563">
      <c r="A2563" s="4">
        <f>IFERROR(__xludf.DUMMYFUNCTION("""COMPUTED_VALUE"""),44931.0)</f>
        <v>44931</v>
      </c>
      <c r="B2563" s="5">
        <f>IFERROR(__xludf.DUMMYFUNCTION("""COMPUTED_VALUE"""),3083.0)</f>
        <v>3083</v>
      </c>
      <c r="C2563" s="6">
        <f>IFERROR(__xludf.DUMMYFUNCTION("""COMPUTED_VALUE"""),0.4292)</f>
        <v>0.4292</v>
      </c>
      <c r="D2563" s="2">
        <f>IFERROR(__xludf.DUMMYFUNCTION("""COMPUTED_VALUE"""),0.0024305555555555556)</f>
        <v>0.002430555556</v>
      </c>
      <c r="E2563" s="1">
        <f>IFERROR(__xludf.DUMMYFUNCTION("""COMPUTED_VALUE"""),1.11)</f>
        <v>1.11</v>
      </c>
      <c r="F2563" s="1">
        <f>IFERROR(__xludf.DUMMYFUNCTION("""COMPUTED_VALUE"""),4.9)</f>
        <v>4.9</v>
      </c>
      <c r="G2563" s="5">
        <f>IFERROR(__xludf.DUMMYFUNCTION("""COMPUTED_VALUE"""),16801.0)</f>
        <v>16801</v>
      </c>
      <c r="H2563" s="5">
        <f>IFERROR(__xludf.DUMMYFUNCTION("""COMPUTED_VALUE"""),3430.0)</f>
        <v>3430</v>
      </c>
    </row>
    <row r="2564">
      <c r="A2564" s="4">
        <f>IFERROR(__xludf.DUMMYFUNCTION("""COMPUTED_VALUE"""),44932.0)</f>
        <v>44932</v>
      </c>
      <c r="B2564" s="5">
        <f>IFERROR(__xludf.DUMMYFUNCTION("""COMPUTED_VALUE"""),2222.0)</f>
        <v>2222</v>
      </c>
      <c r="C2564" s="6">
        <f>IFERROR(__xludf.DUMMYFUNCTION("""COMPUTED_VALUE"""),0.4551)</f>
        <v>0.4551</v>
      </c>
      <c r="D2564" s="2">
        <f>IFERROR(__xludf.DUMMYFUNCTION("""COMPUTED_VALUE"""),0.0024305555555555556)</f>
        <v>0.002430555556</v>
      </c>
      <c r="E2564" s="1">
        <f>IFERROR(__xludf.DUMMYFUNCTION("""COMPUTED_VALUE"""),1.11)</f>
        <v>1.11</v>
      </c>
      <c r="F2564" s="1">
        <f>IFERROR(__xludf.DUMMYFUNCTION("""COMPUTED_VALUE"""),4.42)</f>
        <v>4.42</v>
      </c>
      <c r="G2564" s="5">
        <f>IFERROR(__xludf.DUMMYFUNCTION("""COMPUTED_VALUE"""),10928.0)</f>
        <v>10928</v>
      </c>
      <c r="H2564" s="5">
        <f>IFERROR(__xludf.DUMMYFUNCTION("""COMPUTED_VALUE"""),2472.0)</f>
        <v>2472</v>
      </c>
    </row>
    <row r="2565">
      <c r="A2565" s="4">
        <f>IFERROR(__xludf.DUMMYFUNCTION("""COMPUTED_VALUE"""),44933.0)</f>
        <v>44933</v>
      </c>
      <c r="B2565" s="5">
        <f>IFERROR(__xludf.DUMMYFUNCTION("""COMPUTED_VALUE"""),1500.0)</f>
        <v>1500</v>
      </c>
      <c r="C2565" s="6">
        <f>IFERROR(__xludf.DUMMYFUNCTION("""COMPUTED_VALUE"""),0.4625)</f>
        <v>0.4625</v>
      </c>
      <c r="D2565" s="2">
        <f>IFERROR(__xludf.DUMMYFUNCTION("""COMPUTED_VALUE"""),0.0014814814814814814)</f>
        <v>0.001481481481</v>
      </c>
      <c r="E2565" s="1">
        <f>IFERROR(__xludf.DUMMYFUNCTION("""COMPUTED_VALUE"""),1.1)</f>
        <v>1.1</v>
      </c>
      <c r="F2565" s="1">
        <f>IFERROR(__xludf.DUMMYFUNCTION("""COMPUTED_VALUE"""),3.54)</f>
        <v>3.54</v>
      </c>
      <c r="G2565" s="5">
        <f>IFERROR(__xludf.DUMMYFUNCTION("""COMPUTED_VALUE"""),5846.0)</f>
        <v>5846</v>
      </c>
      <c r="H2565" s="5">
        <f>IFERROR(__xludf.DUMMYFUNCTION("""COMPUTED_VALUE"""),1652.0)</f>
        <v>1652</v>
      </c>
    </row>
    <row r="2566">
      <c r="A2566" s="4">
        <f>IFERROR(__xludf.DUMMYFUNCTION("""COMPUTED_VALUE"""),44934.0)</f>
        <v>44934</v>
      </c>
      <c r="B2566" s="5">
        <f>IFERROR(__xludf.DUMMYFUNCTION("""COMPUTED_VALUE"""),1805.0)</f>
        <v>1805</v>
      </c>
      <c r="C2566" s="6">
        <f>IFERROR(__xludf.DUMMYFUNCTION("""COMPUTED_VALUE"""),0.5776)</f>
        <v>0.5776</v>
      </c>
      <c r="D2566" s="2">
        <f>IFERROR(__xludf.DUMMYFUNCTION("""COMPUTED_VALUE"""),0.0021759259259259258)</f>
        <v>0.002175925926</v>
      </c>
      <c r="E2566" s="1">
        <f>IFERROR(__xludf.DUMMYFUNCTION("""COMPUTED_VALUE"""),1.09)</f>
        <v>1.09</v>
      </c>
      <c r="F2566" s="1">
        <f>IFERROR(__xludf.DUMMYFUNCTION("""COMPUTED_VALUE"""),2.47)</f>
        <v>2.47</v>
      </c>
      <c r="G2566" s="5">
        <f>IFERROR(__xludf.DUMMYFUNCTION("""COMPUTED_VALUE"""),4874.0)</f>
        <v>4874</v>
      </c>
      <c r="H2566" s="5">
        <f>IFERROR(__xludf.DUMMYFUNCTION("""COMPUTED_VALUE"""),1972.0)</f>
        <v>1972</v>
      </c>
    </row>
    <row r="2567">
      <c r="A2567" s="4">
        <f>IFERROR(__xludf.DUMMYFUNCTION("""COMPUTED_VALUE"""),44935.0)</f>
        <v>44935</v>
      </c>
      <c r="B2567" s="5">
        <f>IFERROR(__xludf.DUMMYFUNCTION("""COMPUTED_VALUE"""),2722.0)</f>
        <v>2722</v>
      </c>
      <c r="C2567" s="6">
        <f>IFERROR(__xludf.DUMMYFUNCTION("""COMPUTED_VALUE"""),0.4741)</f>
        <v>0.4741</v>
      </c>
      <c r="D2567" s="2">
        <f>IFERROR(__xludf.DUMMYFUNCTION("""COMPUTED_VALUE"""),0.001863425925925926)</f>
        <v>0.001863425926</v>
      </c>
      <c r="E2567" s="1">
        <f>IFERROR(__xludf.DUMMYFUNCTION("""COMPUTED_VALUE"""),1.08)</f>
        <v>1.08</v>
      </c>
      <c r="F2567" s="1">
        <f>IFERROR(__xludf.DUMMYFUNCTION("""COMPUTED_VALUE"""),3.77)</f>
        <v>3.77</v>
      </c>
      <c r="G2567" s="5">
        <f>IFERROR(__xludf.DUMMYFUNCTION("""COMPUTED_VALUE"""),11039.0)</f>
        <v>11039</v>
      </c>
      <c r="H2567" s="5">
        <f>IFERROR(__xludf.DUMMYFUNCTION("""COMPUTED_VALUE"""),2930.0)</f>
        <v>2930</v>
      </c>
    </row>
    <row r="2568">
      <c r="A2568" s="4">
        <f>IFERROR(__xludf.DUMMYFUNCTION("""COMPUTED_VALUE"""),44936.0)</f>
        <v>44936</v>
      </c>
      <c r="B2568" s="5">
        <f>IFERROR(__xludf.DUMMYFUNCTION("""COMPUTED_VALUE"""),2319.0)</f>
        <v>2319</v>
      </c>
      <c r="C2568" s="6">
        <f>IFERROR(__xludf.DUMMYFUNCTION("""COMPUTED_VALUE"""),0.4484)</f>
        <v>0.4484</v>
      </c>
      <c r="D2568" s="2">
        <f>IFERROR(__xludf.DUMMYFUNCTION("""COMPUTED_VALUE"""),0.002013888888888889)</f>
        <v>0.002013888889</v>
      </c>
      <c r="E2568" s="1">
        <f>IFERROR(__xludf.DUMMYFUNCTION("""COMPUTED_VALUE"""),1.11)</f>
        <v>1.11</v>
      </c>
      <c r="F2568" s="1">
        <f>IFERROR(__xludf.DUMMYFUNCTION("""COMPUTED_VALUE"""),4.05)</f>
        <v>4.05</v>
      </c>
      <c r="G2568" s="5">
        <f>IFERROR(__xludf.DUMMYFUNCTION("""COMPUTED_VALUE"""),10400.0)</f>
        <v>10400</v>
      </c>
      <c r="H2568" s="5">
        <f>IFERROR(__xludf.DUMMYFUNCTION("""COMPUTED_VALUE"""),2569.0)</f>
        <v>2569</v>
      </c>
    </row>
    <row r="2569">
      <c r="A2569" s="4">
        <f>IFERROR(__xludf.DUMMYFUNCTION("""COMPUTED_VALUE"""),44937.0)</f>
        <v>44937</v>
      </c>
      <c r="B2569" s="5">
        <f>IFERROR(__xludf.DUMMYFUNCTION("""COMPUTED_VALUE"""),2569.0)</f>
        <v>2569</v>
      </c>
      <c r="C2569" s="6">
        <f>IFERROR(__xludf.DUMMYFUNCTION("""COMPUTED_VALUE"""),0.4523)</f>
        <v>0.4523</v>
      </c>
      <c r="D2569" s="2">
        <f>IFERROR(__xludf.DUMMYFUNCTION("""COMPUTED_VALUE"""),0.0027083333333333334)</f>
        <v>0.002708333333</v>
      </c>
      <c r="E2569" s="1">
        <f>IFERROR(__xludf.DUMMYFUNCTION("""COMPUTED_VALUE"""),1.14)</f>
        <v>1.14</v>
      </c>
      <c r="F2569" s="1">
        <f>IFERROR(__xludf.DUMMYFUNCTION("""COMPUTED_VALUE"""),4.81)</f>
        <v>4.81</v>
      </c>
      <c r="G2569" s="5">
        <f>IFERROR(__xludf.DUMMYFUNCTION("""COMPUTED_VALUE"""),14024.0)</f>
        <v>14024</v>
      </c>
      <c r="H2569" s="5">
        <f>IFERROR(__xludf.DUMMYFUNCTION("""COMPUTED_VALUE"""),2916.0)</f>
        <v>2916</v>
      </c>
    </row>
    <row r="2570">
      <c r="A2570" s="4">
        <f>IFERROR(__xludf.DUMMYFUNCTION("""COMPUTED_VALUE"""),44938.0)</f>
        <v>44938</v>
      </c>
      <c r="B2570" s="5">
        <f>IFERROR(__xludf.DUMMYFUNCTION("""COMPUTED_VALUE"""),2402.0)</f>
        <v>2402</v>
      </c>
      <c r="C2570" s="6">
        <f>IFERROR(__xludf.DUMMYFUNCTION("""COMPUTED_VALUE"""),0.3946)</f>
        <v>0.3946</v>
      </c>
      <c r="D2570" s="2">
        <f>IFERROR(__xludf.DUMMYFUNCTION("""COMPUTED_VALUE"""),0.0019444444444444444)</f>
        <v>0.001944444444</v>
      </c>
      <c r="E2570" s="1">
        <f>IFERROR(__xludf.DUMMYFUNCTION("""COMPUTED_VALUE"""),1.1)</f>
        <v>1.1</v>
      </c>
      <c r="F2570" s="1">
        <f>IFERROR(__xludf.DUMMYFUNCTION("""COMPUTED_VALUE"""),3.81)</f>
        <v>3.81</v>
      </c>
      <c r="G2570" s="5">
        <f>IFERROR(__xludf.DUMMYFUNCTION("""COMPUTED_VALUE"""),10053.0)</f>
        <v>10053</v>
      </c>
      <c r="H2570" s="5">
        <f>IFERROR(__xludf.DUMMYFUNCTION("""COMPUTED_VALUE"""),2638.0)</f>
        <v>2638</v>
      </c>
    </row>
    <row r="2571">
      <c r="A2571" s="4">
        <f>IFERROR(__xludf.DUMMYFUNCTION("""COMPUTED_VALUE"""),44939.0)</f>
        <v>44939</v>
      </c>
      <c r="B2571" s="5">
        <f>IFERROR(__xludf.DUMMYFUNCTION("""COMPUTED_VALUE"""),1999.0)</f>
        <v>1999</v>
      </c>
      <c r="C2571" s="6">
        <f>IFERROR(__xludf.DUMMYFUNCTION("""COMPUTED_VALUE"""),0.5375)</f>
        <v>0.5375</v>
      </c>
      <c r="D2571" s="2">
        <f>IFERROR(__xludf.DUMMYFUNCTION("""COMPUTED_VALUE"""),0.0020949074074074073)</f>
        <v>0.002094907407</v>
      </c>
      <c r="E2571" s="1">
        <f>IFERROR(__xludf.DUMMYFUNCTION("""COMPUTED_VALUE"""),1.2)</f>
        <v>1.2</v>
      </c>
      <c r="F2571" s="1">
        <f>IFERROR(__xludf.DUMMYFUNCTION("""COMPUTED_VALUE"""),3.49)</f>
        <v>3.49</v>
      </c>
      <c r="G2571" s="5">
        <f>IFERROR(__xludf.DUMMYFUNCTION("""COMPUTED_VALUE"""),8387.0)</f>
        <v>8387</v>
      </c>
      <c r="H2571" s="5">
        <f>IFERROR(__xludf.DUMMYFUNCTION("""COMPUTED_VALUE"""),2402.0)</f>
        <v>2402</v>
      </c>
    </row>
    <row r="2572">
      <c r="A2572" s="4">
        <f>IFERROR(__xludf.DUMMYFUNCTION("""COMPUTED_VALUE"""),44940.0)</f>
        <v>44940</v>
      </c>
      <c r="B2572" s="5">
        <f>IFERROR(__xludf.DUMMYFUNCTION("""COMPUTED_VALUE"""),1430.0)</f>
        <v>1430</v>
      </c>
      <c r="C2572" s="6">
        <f>IFERROR(__xludf.DUMMYFUNCTION("""COMPUTED_VALUE"""),0.5085)</f>
        <v>0.5085</v>
      </c>
      <c r="D2572" s="2">
        <f>IFERROR(__xludf.DUMMYFUNCTION("""COMPUTED_VALUE"""),0.002395833333333333)</f>
        <v>0.002395833333</v>
      </c>
      <c r="E2572" s="1">
        <f>IFERROR(__xludf.DUMMYFUNCTION("""COMPUTED_VALUE"""),1.15)</f>
        <v>1.15</v>
      </c>
      <c r="F2572" s="1">
        <f>IFERROR(__xludf.DUMMYFUNCTION("""COMPUTED_VALUE"""),3.81)</f>
        <v>3.81</v>
      </c>
      <c r="G2572" s="5">
        <f>IFERROR(__xludf.DUMMYFUNCTION("""COMPUTED_VALUE"""),6235.0)</f>
        <v>6235</v>
      </c>
      <c r="H2572" s="5">
        <f>IFERROR(__xludf.DUMMYFUNCTION("""COMPUTED_VALUE"""),1638.0)</f>
        <v>1638</v>
      </c>
    </row>
    <row r="2573">
      <c r="A2573" s="4">
        <f>IFERROR(__xludf.DUMMYFUNCTION("""COMPUTED_VALUE"""),44941.0)</f>
        <v>44941</v>
      </c>
      <c r="B2573" s="5">
        <f>IFERROR(__xludf.DUMMYFUNCTION("""COMPUTED_VALUE"""),1722.0)</f>
        <v>1722</v>
      </c>
      <c r="C2573" s="6">
        <f>IFERROR(__xludf.DUMMYFUNCTION("""COMPUTED_VALUE"""),0.5222)</f>
        <v>0.5222</v>
      </c>
      <c r="D2573" s="2">
        <f>IFERROR(__xludf.DUMMYFUNCTION("""COMPUTED_VALUE"""),0.0018865740740740742)</f>
        <v>0.001886574074</v>
      </c>
      <c r="E2573" s="1">
        <f>IFERROR(__xludf.DUMMYFUNCTION("""COMPUTED_VALUE"""),1.1)</f>
        <v>1.1</v>
      </c>
      <c r="F2573" s="1">
        <f>IFERROR(__xludf.DUMMYFUNCTION("""COMPUTED_VALUE"""),3.64)</f>
        <v>3.64</v>
      </c>
      <c r="G2573" s="5">
        <f>IFERROR(__xludf.DUMMYFUNCTION("""COMPUTED_VALUE"""),6873.0)</f>
        <v>6873</v>
      </c>
      <c r="H2573" s="5">
        <f>IFERROR(__xludf.DUMMYFUNCTION("""COMPUTED_VALUE"""),1888.0)</f>
        <v>1888</v>
      </c>
    </row>
    <row r="2574">
      <c r="A2574" s="4">
        <f>IFERROR(__xludf.DUMMYFUNCTION("""COMPUTED_VALUE"""),44942.0)</f>
        <v>44942</v>
      </c>
      <c r="B2574" s="5">
        <f>IFERROR(__xludf.DUMMYFUNCTION("""COMPUTED_VALUE"""),2124.0)</f>
        <v>2124</v>
      </c>
      <c r="C2574" s="6">
        <f>IFERROR(__xludf.DUMMYFUNCTION("""COMPUTED_VALUE"""),0.4912)</f>
        <v>0.4912</v>
      </c>
      <c r="D2574" s="2">
        <f>IFERROR(__xludf.DUMMYFUNCTION("""COMPUTED_VALUE"""),0.0014930555555555556)</f>
        <v>0.001493055556</v>
      </c>
      <c r="E2574" s="1">
        <f>IFERROR(__xludf.DUMMYFUNCTION("""COMPUTED_VALUE"""),1.09)</f>
        <v>1.09</v>
      </c>
      <c r="F2574" s="1">
        <f>IFERROR(__xludf.DUMMYFUNCTION("""COMPUTED_VALUE"""),3.92)</f>
        <v>3.92</v>
      </c>
      <c r="G2574" s="5">
        <f>IFERROR(__xludf.DUMMYFUNCTION("""COMPUTED_VALUE"""),9095.0)</f>
        <v>9095</v>
      </c>
      <c r="H2574" s="5">
        <f>IFERROR(__xludf.DUMMYFUNCTION("""COMPUTED_VALUE"""),2319.0)</f>
        <v>2319</v>
      </c>
    </row>
    <row r="2575">
      <c r="A2575" s="4">
        <f>IFERROR(__xludf.DUMMYFUNCTION("""COMPUTED_VALUE"""),44943.0)</f>
        <v>44943</v>
      </c>
      <c r="B2575" s="5">
        <f>IFERROR(__xludf.DUMMYFUNCTION("""COMPUTED_VALUE"""),2624.0)</f>
        <v>2624</v>
      </c>
      <c r="C2575" s="6">
        <f>IFERROR(__xludf.DUMMYFUNCTION("""COMPUTED_VALUE"""),0.4629)</f>
        <v>0.4629</v>
      </c>
      <c r="D2575" s="2">
        <f>IFERROR(__xludf.DUMMYFUNCTION("""COMPUTED_VALUE"""),0.0015393518518518519)</f>
        <v>0.001539351852</v>
      </c>
      <c r="E2575" s="1">
        <f>IFERROR(__xludf.DUMMYFUNCTION("""COMPUTED_VALUE"""),1.07)</f>
        <v>1.07</v>
      </c>
      <c r="F2575" s="1">
        <f>IFERROR(__xludf.DUMMYFUNCTION("""COMPUTED_VALUE"""),4.01)</f>
        <v>4.01</v>
      </c>
      <c r="G2575" s="5">
        <f>IFERROR(__xludf.DUMMYFUNCTION("""COMPUTED_VALUE"""),11317.0)</f>
        <v>11317</v>
      </c>
      <c r="H2575" s="5">
        <f>IFERROR(__xludf.DUMMYFUNCTION("""COMPUTED_VALUE"""),2819.0)</f>
        <v>2819</v>
      </c>
    </row>
    <row r="2576">
      <c r="A2576" s="4">
        <f>IFERROR(__xludf.DUMMYFUNCTION("""COMPUTED_VALUE"""),44944.0)</f>
        <v>44944</v>
      </c>
      <c r="B2576" s="5">
        <f>IFERROR(__xludf.DUMMYFUNCTION("""COMPUTED_VALUE"""),2624.0)</f>
        <v>2624</v>
      </c>
      <c r="C2576" s="6">
        <f>IFERROR(__xludf.DUMMYFUNCTION("""COMPUTED_VALUE"""),0.5437)</f>
        <v>0.5437</v>
      </c>
      <c r="D2576" s="2">
        <f>IFERROR(__xludf.DUMMYFUNCTION("""COMPUTED_VALUE"""),0.0022222222222222222)</f>
        <v>0.002222222222</v>
      </c>
      <c r="E2576" s="1">
        <f>IFERROR(__xludf.DUMMYFUNCTION("""COMPUTED_VALUE"""),1.09)</f>
        <v>1.09</v>
      </c>
      <c r="F2576" s="1">
        <f>IFERROR(__xludf.DUMMYFUNCTION("""COMPUTED_VALUE"""),3.42)</f>
        <v>3.42</v>
      </c>
      <c r="G2576" s="5">
        <f>IFERROR(__xludf.DUMMYFUNCTION("""COMPUTED_VALUE"""),9789.0)</f>
        <v>9789</v>
      </c>
      <c r="H2576" s="5">
        <f>IFERROR(__xludf.DUMMYFUNCTION("""COMPUTED_VALUE"""),2860.0)</f>
        <v>2860</v>
      </c>
    </row>
    <row r="2577">
      <c r="A2577" s="4">
        <f>IFERROR(__xludf.DUMMYFUNCTION("""COMPUTED_VALUE"""),44945.0)</f>
        <v>44945</v>
      </c>
      <c r="B2577" s="5">
        <f>IFERROR(__xludf.DUMMYFUNCTION("""COMPUTED_VALUE"""),2458.0)</f>
        <v>2458</v>
      </c>
      <c r="C2577" s="6">
        <f>IFERROR(__xludf.DUMMYFUNCTION("""COMPUTED_VALUE"""),0.4541)</f>
        <v>0.4541</v>
      </c>
      <c r="D2577" s="2">
        <f>IFERROR(__xludf.DUMMYFUNCTION("""COMPUTED_VALUE"""),0.002488425925925926)</f>
        <v>0.002488425926</v>
      </c>
      <c r="E2577" s="1">
        <f>IFERROR(__xludf.DUMMYFUNCTION("""COMPUTED_VALUE"""),1.11)</f>
        <v>1.11</v>
      </c>
      <c r="F2577" s="1">
        <f>IFERROR(__xludf.DUMMYFUNCTION("""COMPUTED_VALUE"""),5.01)</f>
        <v>5.01</v>
      </c>
      <c r="G2577" s="5">
        <f>IFERROR(__xludf.DUMMYFUNCTION("""COMPUTED_VALUE"""),13649.0)</f>
        <v>13649</v>
      </c>
      <c r="H2577" s="5">
        <f>IFERROR(__xludf.DUMMYFUNCTION("""COMPUTED_VALUE"""),2722.0)</f>
        <v>2722</v>
      </c>
    </row>
    <row r="2578">
      <c r="A2578" s="4">
        <f>IFERROR(__xludf.DUMMYFUNCTION("""COMPUTED_VALUE"""),44946.0)</f>
        <v>44946</v>
      </c>
      <c r="B2578" s="5">
        <f>IFERROR(__xludf.DUMMYFUNCTION("""COMPUTED_VALUE"""),2166.0)</f>
        <v>2166</v>
      </c>
      <c r="C2578" s="6">
        <f>IFERROR(__xludf.DUMMYFUNCTION("""COMPUTED_VALUE"""),0.4254)</f>
        <v>0.4254</v>
      </c>
      <c r="D2578" s="2">
        <f>IFERROR(__xludf.DUMMYFUNCTION("""COMPUTED_VALUE"""),0.0024074074074074076)</f>
        <v>0.002407407407</v>
      </c>
      <c r="E2578" s="1">
        <f>IFERROR(__xludf.DUMMYFUNCTION("""COMPUTED_VALUE"""),1.16)</f>
        <v>1.16</v>
      </c>
      <c r="F2578" s="1">
        <f>IFERROR(__xludf.DUMMYFUNCTION("""COMPUTED_VALUE"""),4.75)</f>
        <v>4.75</v>
      </c>
      <c r="G2578" s="5">
        <f>IFERROR(__xludf.DUMMYFUNCTION("""COMPUTED_VALUE"""),11941.0)</f>
        <v>11941</v>
      </c>
      <c r="H2578" s="5">
        <f>IFERROR(__xludf.DUMMYFUNCTION("""COMPUTED_VALUE"""),2513.0)</f>
        <v>2513</v>
      </c>
    </row>
    <row r="2579">
      <c r="A2579" s="4">
        <f>IFERROR(__xludf.DUMMYFUNCTION("""COMPUTED_VALUE"""),44947.0)</f>
        <v>44947</v>
      </c>
      <c r="B2579" s="5">
        <f>IFERROR(__xludf.DUMMYFUNCTION("""COMPUTED_VALUE"""),1347.0)</f>
        <v>1347</v>
      </c>
      <c r="C2579" s="6">
        <f>IFERROR(__xludf.DUMMYFUNCTION("""COMPUTED_VALUE"""),0.5357)</f>
        <v>0.5357</v>
      </c>
      <c r="D2579" s="2">
        <f>IFERROR(__xludf.DUMMYFUNCTION("""COMPUTED_VALUE"""),0.0018055555555555555)</f>
        <v>0.001805555556</v>
      </c>
      <c r="E2579" s="1">
        <f>IFERROR(__xludf.DUMMYFUNCTION("""COMPUTED_VALUE"""),1.15)</f>
        <v>1.15</v>
      </c>
      <c r="F2579" s="1">
        <f>IFERROR(__xludf.DUMMYFUNCTION("""COMPUTED_VALUE"""),3.21)</f>
        <v>3.21</v>
      </c>
      <c r="G2579" s="5">
        <f>IFERROR(__xludf.DUMMYFUNCTION("""COMPUTED_VALUE"""),4999.0)</f>
        <v>4999</v>
      </c>
      <c r="H2579" s="5">
        <f>IFERROR(__xludf.DUMMYFUNCTION("""COMPUTED_VALUE"""),1555.0)</f>
        <v>1555</v>
      </c>
    </row>
    <row r="2580">
      <c r="A2580" s="4">
        <f>IFERROR(__xludf.DUMMYFUNCTION("""COMPUTED_VALUE"""),44948.0)</f>
        <v>44948</v>
      </c>
      <c r="B2580" s="5">
        <f>IFERROR(__xludf.DUMMYFUNCTION("""COMPUTED_VALUE"""),1430.0)</f>
        <v>1430</v>
      </c>
      <c r="C2580" s="6">
        <f>IFERROR(__xludf.DUMMYFUNCTION("""COMPUTED_VALUE"""),0.5616)</f>
        <v>0.5616</v>
      </c>
      <c r="D2580" s="2">
        <f>IFERROR(__xludf.DUMMYFUNCTION("""COMPUTED_VALUE"""),0.0023148148148148147)</f>
        <v>0.002314814815</v>
      </c>
      <c r="E2580" s="1">
        <f>IFERROR(__xludf.DUMMYFUNCTION("""COMPUTED_VALUE"""),1.11)</f>
        <v>1.11</v>
      </c>
      <c r="F2580" s="1">
        <f>IFERROR(__xludf.DUMMYFUNCTION("""COMPUTED_VALUE"""),2.69)</f>
        <v>2.69</v>
      </c>
      <c r="G2580" s="5">
        <f>IFERROR(__xludf.DUMMYFUNCTION("""COMPUTED_VALUE"""),4263.0)</f>
        <v>4263</v>
      </c>
      <c r="H2580" s="5">
        <f>IFERROR(__xludf.DUMMYFUNCTION("""COMPUTED_VALUE"""),1583.0)</f>
        <v>1583</v>
      </c>
    </row>
    <row r="2581">
      <c r="A2581" s="4">
        <f>IFERROR(__xludf.DUMMYFUNCTION("""COMPUTED_VALUE"""),44949.0)</f>
        <v>44949</v>
      </c>
      <c r="B2581" s="5">
        <f>IFERROR(__xludf.DUMMYFUNCTION("""COMPUTED_VALUE"""),2236.0)</f>
        <v>2236</v>
      </c>
      <c r="C2581" s="6">
        <f>IFERROR(__xludf.DUMMYFUNCTION("""COMPUTED_VALUE"""),0.5262)</f>
        <v>0.5262</v>
      </c>
      <c r="D2581" s="2">
        <f>IFERROR(__xludf.DUMMYFUNCTION("""COMPUTED_VALUE"""),0.002013888888888889)</f>
        <v>0.002013888889</v>
      </c>
      <c r="E2581" s="1">
        <f>IFERROR(__xludf.DUMMYFUNCTION("""COMPUTED_VALUE"""),1.07)</f>
        <v>1.07</v>
      </c>
      <c r="F2581" s="1">
        <f>IFERROR(__xludf.DUMMYFUNCTION("""COMPUTED_VALUE"""),4.01)</f>
        <v>4.01</v>
      </c>
      <c r="G2581" s="5">
        <f>IFERROR(__xludf.DUMMYFUNCTION("""COMPUTED_VALUE"""),9636.0)</f>
        <v>9636</v>
      </c>
      <c r="H2581" s="5">
        <f>IFERROR(__xludf.DUMMYFUNCTION("""COMPUTED_VALUE"""),2402.0)</f>
        <v>2402</v>
      </c>
    </row>
    <row r="2582">
      <c r="A2582" s="4">
        <f>IFERROR(__xludf.DUMMYFUNCTION("""COMPUTED_VALUE"""),44950.0)</f>
        <v>44950</v>
      </c>
      <c r="B2582" s="5">
        <f>IFERROR(__xludf.DUMMYFUNCTION("""COMPUTED_VALUE"""),2222.0)</f>
        <v>2222</v>
      </c>
      <c r="C2582" s="6">
        <f>IFERROR(__xludf.DUMMYFUNCTION("""COMPUTED_VALUE"""),0.4309)</f>
        <v>0.4309</v>
      </c>
      <c r="D2582" s="2">
        <f>IFERROR(__xludf.DUMMYFUNCTION("""COMPUTED_VALUE"""),0.0019444444444444444)</f>
        <v>0.001944444444</v>
      </c>
      <c r="E2582" s="1">
        <f>IFERROR(__xludf.DUMMYFUNCTION("""COMPUTED_VALUE"""),1.09)</f>
        <v>1.09</v>
      </c>
      <c r="F2582" s="1">
        <f>IFERROR(__xludf.DUMMYFUNCTION("""COMPUTED_VALUE"""),4.16)</f>
        <v>4.16</v>
      </c>
      <c r="G2582" s="5">
        <f>IFERROR(__xludf.DUMMYFUNCTION("""COMPUTED_VALUE"""),10053.0)</f>
        <v>10053</v>
      </c>
      <c r="H2582" s="5">
        <f>IFERROR(__xludf.DUMMYFUNCTION("""COMPUTED_VALUE"""),2416.0)</f>
        <v>2416</v>
      </c>
    </row>
    <row r="2583">
      <c r="A2583" s="4">
        <f>IFERROR(__xludf.DUMMYFUNCTION("""COMPUTED_VALUE"""),44951.0)</f>
        <v>44951</v>
      </c>
      <c r="B2583" s="5">
        <f>IFERROR(__xludf.DUMMYFUNCTION("""COMPUTED_VALUE"""),2083.0)</f>
        <v>2083</v>
      </c>
      <c r="C2583" s="6">
        <f>IFERROR(__xludf.DUMMYFUNCTION("""COMPUTED_VALUE"""),0.4503)</f>
        <v>0.4503</v>
      </c>
      <c r="D2583" s="2">
        <f>IFERROR(__xludf.DUMMYFUNCTION("""COMPUTED_VALUE"""),0.0017708333333333332)</f>
        <v>0.001770833333</v>
      </c>
      <c r="E2583" s="1">
        <f>IFERROR(__xludf.DUMMYFUNCTION("""COMPUTED_VALUE"""),1.14)</f>
        <v>1.14</v>
      </c>
      <c r="F2583" s="1">
        <f>IFERROR(__xludf.DUMMYFUNCTION("""COMPUTED_VALUE"""),3.64)</f>
        <v>3.64</v>
      </c>
      <c r="G2583" s="5">
        <f>IFERROR(__xludf.DUMMYFUNCTION("""COMPUTED_VALUE"""),8651.0)</f>
        <v>8651</v>
      </c>
      <c r="H2583" s="5">
        <f>IFERROR(__xludf.DUMMYFUNCTION("""COMPUTED_VALUE"""),2374.0)</f>
        <v>2374</v>
      </c>
    </row>
    <row r="2584">
      <c r="A2584" s="4">
        <f>IFERROR(__xludf.DUMMYFUNCTION("""COMPUTED_VALUE"""),44952.0)</f>
        <v>44952</v>
      </c>
      <c r="B2584" s="5">
        <f>IFERROR(__xludf.DUMMYFUNCTION("""COMPUTED_VALUE"""),2277.0)</f>
        <v>2277</v>
      </c>
      <c r="C2584" s="6">
        <f>IFERROR(__xludf.DUMMYFUNCTION("""COMPUTED_VALUE"""),0.4558)</f>
        <v>0.4558</v>
      </c>
      <c r="D2584" s="2">
        <f>IFERROR(__xludf.DUMMYFUNCTION("""COMPUTED_VALUE"""),0.0022800925925925927)</f>
        <v>0.002280092593</v>
      </c>
      <c r="E2584" s="1">
        <f>IFERROR(__xludf.DUMMYFUNCTION("""COMPUTED_VALUE"""),1.1)</f>
        <v>1.1</v>
      </c>
      <c r="F2584" s="1">
        <f>IFERROR(__xludf.DUMMYFUNCTION("""COMPUTED_VALUE"""),4.19)</f>
        <v>4.19</v>
      </c>
      <c r="G2584" s="5">
        <f>IFERROR(__xludf.DUMMYFUNCTION("""COMPUTED_VALUE"""),10470.0)</f>
        <v>10470</v>
      </c>
      <c r="H2584" s="5">
        <f>IFERROR(__xludf.DUMMYFUNCTION("""COMPUTED_VALUE"""),2499.0)</f>
        <v>2499</v>
      </c>
    </row>
    <row r="2585">
      <c r="A2585" s="4">
        <f>IFERROR(__xludf.DUMMYFUNCTION("""COMPUTED_VALUE"""),44953.0)</f>
        <v>44953</v>
      </c>
      <c r="B2585" s="5">
        <f>IFERROR(__xludf.DUMMYFUNCTION("""COMPUTED_VALUE"""),1847.0)</f>
        <v>1847</v>
      </c>
      <c r="C2585" s="6">
        <f>IFERROR(__xludf.DUMMYFUNCTION("""COMPUTED_VALUE"""),0.4508)</f>
        <v>0.4508</v>
      </c>
      <c r="D2585" s="2">
        <f>IFERROR(__xludf.DUMMYFUNCTION("""COMPUTED_VALUE"""),0.002037037037037037)</f>
        <v>0.002037037037</v>
      </c>
      <c r="E2585" s="1">
        <f>IFERROR(__xludf.DUMMYFUNCTION("""COMPUTED_VALUE"""),1.07)</f>
        <v>1.07</v>
      </c>
      <c r="F2585" s="1">
        <f>IFERROR(__xludf.DUMMYFUNCTION("""COMPUTED_VALUE"""),3.81)</f>
        <v>3.81</v>
      </c>
      <c r="G2585" s="5">
        <f>IFERROR(__xludf.DUMMYFUNCTION("""COMPUTED_VALUE"""),7512.0)</f>
        <v>7512</v>
      </c>
      <c r="H2585" s="5">
        <f>IFERROR(__xludf.DUMMYFUNCTION("""COMPUTED_VALUE"""),1972.0)</f>
        <v>1972</v>
      </c>
    </row>
    <row r="2586">
      <c r="A2586" s="4">
        <f>IFERROR(__xludf.DUMMYFUNCTION("""COMPUTED_VALUE"""),44954.0)</f>
        <v>44954</v>
      </c>
      <c r="B2586" s="5">
        <f>IFERROR(__xludf.DUMMYFUNCTION("""COMPUTED_VALUE"""),1305.0)</f>
        <v>1305</v>
      </c>
      <c r="C2586" s="6">
        <f>IFERROR(__xludf.DUMMYFUNCTION("""COMPUTED_VALUE"""),0.5784)</f>
        <v>0.5784</v>
      </c>
      <c r="D2586" s="2">
        <f>IFERROR(__xludf.DUMMYFUNCTION("""COMPUTED_VALUE"""),0.0013657407407407407)</f>
        <v>0.001365740741</v>
      </c>
      <c r="E2586" s="1">
        <f>IFERROR(__xludf.DUMMYFUNCTION("""COMPUTED_VALUE"""),1.09)</f>
        <v>1.09</v>
      </c>
      <c r="F2586" s="1">
        <f>IFERROR(__xludf.DUMMYFUNCTION("""COMPUTED_VALUE"""),3.43)</f>
        <v>3.43</v>
      </c>
      <c r="G2586" s="5">
        <f>IFERROR(__xludf.DUMMYFUNCTION("""COMPUTED_VALUE"""),4860.0)</f>
        <v>4860</v>
      </c>
      <c r="H2586" s="5">
        <f>IFERROR(__xludf.DUMMYFUNCTION("""COMPUTED_VALUE"""),1416.0)</f>
        <v>1416</v>
      </c>
    </row>
    <row r="2587">
      <c r="A2587" s="4">
        <f>IFERROR(__xludf.DUMMYFUNCTION("""COMPUTED_VALUE"""),44955.0)</f>
        <v>44955</v>
      </c>
      <c r="B2587" s="5">
        <f>IFERROR(__xludf.DUMMYFUNCTION("""COMPUTED_VALUE"""),1361.0)</f>
        <v>1361</v>
      </c>
      <c r="C2587" s="6">
        <f>IFERROR(__xludf.DUMMYFUNCTION("""COMPUTED_VALUE"""),0.5642)</f>
        <v>0.5642</v>
      </c>
      <c r="D2587" s="2">
        <f>IFERROR(__xludf.DUMMYFUNCTION("""COMPUTED_VALUE"""),0.0012037037037037038)</f>
        <v>0.001203703704</v>
      </c>
      <c r="E2587" s="1">
        <f>IFERROR(__xludf.DUMMYFUNCTION("""COMPUTED_VALUE"""),1.03)</f>
        <v>1.03</v>
      </c>
      <c r="F2587" s="1">
        <f>IFERROR(__xludf.DUMMYFUNCTION("""COMPUTED_VALUE"""),2.85)</f>
        <v>2.85</v>
      </c>
      <c r="G2587" s="5">
        <f>IFERROR(__xludf.DUMMYFUNCTION("""COMPUTED_VALUE"""),3999.0)</f>
        <v>3999</v>
      </c>
      <c r="H2587" s="5">
        <f>IFERROR(__xludf.DUMMYFUNCTION("""COMPUTED_VALUE"""),1402.0)</f>
        <v>1402</v>
      </c>
    </row>
    <row r="2588">
      <c r="A2588" s="4">
        <f>IFERROR(__xludf.DUMMYFUNCTION("""COMPUTED_VALUE"""),44956.0)</f>
        <v>44956</v>
      </c>
      <c r="B2588" s="5">
        <f>IFERROR(__xludf.DUMMYFUNCTION("""COMPUTED_VALUE"""),2333.0)</f>
        <v>2333</v>
      </c>
      <c r="C2588" s="6">
        <f>IFERROR(__xludf.DUMMYFUNCTION("""COMPUTED_VALUE"""),0.4699)</f>
        <v>0.4699</v>
      </c>
      <c r="D2588" s="2">
        <f>IFERROR(__xludf.DUMMYFUNCTION("""COMPUTED_VALUE"""),0.001875)</f>
        <v>0.001875</v>
      </c>
      <c r="E2588" s="1">
        <f>IFERROR(__xludf.DUMMYFUNCTION("""COMPUTED_VALUE"""),1.09)</f>
        <v>1.09</v>
      </c>
      <c r="F2588" s="1">
        <f>IFERROR(__xludf.DUMMYFUNCTION("""COMPUTED_VALUE"""),4.68)</f>
        <v>4.68</v>
      </c>
      <c r="G2588" s="5">
        <f>IFERROR(__xludf.DUMMYFUNCTION("""COMPUTED_VALUE"""),11886.0)</f>
        <v>11886</v>
      </c>
      <c r="H2588" s="5">
        <f>IFERROR(__xludf.DUMMYFUNCTION("""COMPUTED_VALUE"""),2541.0)</f>
        <v>2541</v>
      </c>
    </row>
    <row r="2589">
      <c r="A2589" s="4">
        <f>IFERROR(__xludf.DUMMYFUNCTION("""COMPUTED_VALUE"""),44957.0)</f>
        <v>44957</v>
      </c>
      <c r="B2589" s="5">
        <f>IFERROR(__xludf.DUMMYFUNCTION("""COMPUTED_VALUE"""),2763.0)</f>
        <v>2763</v>
      </c>
      <c r="C2589" s="6">
        <f>IFERROR(__xludf.DUMMYFUNCTION("""COMPUTED_VALUE"""),0.4932)</f>
        <v>0.4932</v>
      </c>
      <c r="D2589" s="2">
        <f>IFERROR(__xludf.DUMMYFUNCTION("""COMPUTED_VALUE"""),0.0022222222222222222)</f>
        <v>0.002222222222</v>
      </c>
      <c r="E2589" s="1">
        <f>IFERROR(__xludf.DUMMYFUNCTION("""COMPUTED_VALUE"""),1.12)</f>
        <v>1.12</v>
      </c>
      <c r="F2589" s="1">
        <f>IFERROR(__xludf.DUMMYFUNCTION("""COMPUTED_VALUE"""),3.71)</f>
        <v>3.71</v>
      </c>
      <c r="G2589" s="5">
        <f>IFERROR(__xludf.DUMMYFUNCTION("""COMPUTED_VALUE"""),11497.0)</f>
        <v>11497</v>
      </c>
      <c r="H2589" s="5">
        <f>IFERROR(__xludf.DUMMYFUNCTION("""COMPUTED_VALUE"""),3096.0)</f>
        <v>3096</v>
      </c>
    </row>
    <row r="2590">
      <c r="A2590" s="4">
        <f>IFERROR(__xludf.DUMMYFUNCTION("""COMPUTED_VALUE"""),44958.0)</f>
        <v>44958</v>
      </c>
      <c r="B2590" s="5">
        <f>IFERROR(__xludf.DUMMYFUNCTION("""COMPUTED_VALUE"""),2638.0)</f>
        <v>2638</v>
      </c>
      <c r="C2590" s="6">
        <f>IFERROR(__xludf.DUMMYFUNCTION("""COMPUTED_VALUE"""),0.5362)</f>
        <v>0.5362</v>
      </c>
      <c r="D2590" s="2">
        <f>IFERROR(__xludf.DUMMYFUNCTION("""COMPUTED_VALUE"""),0.0015625)</f>
        <v>0.0015625</v>
      </c>
      <c r="E2590" s="1">
        <f>IFERROR(__xludf.DUMMYFUNCTION("""COMPUTED_VALUE"""),1.09)</f>
        <v>1.09</v>
      </c>
      <c r="F2590" s="1">
        <f>IFERROR(__xludf.DUMMYFUNCTION("""COMPUTED_VALUE"""),3.5)</f>
        <v>3.5</v>
      </c>
      <c r="G2590" s="5">
        <f>IFERROR(__xludf.DUMMYFUNCTION("""COMPUTED_VALUE"""),10053.0)</f>
        <v>10053</v>
      </c>
      <c r="H2590" s="5">
        <f>IFERROR(__xludf.DUMMYFUNCTION("""COMPUTED_VALUE"""),2874.0)</f>
        <v>2874</v>
      </c>
    </row>
    <row r="2591">
      <c r="A2591" s="4">
        <f>IFERROR(__xludf.DUMMYFUNCTION("""COMPUTED_VALUE"""),44959.0)</f>
        <v>44959</v>
      </c>
      <c r="B2591" s="5">
        <f>IFERROR(__xludf.DUMMYFUNCTION("""COMPUTED_VALUE"""),2527.0)</f>
        <v>2527</v>
      </c>
      <c r="C2591" s="6">
        <f>IFERROR(__xludf.DUMMYFUNCTION("""COMPUTED_VALUE"""),0.4901)</f>
        <v>0.4901</v>
      </c>
      <c r="D2591" s="2">
        <f>IFERROR(__xludf.DUMMYFUNCTION("""COMPUTED_VALUE"""),0.0018402777777777777)</f>
        <v>0.001840277778</v>
      </c>
      <c r="E2591" s="1">
        <f>IFERROR(__xludf.DUMMYFUNCTION("""COMPUTED_VALUE"""),1.1)</f>
        <v>1.1</v>
      </c>
      <c r="F2591" s="1">
        <f>IFERROR(__xludf.DUMMYFUNCTION("""COMPUTED_VALUE"""),4.07)</f>
        <v>4.07</v>
      </c>
      <c r="G2591" s="5">
        <f>IFERROR(__xludf.DUMMYFUNCTION("""COMPUTED_VALUE"""),11303.0)</f>
        <v>11303</v>
      </c>
      <c r="H2591" s="5">
        <f>IFERROR(__xludf.DUMMYFUNCTION("""COMPUTED_VALUE"""),2777.0)</f>
        <v>2777</v>
      </c>
    </row>
    <row r="2592">
      <c r="A2592" s="4">
        <f>IFERROR(__xludf.DUMMYFUNCTION("""COMPUTED_VALUE"""),44960.0)</f>
        <v>44960</v>
      </c>
      <c r="B2592" s="5">
        <f>IFERROR(__xludf.DUMMYFUNCTION("""COMPUTED_VALUE"""),2027.0)</f>
        <v>2027</v>
      </c>
      <c r="C2592" s="6">
        <f>IFERROR(__xludf.DUMMYFUNCTION("""COMPUTED_VALUE"""),0.4453)</f>
        <v>0.4453</v>
      </c>
      <c r="D2592" s="2">
        <f>IFERROR(__xludf.DUMMYFUNCTION("""COMPUTED_VALUE"""),0.0019560185185185184)</f>
        <v>0.001956018519</v>
      </c>
      <c r="E2592" s="1">
        <f>IFERROR(__xludf.DUMMYFUNCTION("""COMPUTED_VALUE"""),1.12)</f>
        <v>1.12</v>
      </c>
      <c r="F2592" s="1">
        <f>IFERROR(__xludf.DUMMYFUNCTION("""COMPUTED_VALUE"""),3.67)</f>
        <v>3.67</v>
      </c>
      <c r="G2592" s="5">
        <f>IFERROR(__xludf.DUMMYFUNCTION("""COMPUTED_VALUE"""),8359.0)</f>
        <v>8359</v>
      </c>
      <c r="H2592" s="5">
        <f>IFERROR(__xludf.DUMMYFUNCTION("""COMPUTED_VALUE"""),2277.0)</f>
        <v>2277</v>
      </c>
    </row>
    <row r="2593">
      <c r="A2593" s="4">
        <f>IFERROR(__xludf.DUMMYFUNCTION("""COMPUTED_VALUE"""),44961.0)</f>
        <v>44961</v>
      </c>
      <c r="B2593" s="5">
        <f>IFERROR(__xludf.DUMMYFUNCTION("""COMPUTED_VALUE"""),1680.0)</f>
        <v>1680</v>
      </c>
      <c r="C2593" s="6">
        <f>IFERROR(__xludf.DUMMYFUNCTION("""COMPUTED_VALUE"""),0.5599)</f>
        <v>0.5599</v>
      </c>
      <c r="D2593" s="2">
        <f>IFERROR(__xludf.DUMMYFUNCTION("""COMPUTED_VALUE"""),0.0014467592592592592)</f>
        <v>0.001446759259</v>
      </c>
      <c r="E2593" s="1">
        <f>IFERROR(__xludf.DUMMYFUNCTION("""COMPUTED_VALUE"""),1.03)</f>
        <v>1.03</v>
      </c>
      <c r="F2593" s="1">
        <f>IFERROR(__xludf.DUMMYFUNCTION("""COMPUTED_VALUE"""),3.2)</f>
        <v>3.2</v>
      </c>
      <c r="G2593" s="5">
        <f>IFERROR(__xludf.DUMMYFUNCTION("""COMPUTED_VALUE"""),5554.0)</f>
        <v>5554</v>
      </c>
      <c r="H2593" s="5">
        <f>IFERROR(__xludf.DUMMYFUNCTION("""COMPUTED_VALUE"""),1736.0)</f>
        <v>1736</v>
      </c>
    </row>
    <row r="2594">
      <c r="A2594" s="4">
        <f>IFERROR(__xludf.DUMMYFUNCTION("""COMPUTED_VALUE"""),44962.0)</f>
        <v>44962</v>
      </c>
      <c r="B2594" s="5">
        <f>IFERROR(__xludf.DUMMYFUNCTION("""COMPUTED_VALUE"""),1777.0)</f>
        <v>1777</v>
      </c>
      <c r="C2594" s="6">
        <f>IFERROR(__xludf.DUMMYFUNCTION("""COMPUTED_VALUE"""),0.5908)</f>
        <v>0.5908</v>
      </c>
      <c r="D2594" s="2">
        <f>IFERROR(__xludf.DUMMYFUNCTION("""COMPUTED_VALUE"""),0.0013425925925925925)</f>
        <v>0.001342592593</v>
      </c>
      <c r="E2594" s="1">
        <f>IFERROR(__xludf.DUMMYFUNCTION("""COMPUTED_VALUE"""),1.03)</f>
        <v>1.03</v>
      </c>
      <c r="F2594" s="1">
        <f>IFERROR(__xludf.DUMMYFUNCTION("""COMPUTED_VALUE"""),2.86)</f>
        <v>2.86</v>
      </c>
      <c r="G2594" s="5">
        <f>IFERROR(__xludf.DUMMYFUNCTION("""COMPUTED_VALUE"""),5249.0)</f>
        <v>5249</v>
      </c>
      <c r="H2594" s="5">
        <f>IFERROR(__xludf.DUMMYFUNCTION("""COMPUTED_VALUE"""),1833.0)</f>
        <v>1833</v>
      </c>
    </row>
    <row r="2595">
      <c r="A2595" s="4">
        <f>IFERROR(__xludf.DUMMYFUNCTION("""COMPUTED_VALUE"""),44963.0)</f>
        <v>44963</v>
      </c>
      <c r="B2595" s="5">
        <f>IFERROR(__xludf.DUMMYFUNCTION("""COMPUTED_VALUE"""),2527.0)</f>
        <v>2527</v>
      </c>
      <c r="C2595" s="6">
        <f>IFERROR(__xludf.DUMMYFUNCTION("""COMPUTED_VALUE"""),0.4652)</f>
        <v>0.4652</v>
      </c>
      <c r="D2595" s="2">
        <f>IFERROR(__xludf.DUMMYFUNCTION("""COMPUTED_VALUE"""),0.0021180555555555558)</f>
        <v>0.002118055556</v>
      </c>
      <c r="E2595" s="1">
        <f>IFERROR(__xludf.DUMMYFUNCTION("""COMPUTED_VALUE"""),1.11)</f>
        <v>1.11</v>
      </c>
      <c r="F2595" s="1">
        <f>IFERROR(__xludf.DUMMYFUNCTION("""COMPUTED_VALUE"""),4.09)</f>
        <v>4.09</v>
      </c>
      <c r="G2595" s="5">
        <f>IFERROR(__xludf.DUMMYFUNCTION("""COMPUTED_VALUE"""),11469.0)</f>
        <v>11469</v>
      </c>
      <c r="H2595" s="5">
        <f>IFERROR(__xludf.DUMMYFUNCTION("""COMPUTED_VALUE"""),2805.0)</f>
        <v>2805</v>
      </c>
    </row>
    <row r="2596">
      <c r="A2596" s="4">
        <f>IFERROR(__xludf.DUMMYFUNCTION("""COMPUTED_VALUE"""),44964.0)</f>
        <v>44964</v>
      </c>
      <c r="B2596" s="5">
        <f>IFERROR(__xludf.DUMMYFUNCTION("""COMPUTED_VALUE"""),2777.0)</f>
        <v>2777</v>
      </c>
      <c r="C2596" s="6">
        <f>IFERROR(__xludf.DUMMYFUNCTION("""COMPUTED_VALUE"""),0.5298)</f>
        <v>0.5298</v>
      </c>
      <c r="D2596" s="2">
        <f>IFERROR(__xludf.DUMMYFUNCTION("""COMPUTED_VALUE"""),0.0012268518518518518)</f>
        <v>0.001226851852</v>
      </c>
      <c r="E2596" s="1">
        <f>IFERROR(__xludf.DUMMYFUNCTION("""COMPUTED_VALUE"""),1.1)</f>
        <v>1.1</v>
      </c>
      <c r="F2596" s="1">
        <f>IFERROR(__xludf.DUMMYFUNCTION("""COMPUTED_VALUE"""),3.65)</f>
        <v>3.65</v>
      </c>
      <c r="G2596" s="5">
        <f>IFERROR(__xludf.DUMMYFUNCTION("""COMPUTED_VALUE"""),11094.0)</f>
        <v>11094</v>
      </c>
      <c r="H2596" s="5">
        <f>IFERROR(__xludf.DUMMYFUNCTION("""COMPUTED_VALUE"""),3041.0)</f>
        <v>3041</v>
      </c>
    </row>
    <row r="2597">
      <c r="A2597" s="4">
        <f>IFERROR(__xludf.DUMMYFUNCTION("""COMPUTED_VALUE"""),44965.0)</f>
        <v>44965</v>
      </c>
      <c r="B2597" s="5">
        <f>IFERROR(__xludf.DUMMYFUNCTION("""COMPUTED_VALUE"""),2388.0)</f>
        <v>2388</v>
      </c>
      <c r="C2597" s="6">
        <f>IFERROR(__xludf.DUMMYFUNCTION("""COMPUTED_VALUE"""),0.4696)</f>
        <v>0.4696</v>
      </c>
      <c r="D2597" s="2">
        <f>IFERROR(__xludf.DUMMYFUNCTION("""COMPUTED_VALUE"""),0.0024652777777777776)</f>
        <v>0.002465277778</v>
      </c>
      <c r="E2597" s="1">
        <f>IFERROR(__xludf.DUMMYFUNCTION("""COMPUTED_VALUE"""),1.15)</f>
        <v>1.15</v>
      </c>
      <c r="F2597" s="1">
        <f>IFERROR(__xludf.DUMMYFUNCTION("""COMPUTED_VALUE"""),3.91)</f>
        <v>3.91</v>
      </c>
      <c r="G2597" s="5">
        <f>IFERROR(__xludf.DUMMYFUNCTION("""COMPUTED_VALUE"""),10761.0)</f>
        <v>10761</v>
      </c>
      <c r="H2597" s="5">
        <f>IFERROR(__xludf.DUMMYFUNCTION("""COMPUTED_VALUE"""),2749.0)</f>
        <v>2749</v>
      </c>
    </row>
    <row r="2598">
      <c r="A2598" s="4">
        <f>IFERROR(__xludf.DUMMYFUNCTION("""COMPUTED_VALUE"""),44966.0)</f>
        <v>44966</v>
      </c>
      <c r="B2598" s="5">
        <f>IFERROR(__xludf.DUMMYFUNCTION("""COMPUTED_VALUE"""),2610.0)</f>
        <v>2610</v>
      </c>
      <c r="C2598" s="6">
        <f>IFERROR(__xludf.DUMMYFUNCTION("""COMPUTED_VALUE"""),0.4879)</f>
        <v>0.4879</v>
      </c>
      <c r="D2598" s="2">
        <f>IFERROR(__xludf.DUMMYFUNCTION("""COMPUTED_VALUE"""),0.001851851851851852)</f>
        <v>0.001851851852</v>
      </c>
      <c r="E2598" s="1">
        <f>IFERROR(__xludf.DUMMYFUNCTION("""COMPUTED_VALUE"""),1.09)</f>
        <v>1.09</v>
      </c>
      <c r="F2598" s="1">
        <f>IFERROR(__xludf.DUMMYFUNCTION("""COMPUTED_VALUE"""),3.38)</f>
        <v>3.38</v>
      </c>
      <c r="G2598" s="5">
        <f>IFERROR(__xludf.DUMMYFUNCTION("""COMPUTED_VALUE"""),9609.0)</f>
        <v>9609</v>
      </c>
      <c r="H2598" s="5">
        <f>IFERROR(__xludf.DUMMYFUNCTION("""COMPUTED_VALUE"""),2847.0)</f>
        <v>2847</v>
      </c>
    </row>
    <row r="2599">
      <c r="A2599" s="4">
        <f>IFERROR(__xludf.DUMMYFUNCTION("""COMPUTED_VALUE"""),44967.0)</f>
        <v>44967</v>
      </c>
      <c r="B2599" s="5">
        <f>IFERROR(__xludf.DUMMYFUNCTION("""COMPUTED_VALUE"""),2138.0)</f>
        <v>2138</v>
      </c>
      <c r="C2599" s="6">
        <f>IFERROR(__xludf.DUMMYFUNCTION("""COMPUTED_VALUE"""),0.5059)</f>
        <v>0.5059</v>
      </c>
      <c r="D2599" s="2">
        <f>IFERROR(__xludf.DUMMYFUNCTION("""COMPUTED_VALUE"""),0.0018171296296296297)</f>
        <v>0.00181712963</v>
      </c>
      <c r="E2599" s="1">
        <f>IFERROR(__xludf.DUMMYFUNCTION("""COMPUTED_VALUE"""),1.12)</f>
        <v>1.12</v>
      </c>
      <c r="F2599" s="1">
        <f>IFERROR(__xludf.DUMMYFUNCTION("""COMPUTED_VALUE"""),3.99)</f>
        <v>3.99</v>
      </c>
      <c r="G2599" s="5">
        <f>IFERROR(__xludf.DUMMYFUNCTION("""COMPUTED_VALUE"""),9525.0)</f>
        <v>9525</v>
      </c>
      <c r="H2599" s="5">
        <f>IFERROR(__xludf.DUMMYFUNCTION("""COMPUTED_VALUE"""),2388.0)</f>
        <v>2388</v>
      </c>
    </row>
    <row r="2600">
      <c r="A2600" s="4">
        <f>IFERROR(__xludf.DUMMYFUNCTION("""COMPUTED_VALUE"""),44968.0)</f>
        <v>44968</v>
      </c>
      <c r="B2600" s="5">
        <f>IFERROR(__xludf.DUMMYFUNCTION("""COMPUTED_VALUE"""),1361.0)</f>
        <v>1361</v>
      </c>
      <c r="C2600" s="6">
        <f>IFERROR(__xludf.DUMMYFUNCTION("""COMPUTED_VALUE"""),0.5944)</f>
        <v>0.5944</v>
      </c>
      <c r="D2600" s="2">
        <f>IFERROR(__xludf.DUMMYFUNCTION("""COMPUTED_VALUE"""),0.001724537037037037)</f>
        <v>0.001724537037</v>
      </c>
      <c r="E2600" s="1">
        <f>IFERROR(__xludf.DUMMYFUNCTION("""COMPUTED_VALUE"""),1.08)</f>
        <v>1.08</v>
      </c>
      <c r="F2600" s="1">
        <f>IFERROR(__xludf.DUMMYFUNCTION("""COMPUTED_VALUE"""),3.13)</f>
        <v>3.13</v>
      </c>
      <c r="G2600" s="5">
        <f>IFERROR(__xludf.DUMMYFUNCTION("""COMPUTED_VALUE"""),4610.0)</f>
        <v>4610</v>
      </c>
      <c r="H2600" s="5">
        <f>IFERROR(__xludf.DUMMYFUNCTION("""COMPUTED_VALUE"""),1472.0)</f>
        <v>1472</v>
      </c>
    </row>
    <row r="2601">
      <c r="A2601" s="4">
        <f>IFERROR(__xludf.DUMMYFUNCTION("""COMPUTED_VALUE"""),44969.0)</f>
        <v>44969</v>
      </c>
      <c r="B2601" s="5">
        <f>IFERROR(__xludf.DUMMYFUNCTION("""COMPUTED_VALUE"""),1375.0)</f>
        <v>1375</v>
      </c>
      <c r="C2601" s="6">
        <f>IFERROR(__xludf.DUMMYFUNCTION("""COMPUTED_VALUE"""),0.5041)</f>
        <v>0.5041</v>
      </c>
      <c r="D2601" s="2">
        <f>IFERROR(__xludf.DUMMYFUNCTION("""COMPUTED_VALUE"""),0.0018171296296296297)</f>
        <v>0.00181712963</v>
      </c>
      <c r="E2601" s="1">
        <f>IFERROR(__xludf.DUMMYFUNCTION("""COMPUTED_VALUE"""),1.14)</f>
        <v>1.14</v>
      </c>
      <c r="F2601" s="1">
        <f>IFERROR(__xludf.DUMMYFUNCTION("""COMPUTED_VALUE"""),3.5)</f>
        <v>3.5</v>
      </c>
      <c r="G2601" s="5">
        <f>IFERROR(__xludf.DUMMYFUNCTION("""COMPUTED_VALUE"""),5485.0)</f>
        <v>5485</v>
      </c>
      <c r="H2601" s="5">
        <f>IFERROR(__xludf.DUMMYFUNCTION("""COMPUTED_VALUE"""),1569.0)</f>
        <v>1569</v>
      </c>
    </row>
    <row r="2602">
      <c r="A2602" s="4">
        <f>IFERROR(__xludf.DUMMYFUNCTION("""COMPUTED_VALUE"""),44970.0)</f>
        <v>44970</v>
      </c>
      <c r="B2602" s="5">
        <f>IFERROR(__xludf.DUMMYFUNCTION("""COMPUTED_VALUE"""),2291.0)</f>
        <v>2291</v>
      </c>
      <c r="C2602" s="6">
        <f>IFERROR(__xludf.DUMMYFUNCTION("""COMPUTED_VALUE"""),0.4045)</f>
        <v>0.4045</v>
      </c>
      <c r="D2602" s="2">
        <f>IFERROR(__xludf.DUMMYFUNCTION("""COMPUTED_VALUE"""),0.002488425925925926)</f>
        <v>0.002488425926</v>
      </c>
      <c r="E2602" s="1">
        <f>IFERROR(__xludf.DUMMYFUNCTION("""COMPUTED_VALUE"""),1.08)</f>
        <v>1.08</v>
      </c>
      <c r="F2602" s="1">
        <f>IFERROR(__xludf.DUMMYFUNCTION("""COMPUTED_VALUE"""),4.21)</f>
        <v>4.21</v>
      </c>
      <c r="G2602" s="5">
        <f>IFERROR(__xludf.DUMMYFUNCTION("""COMPUTED_VALUE"""),10400.0)</f>
        <v>10400</v>
      </c>
      <c r="H2602" s="5">
        <f>IFERROR(__xludf.DUMMYFUNCTION("""COMPUTED_VALUE"""),2472.0)</f>
        <v>2472</v>
      </c>
    </row>
    <row r="2603">
      <c r="A2603" s="4">
        <f>IFERROR(__xludf.DUMMYFUNCTION("""COMPUTED_VALUE"""),44971.0)</f>
        <v>44971</v>
      </c>
      <c r="B2603" s="5">
        <f>IFERROR(__xludf.DUMMYFUNCTION("""COMPUTED_VALUE"""),2041.0)</f>
        <v>2041</v>
      </c>
      <c r="C2603" s="6">
        <f>IFERROR(__xludf.DUMMYFUNCTION("""COMPUTED_VALUE"""),0.4295)</f>
        <v>0.4295</v>
      </c>
      <c r="D2603" s="2">
        <f>IFERROR(__xludf.DUMMYFUNCTION("""COMPUTED_VALUE"""),0.003472222222222222)</f>
        <v>0.003472222222</v>
      </c>
      <c r="E2603" s="1">
        <f>IFERROR(__xludf.DUMMYFUNCTION("""COMPUTED_VALUE"""),1.11)</f>
        <v>1.11</v>
      </c>
      <c r="F2603" s="1">
        <f>IFERROR(__xludf.DUMMYFUNCTION("""COMPUTED_VALUE"""),5.52)</f>
        <v>5.52</v>
      </c>
      <c r="G2603" s="5">
        <f>IFERROR(__xludf.DUMMYFUNCTION("""COMPUTED_VALUE"""),12483.0)</f>
        <v>12483</v>
      </c>
      <c r="H2603" s="5">
        <f>IFERROR(__xludf.DUMMYFUNCTION("""COMPUTED_VALUE"""),2263.0)</f>
        <v>2263</v>
      </c>
    </row>
    <row r="2604">
      <c r="A2604" s="4">
        <f>IFERROR(__xludf.DUMMYFUNCTION("""COMPUTED_VALUE"""),44972.0)</f>
        <v>44972</v>
      </c>
      <c r="B2604" s="5">
        <f>IFERROR(__xludf.DUMMYFUNCTION("""COMPUTED_VALUE"""),2388.0)</f>
        <v>2388</v>
      </c>
      <c r="C2604" s="6">
        <f>IFERROR(__xludf.DUMMYFUNCTION("""COMPUTED_VALUE"""),0.4731)</f>
        <v>0.4731</v>
      </c>
      <c r="D2604" s="2">
        <f>IFERROR(__xludf.DUMMYFUNCTION("""COMPUTED_VALUE"""),0.002476851851851852)</f>
        <v>0.002476851852</v>
      </c>
      <c r="E2604" s="1">
        <f>IFERROR(__xludf.DUMMYFUNCTION("""COMPUTED_VALUE"""),1.08)</f>
        <v>1.08</v>
      </c>
      <c r="F2604" s="1">
        <f>IFERROR(__xludf.DUMMYFUNCTION("""COMPUTED_VALUE"""),4.83)</f>
        <v>4.83</v>
      </c>
      <c r="G2604" s="5">
        <f>IFERROR(__xludf.DUMMYFUNCTION("""COMPUTED_VALUE"""),12483.0)</f>
        <v>12483</v>
      </c>
      <c r="H2604" s="5">
        <f>IFERROR(__xludf.DUMMYFUNCTION("""COMPUTED_VALUE"""),2583.0)</f>
        <v>2583</v>
      </c>
    </row>
    <row r="2605">
      <c r="A2605" s="4">
        <f>IFERROR(__xludf.DUMMYFUNCTION("""COMPUTED_VALUE"""),44973.0)</f>
        <v>44973</v>
      </c>
      <c r="B2605" s="5">
        <f>IFERROR(__xludf.DUMMYFUNCTION("""COMPUTED_VALUE"""),2458.0)</f>
        <v>2458</v>
      </c>
      <c r="C2605" s="6">
        <f>IFERROR(__xludf.DUMMYFUNCTION("""COMPUTED_VALUE"""),0.4682)</f>
        <v>0.4682</v>
      </c>
      <c r="D2605" s="2">
        <f>IFERROR(__xludf.DUMMYFUNCTION("""COMPUTED_VALUE"""),0.0022800925925925927)</f>
        <v>0.002280092593</v>
      </c>
      <c r="E2605" s="1">
        <f>IFERROR(__xludf.DUMMYFUNCTION("""COMPUTED_VALUE"""),1.06)</f>
        <v>1.06</v>
      </c>
      <c r="F2605" s="1">
        <f>IFERROR(__xludf.DUMMYFUNCTION("""COMPUTED_VALUE"""),4.86)</f>
        <v>4.86</v>
      </c>
      <c r="G2605" s="5">
        <f>IFERROR(__xludf.DUMMYFUNCTION("""COMPUTED_VALUE"""),12691.0)</f>
        <v>12691</v>
      </c>
      <c r="H2605" s="5">
        <f>IFERROR(__xludf.DUMMYFUNCTION("""COMPUTED_VALUE"""),2610.0)</f>
        <v>2610</v>
      </c>
    </row>
    <row r="2606">
      <c r="A2606" s="4">
        <f>IFERROR(__xludf.DUMMYFUNCTION("""COMPUTED_VALUE"""),44974.0)</f>
        <v>44974</v>
      </c>
      <c r="B2606" s="5">
        <f>IFERROR(__xludf.DUMMYFUNCTION("""COMPUTED_VALUE"""),1958.0)</f>
        <v>1958</v>
      </c>
      <c r="C2606" s="6">
        <f>IFERROR(__xludf.DUMMYFUNCTION("""COMPUTED_VALUE"""),0.5064)</f>
        <v>0.5064</v>
      </c>
      <c r="D2606" s="2">
        <f>IFERROR(__xludf.DUMMYFUNCTION("""COMPUTED_VALUE"""),0.0028935185185185184)</f>
        <v>0.002893518519</v>
      </c>
      <c r="E2606" s="1">
        <f>IFERROR(__xludf.DUMMYFUNCTION("""COMPUTED_VALUE"""),1.08)</f>
        <v>1.08</v>
      </c>
      <c r="F2606" s="1">
        <f>IFERROR(__xludf.DUMMYFUNCTION("""COMPUTED_VALUE"""),3.54)</f>
        <v>3.54</v>
      </c>
      <c r="G2606" s="5">
        <f>IFERROR(__xludf.DUMMYFUNCTION("""COMPUTED_VALUE"""),7470.0)</f>
        <v>7470</v>
      </c>
      <c r="H2606" s="5">
        <f>IFERROR(__xludf.DUMMYFUNCTION("""COMPUTED_VALUE"""),2111.0)</f>
        <v>2111</v>
      </c>
    </row>
    <row r="2607">
      <c r="A2607" s="4">
        <f>IFERROR(__xludf.DUMMYFUNCTION("""COMPUTED_VALUE"""),44975.0)</f>
        <v>44975</v>
      </c>
      <c r="B2607" s="5">
        <f>IFERROR(__xludf.DUMMYFUNCTION("""COMPUTED_VALUE"""),1333.0)</f>
        <v>1333</v>
      </c>
      <c r="C2607" s="6">
        <f>IFERROR(__xludf.DUMMYFUNCTION("""COMPUTED_VALUE"""),0.5553)</f>
        <v>0.5553</v>
      </c>
      <c r="D2607" s="2">
        <f>IFERROR(__xludf.DUMMYFUNCTION("""COMPUTED_VALUE"""),0.0022800925925925927)</f>
        <v>0.002280092593</v>
      </c>
      <c r="E2607" s="1">
        <f>IFERROR(__xludf.DUMMYFUNCTION("""COMPUTED_VALUE"""),1.13)</f>
        <v>1.13</v>
      </c>
      <c r="F2607" s="1">
        <f>IFERROR(__xludf.DUMMYFUNCTION("""COMPUTED_VALUE"""),4.2)</f>
        <v>4.2</v>
      </c>
      <c r="G2607" s="5">
        <f>IFERROR(__xludf.DUMMYFUNCTION("""COMPUTED_VALUE"""),6304.0)</f>
        <v>6304</v>
      </c>
      <c r="H2607" s="5">
        <f>IFERROR(__xludf.DUMMYFUNCTION("""COMPUTED_VALUE"""),1500.0)</f>
        <v>1500</v>
      </c>
    </row>
    <row r="2608">
      <c r="A2608" s="4">
        <f>IFERROR(__xludf.DUMMYFUNCTION("""COMPUTED_VALUE"""),44976.0)</f>
        <v>44976</v>
      </c>
      <c r="B2608" s="5">
        <f>IFERROR(__xludf.DUMMYFUNCTION("""COMPUTED_VALUE"""),1500.0)</f>
        <v>1500</v>
      </c>
      <c r="C2608" s="6">
        <f>IFERROR(__xludf.DUMMYFUNCTION("""COMPUTED_VALUE"""),0.4381)</f>
        <v>0.4381</v>
      </c>
      <c r="D2608" s="2">
        <f>IFERROR(__xludf.DUMMYFUNCTION("""COMPUTED_VALUE"""),0.0019444444444444444)</f>
        <v>0.001944444444</v>
      </c>
      <c r="E2608" s="1">
        <f>IFERROR(__xludf.DUMMYFUNCTION("""COMPUTED_VALUE"""),1.12)</f>
        <v>1.12</v>
      </c>
      <c r="F2608" s="1">
        <f>IFERROR(__xludf.DUMMYFUNCTION("""COMPUTED_VALUE"""),4.64)</f>
        <v>4.64</v>
      </c>
      <c r="G2608" s="5">
        <f>IFERROR(__xludf.DUMMYFUNCTION("""COMPUTED_VALUE"""),7790.0)</f>
        <v>7790</v>
      </c>
      <c r="H2608" s="5">
        <f>IFERROR(__xludf.DUMMYFUNCTION("""COMPUTED_VALUE"""),1680.0)</f>
        <v>1680</v>
      </c>
    </row>
    <row r="2609">
      <c r="A2609" s="4">
        <f>IFERROR(__xludf.DUMMYFUNCTION("""COMPUTED_VALUE"""),44977.0)</f>
        <v>44977</v>
      </c>
      <c r="B2609" s="5">
        <f>IFERROR(__xludf.DUMMYFUNCTION("""COMPUTED_VALUE"""),1888.0)</f>
        <v>1888</v>
      </c>
      <c r="C2609" s="6">
        <f>IFERROR(__xludf.DUMMYFUNCTION("""COMPUTED_VALUE"""),0.5437)</f>
        <v>0.5437</v>
      </c>
      <c r="D2609" s="2">
        <f>IFERROR(__xludf.DUMMYFUNCTION("""COMPUTED_VALUE"""),0.0012962962962962963)</f>
        <v>0.001296296296</v>
      </c>
      <c r="E2609" s="1">
        <f>IFERROR(__xludf.DUMMYFUNCTION("""COMPUTED_VALUE"""),1.18)</f>
        <v>1.18</v>
      </c>
      <c r="F2609" s="1">
        <f>IFERROR(__xludf.DUMMYFUNCTION("""COMPUTED_VALUE"""),2.88)</f>
        <v>2.88</v>
      </c>
      <c r="G2609" s="5">
        <f>IFERROR(__xludf.DUMMYFUNCTION("""COMPUTED_VALUE"""),6401.0)</f>
        <v>6401</v>
      </c>
      <c r="H2609" s="5">
        <f>IFERROR(__xludf.DUMMYFUNCTION("""COMPUTED_VALUE"""),2222.0)</f>
        <v>2222</v>
      </c>
    </row>
    <row r="2610">
      <c r="A2610" s="4">
        <f>IFERROR(__xludf.DUMMYFUNCTION("""COMPUTED_VALUE"""),44978.0)</f>
        <v>44978</v>
      </c>
      <c r="B2610" s="5">
        <f>IFERROR(__xludf.DUMMYFUNCTION("""COMPUTED_VALUE"""),2249.0)</f>
        <v>2249</v>
      </c>
      <c r="C2610" s="6">
        <f>IFERROR(__xludf.DUMMYFUNCTION("""COMPUTED_VALUE"""),0.4558)</f>
        <v>0.4558</v>
      </c>
      <c r="D2610" s="2">
        <f>IFERROR(__xludf.DUMMYFUNCTION("""COMPUTED_VALUE"""),0.0028356481481481483)</f>
        <v>0.002835648148</v>
      </c>
      <c r="E2610" s="1">
        <f>IFERROR(__xludf.DUMMYFUNCTION("""COMPUTED_VALUE"""),1.11)</f>
        <v>1.11</v>
      </c>
      <c r="F2610" s="1">
        <f>IFERROR(__xludf.DUMMYFUNCTION("""COMPUTED_VALUE"""),5.0)</f>
        <v>5</v>
      </c>
      <c r="G2610" s="5">
        <f>IFERROR(__xludf.DUMMYFUNCTION("""COMPUTED_VALUE"""),12483.0)</f>
        <v>12483</v>
      </c>
      <c r="H2610" s="5">
        <f>IFERROR(__xludf.DUMMYFUNCTION("""COMPUTED_VALUE"""),2499.0)</f>
        <v>2499</v>
      </c>
    </row>
    <row r="2611">
      <c r="A2611" s="4">
        <f>IFERROR(__xludf.DUMMYFUNCTION("""COMPUTED_VALUE"""),44979.0)</f>
        <v>44979</v>
      </c>
      <c r="B2611" s="5">
        <f>IFERROR(__xludf.DUMMYFUNCTION("""COMPUTED_VALUE"""),2347.0)</f>
        <v>2347</v>
      </c>
      <c r="C2611" s="6">
        <f>IFERROR(__xludf.DUMMYFUNCTION("""COMPUTED_VALUE"""),0.438)</f>
        <v>0.438</v>
      </c>
      <c r="D2611" s="2">
        <f>IFERROR(__xludf.DUMMYFUNCTION("""COMPUTED_VALUE"""),0.001851851851851852)</f>
        <v>0.001851851852</v>
      </c>
      <c r="E2611" s="1">
        <f>IFERROR(__xludf.DUMMYFUNCTION("""COMPUTED_VALUE"""),1.15)</f>
        <v>1.15</v>
      </c>
      <c r="F2611" s="1">
        <f>IFERROR(__xludf.DUMMYFUNCTION("""COMPUTED_VALUE"""),3.78)</f>
        <v>3.78</v>
      </c>
      <c r="G2611" s="5">
        <f>IFERROR(__xludf.DUMMYFUNCTION("""COMPUTED_VALUE"""),10192.0)</f>
        <v>10192</v>
      </c>
      <c r="H2611" s="5">
        <f>IFERROR(__xludf.DUMMYFUNCTION("""COMPUTED_VALUE"""),2694.0)</f>
        <v>2694</v>
      </c>
    </row>
    <row r="2612">
      <c r="A2612" s="4">
        <f>IFERROR(__xludf.DUMMYFUNCTION("""COMPUTED_VALUE"""),44980.0)</f>
        <v>44980</v>
      </c>
      <c r="B2612" s="5">
        <f>IFERROR(__xludf.DUMMYFUNCTION("""COMPUTED_VALUE"""),2458.0)</f>
        <v>2458</v>
      </c>
      <c r="C2612" s="6">
        <f>IFERROR(__xludf.DUMMYFUNCTION("""COMPUTED_VALUE"""),0.4947)</f>
        <v>0.4947</v>
      </c>
      <c r="D2612" s="2">
        <f>IFERROR(__xludf.DUMMYFUNCTION("""COMPUTED_VALUE"""),0.0019212962962962964)</f>
        <v>0.001921296296</v>
      </c>
      <c r="E2612" s="1">
        <f>IFERROR(__xludf.DUMMYFUNCTION("""COMPUTED_VALUE"""),1.07)</f>
        <v>1.07</v>
      </c>
      <c r="F2612" s="1">
        <f>IFERROR(__xludf.DUMMYFUNCTION("""COMPUTED_VALUE"""),3.36)</f>
        <v>3.36</v>
      </c>
      <c r="G2612" s="5">
        <f>IFERROR(__xludf.DUMMYFUNCTION("""COMPUTED_VALUE"""),8873.0)</f>
        <v>8873</v>
      </c>
      <c r="H2612" s="5">
        <f>IFERROR(__xludf.DUMMYFUNCTION("""COMPUTED_VALUE"""),2638.0)</f>
        <v>2638</v>
      </c>
    </row>
    <row r="2613">
      <c r="A2613" s="4">
        <f>IFERROR(__xludf.DUMMYFUNCTION("""COMPUTED_VALUE"""),44981.0)</f>
        <v>44981</v>
      </c>
      <c r="B2613" s="5">
        <f>IFERROR(__xludf.DUMMYFUNCTION("""COMPUTED_VALUE"""),2027.0)</f>
        <v>2027</v>
      </c>
      <c r="C2613" s="6">
        <f>IFERROR(__xludf.DUMMYFUNCTION("""COMPUTED_VALUE"""),0.5948)</f>
        <v>0.5948</v>
      </c>
      <c r="D2613" s="2">
        <f>IFERROR(__xludf.DUMMYFUNCTION("""COMPUTED_VALUE"""),0.001388888888888889)</f>
        <v>0.001388888889</v>
      </c>
      <c r="E2613" s="1">
        <f>IFERROR(__xludf.DUMMYFUNCTION("""COMPUTED_VALUE"""),1.08)</f>
        <v>1.08</v>
      </c>
      <c r="F2613" s="1">
        <f>IFERROR(__xludf.DUMMYFUNCTION("""COMPUTED_VALUE"""),3.1)</f>
        <v>3.1</v>
      </c>
      <c r="G2613" s="5">
        <f>IFERROR(__xludf.DUMMYFUNCTION("""COMPUTED_VALUE"""),6804.0)</f>
        <v>6804</v>
      </c>
      <c r="H2613" s="5">
        <f>IFERROR(__xludf.DUMMYFUNCTION("""COMPUTED_VALUE"""),2194.0)</f>
        <v>2194</v>
      </c>
    </row>
    <row r="2614">
      <c r="A2614" s="4">
        <f>IFERROR(__xludf.DUMMYFUNCTION("""COMPUTED_VALUE"""),44982.0)</f>
        <v>44982</v>
      </c>
      <c r="B2614" s="5">
        <f>IFERROR(__xludf.DUMMYFUNCTION("""COMPUTED_VALUE"""),1291.0)</f>
        <v>1291</v>
      </c>
      <c r="C2614" s="6">
        <f>IFERROR(__xludf.DUMMYFUNCTION("""COMPUTED_VALUE"""),0.4469)</f>
        <v>0.4469</v>
      </c>
      <c r="D2614" s="2">
        <f>IFERROR(__xludf.DUMMYFUNCTION("""COMPUTED_VALUE"""),0.0033912037037037036)</f>
        <v>0.003391203704</v>
      </c>
      <c r="E2614" s="1">
        <f>IFERROR(__xludf.DUMMYFUNCTION("""COMPUTED_VALUE"""),1.11)</f>
        <v>1.11</v>
      </c>
      <c r="F2614" s="1">
        <f>IFERROR(__xludf.DUMMYFUNCTION("""COMPUTED_VALUE"""),4.36)</f>
        <v>4.36</v>
      </c>
      <c r="G2614" s="5">
        <f>IFERROR(__xludf.DUMMYFUNCTION("""COMPUTED_VALUE"""),6235.0)</f>
        <v>6235</v>
      </c>
      <c r="H2614" s="5">
        <f>IFERROR(__xludf.DUMMYFUNCTION("""COMPUTED_VALUE"""),1430.0)</f>
        <v>1430</v>
      </c>
    </row>
    <row r="2615">
      <c r="A2615" s="4">
        <f>IFERROR(__xludf.DUMMYFUNCTION("""COMPUTED_VALUE"""),44983.0)</f>
        <v>44983</v>
      </c>
      <c r="B2615" s="5">
        <f>IFERROR(__xludf.DUMMYFUNCTION("""COMPUTED_VALUE"""),1597.0)</f>
        <v>1597</v>
      </c>
      <c r="C2615" s="6">
        <f>IFERROR(__xludf.DUMMYFUNCTION("""COMPUTED_VALUE"""),0.6019)</f>
        <v>0.6019</v>
      </c>
      <c r="D2615" s="2">
        <f>IFERROR(__xludf.DUMMYFUNCTION("""COMPUTED_VALUE"""),0.0010879629629629629)</f>
        <v>0.001087962963</v>
      </c>
      <c r="E2615" s="1">
        <f>IFERROR(__xludf.DUMMYFUNCTION("""COMPUTED_VALUE"""),1.07)</f>
        <v>1.07</v>
      </c>
      <c r="F2615" s="1">
        <f>IFERROR(__xludf.DUMMYFUNCTION("""COMPUTED_VALUE"""),2.9)</f>
        <v>2.9</v>
      </c>
      <c r="G2615" s="5">
        <f>IFERROR(__xludf.DUMMYFUNCTION("""COMPUTED_VALUE"""),4957.0)</f>
        <v>4957</v>
      </c>
      <c r="H2615" s="5">
        <f>IFERROR(__xludf.DUMMYFUNCTION("""COMPUTED_VALUE"""),1708.0)</f>
        <v>1708</v>
      </c>
    </row>
    <row r="2616">
      <c r="A2616" s="4">
        <f>IFERROR(__xludf.DUMMYFUNCTION("""COMPUTED_VALUE"""),44984.0)</f>
        <v>44984</v>
      </c>
      <c r="B2616" s="5">
        <f>IFERROR(__xludf.DUMMYFUNCTION("""COMPUTED_VALUE"""),2180.0)</f>
        <v>2180</v>
      </c>
      <c r="C2616" s="6">
        <f>IFERROR(__xludf.DUMMYFUNCTION("""COMPUTED_VALUE"""),0.4677)</f>
        <v>0.4677</v>
      </c>
      <c r="D2616" s="2">
        <f>IFERROR(__xludf.DUMMYFUNCTION("""COMPUTED_VALUE"""),0.001863425925925926)</f>
        <v>0.001863425926</v>
      </c>
      <c r="E2616" s="1">
        <f>IFERROR(__xludf.DUMMYFUNCTION("""COMPUTED_VALUE"""),1.18)</f>
        <v>1.18</v>
      </c>
      <c r="F2616" s="1">
        <f>IFERROR(__xludf.DUMMYFUNCTION("""COMPUTED_VALUE"""),3.44)</f>
        <v>3.44</v>
      </c>
      <c r="G2616" s="5">
        <f>IFERROR(__xludf.DUMMYFUNCTION("""COMPUTED_VALUE"""),8873.0)</f>
        <v>8873</v>
      </c>
      <c r="H2616" s="5">
        <f>IFERROR(__xludf.DUMMYFUNCTION("""COMPUTED_VALUE"""),2583.0)</f>
        <v>2583</v>
      </c>
    </row>
    <row r="2617">
      <c r="A2617" s="4">
        <f>IFERROR(__xludf.DUMMYFUNCTION("""COMPUTED_VALUE"""),44985.0)</f>
        <v>44985</v>
      </c>
      <c r="B2617" s="5">
        <f>IFERROR(__xludf.DUMMYFUNCTION("""COMPUTED_VALUE"""),2513.0)</f>
        <v>2513</v>
      </c>
      <c r="C2617" s="6">
        <f>IFERROR(__xludf.DUMMYFUNCTION("""COMPUTED_VALUE"""),0.4792)</f>
        <v>0.4792</v>
      </c>
      <c r="D2617" s="2">
        <f>IFERROR(__xludf.DUMMYFUNCTION("""COMPUTED_VALUE"""),0.0013657407407407407)</f>
        <v>0.001365740741</v>
      </c>
      <c r="E2617" s="1">
        <f>IFERROR(__xludf.DUMMYFUNCTION("""COMPUTED_VALUE"""),1.07)</f>
        <v>1.07</v>
      </c>
      <c r="F2617" s="1">
        <f>IFERROR(__xludf.DUMMYFUNCTION("""COMPUTED_VALUE"""),3.37)</f>
        <v>3.37</v>
      </c>
      <c r="G2617" s="5">
        <f>IFERROR(__xludf.DUMMYFUNCTION("""COMPUTED_VALUE"""),9067.0)</f>
        <v>9067</v>
      </c>
      <c r="H2617" s="5">
        <f>IFERROR(__xludf.DUMMYFUNCTION("""COMPUTED_VALUE"""),2694.0)</f>
        <v>2694</v>
      </c>
    </row>
    <row r="2618">
      <c r="A2618" s="4">
        <f>IFERROR(__xludf.DUMMYFUNCTION("""COMPUTED_VALUE"""),44986.0)</f>
        <v>44986</v>
      </c>
      <c r="B2618" s="5">
        <f>IFERROR(__xludf.DUMMYFUNCTION("""COMPUTED_VALUE"""),2041.0)</f>
        <v>2041</v>
      </c>
      <c r="C2618" s="6">
        <f>IFERROR(__xludf.DUMMYFUNCTION("""COMPUTED_VALUE"""),0.4081)</f>
        <v>0.4081</v>
      </c>
      <c r="D2618" s="2">
        <f>IFERROR(__xludf.DUMMYFUNCTION("""COMPUTED_VALUE"""),0.001979166666666667)</f>
        <v>0.001979166667</v>
      </c>
      <c r="E2618" s="1">
        <f>IFERROR(__xludf.DUMMYFUNCTION("""COMPUTED_VALUE"""),1.18)</f>
        <v>1.18</v>
      </c>
      <c r="F2618" s="1">
        <f>IFERROR(__xludf.DUMMYFUNCTION("""COMPUTED_VALUE"""),3.93)</f>
        <v>3.93</v>
      </c>
      <c r="G2618" s="5">
        <f>IFERROR(__xludf.DUMMYFUNCTION("""COMPUTED_VALUE"""),9484.0)</f>
        <v>9484</v>
      </c>
      <c r="H2618" s="5">
        <f>IFERROR(__xludf.DUMMYFUNCTION("""COMPUTED_VALUE"""),2416.0)</f>
        <v>2416</v>
      </c>
    </row>
    <row r="2619">
      <c r="A2619" s="4">
        <f>IFERROR(__xludf.DUMMYFUNCTION("""COMPUTED_VALUE"""),44987.0)</f>
        <v>44987</v>
      </c>
      <c r="B2619" s="5">
        <f>IFERROR(__xludf.DUMMYFUNCTION("""COMPUTED_VALUE"""),2236.0)</f>
        <v>2236</v>
      </c>
      <c r="C2619" s="6">
        <f>IFERROR(__xludf.DUMMYFUNCTION("""COMPUTED_VALUE"""),0.4246)</f>
        <v>0.4246</v>
      </c>
      <c r="D2619" s="2">
        <f>IFERROR(__xludf.DUMMYFUNCTION("""COMPUTED_VALUE"""),0.002395833333333333)</f>
        <v>0.002395833333</v>
      </c>
      <c r="E2619" s="1">
        <f>IFERROR(__xludf.DUMMYFUNCTION("""COMPUTED_VALUE"""),1.07)</f>
        <v>1.07</v>
      </c>
      <c r="F2619" s="1">
        <f>IFERROR(__xludf.DUMMYFUNCTION("""COMPUTED_VALUE"""),5.28)</f>
        <v>5.28</v>
      </c>
      <c r="G2619" s="5">
        <f>IFERROR(__xludf.DUMMYFUNCTION("""COMPUTED_VALUE"""),12608.0)</f>
        <v>12608</v>
      </c>
      <c r="H2619" s="5">
        <f>IFERROR(__xludf.DUMMYFUNCTION("""COMPUTED_VALUE"""),2388.0)</f>
        <v>2388</v>
      </c>
    </row>
    <row r="2620">
      <c r="A2620" s="4">
        <f>IFERROR(__xludf.DUMMYFUNCTION("""COMPUTED_VALUE"""),44988.0)</f>
        <v>44988</v>
      </c>
      <c r="B2620" s="5">
        <f>IFERROR(__xludf.DUMMYFUNCTION("""COMPUTED_VALUE"""),2013.0)</f>
        <v>2013</v>
      </c>
      <c r="C2620" s="6">
        <f>IFERROR(__xludf.DUMMYFUNCTION("""COMPUTED_VALUE"""),0.3867)</f>
        <v>0.3867</v>
      </c>
      <c r="D2620" s="2">
        <f>IFERROR(__xludf.DUMMYFUNCTION("""COMPUTED_VALUE"""),0.002905092592592593)</f>
        <v>0.002905092593</v>
      </c>
      <c r="E2620" s="1">
        <f>IFERROR(__xludf.DUMMYFUNCTION("""COMPUTED_VALUE"""),1.12)</f>
        <v>1.12</v>
      </c>
      <c r="F2620" s="1">
        <f>IFERROR(__xludf.DUMMYFUNCTION("""COMPUTED_VALUE"""),5.15)</f>
        <v>5.15</v>
      </c>
      <c r="G2620" s="5">
        <f>IFERROR(__xludf.DUMMYFUNCTION("""COMPUTED_VALUE"""),11650.0)</f>
        <v>11650</v>
      </c>
      <c r="H2620" s="5">
        <f>IFERROR(__xludf.DUMMYFUNCTION("""COMPUTED_VALUE"""),2263.0)</f>
        <v>2263</v>
      </c>
    </row>
    <row r="2621">
      <c r="A2621" s="4">
        <f>IFERROR(__xludf.DUMMYFUNCTION("""COMPUTED_VALUE"""),44989.0)</f>
        <v>44989</v>
      </c>
      <c r="B2621" s="5">
        <f>IFERROR(__xludf.DUMMYFUNCTION("""COMPUTED_VALUE"""),1180.0)</f>
        <v>1180</v>
      </c>
      <c r="C2621" s="6">
        <f>IFERROR(__xludf.DUMMYFUNCTION("""COMPUTED_VALUE"""),0.573)</f>
        <v>0.573</v>
      </c>
      <c r="D2621" s="2">
        <f>IFERROR(__xludf.DUMMYFUNCTION("""COMPUTED_VALUE"""),0.0025)</f>
        <v>0.0025</v>
      </c>
      <c r="E2621" s="1">
        <f>IFERROR(__xludf.DUMMYFUNCTION("""COMPUTED_VALUE"""),1.29)</f>
        <v>1.29</v>
      </c>
      <c r="F2621" s="1">
        <f>IFERROR(__xludf.DUMMYFUNCTION("""COMPUTED_VALUE"""),3.98)</f>
        <v>3.98</v>
      </c>
      <c r="G2621" s="5">
        <f>IFERROR(__xludf.DUMMYFUNCTION("""COMPUTED_VALUE"""),6082.0)</f>
        <v>6082</v>
      </c>
      <c r="H2621" s="5">
        <f>IFERROR(__xludf.DUMMYFUNCTION("""COMPUTED_VALUE"""),1527.0)</f>
        <v>1527</v>
      </c>
    </row>
    <row r="2622">
      <c r="A2622" s="4">
        <f>IFERROR(__xludf.DUMMYFUNCTION("""COMPUTED_VALUE"""),44990.0)</f>
        <v>44990</v>
      </c>
      <c r="B2622" s="5">
        <f>IFERROR(__xludf.DUMMYFUNCTION("""COMPUTED_VALUE"""),1264.0)</f>
        <v>1264</v>
      </c>
      <c r="C2622" s="6">
        <f>IFERROR(__xludf.DUMMYFUNCTION("""COMPUTED_VALUE"""),0.5048)</f>
        <v>0.5048</v>
      </c>
      <c r="D2622" s="2">
        <f>IFERROR(__xludf.DUMMYFUNCTION("""COMPUTED_VALUE"""),0.0018055555555555555)</f>
        <v>0.001805555556</v>
      </c>
      <c r="E2622" s="1">
        <f>IFERROR(__xludf.DUMMYFUNCTION("""COMPUTED_VALUE"""),1.15)</f>
        <v>1.15</v>
      </c>
      <c r="F2622" s="1">
        <f>IFERROR(__xludf.DUMMYFUNCTION("""COMPUTED_VALUE"""),3.33)</f>
        <v>3.33</v>
      </c>
      <c r="G2622" s="5">
        <f>IFERROR(__xludf.DUMMYFUNCTION("""COMPUTED_VALUE"""),4860.0)</f>
        <v>4860</v>
      </c>
      <c r="H2622" s="5">
        <f>IFERROR(__xludf.DUMMYFUNCTION("""COMPUTED_VALUE"""),1458.0)</f>
        <v>1458</v>
      </c>
    </row>
    <row r="2623">
      <c r="A2623" s="4">
        <f>IFERROR(__xludf.DUMMYFUNCTION("""COMPUTED_VALUE"""),44991.0)</f>
        <v>44991</v>
      </c>
      <c r="B2623" s="5">
        <f>IFERROR(__xludf.DUMMYFUNCTION("""COMPUTED_VALUE"""),2083.0)</f>
        <v>2083</v>
      </c>
      <c r="C2623" s="6">
        <f>IFERROR(__xludf.DUMMYFUNCTION("""COMPUTED_VALUE"""),0.4974)</f>
        <v>0.4974</v>
      </c>
      <c r="D2623" s="2">
        <f>IFERROR(__xludf.DUMMYFUNCTION("""COMPUTED_VALUE"""),0.0016666666666666668)</f>
        <v>0.001666666667</v>
      </c>
      <c r="E2623" s="1">
        <f>IFERROR(__xludf.DUMMYFUNCTION("""COMPUTED_VALUE"""),1.19)</f>
        <v>1.19</v>
      </c>
      <c r="F2623" s="1">
        <f>IFERROR(__xludf.DUMMYFUNCTION("""COMPUTED_VALUE"""),3.22)</f>
        <v>3.22</v>
      </c>
      <c r="G2623" s="5">
        <f>IFERROR(__xludf.DUMMYFUNCTION("""COMPUTED_VALUE"""),8012.0)</f>
        <v>8012</v>
      </c>
      <c r="H2623" s="5">
        <f>IFERROR(__xludf.DUMMYFUNCTION("""COMPUTED_VALUE"""),2485.0)</f>
        <v>2485</v>
      </c>
    </row>
    <row r="2624">
      <c r="A2624" s="4">
        <f>IFERROR(__xludf.DUMMYFUNCTION("""COMPUTED_VALUE"""),44992.0)</f>
        <v>44992</v>
      </c>
      <c r="B2624" s="5">
        <f>IFERROR(__xludf.DUMMYFUNCTION("""COMPUTED_VALUE"""),2236.0)</f>
        <v>2236</v>
      </c>
      <c r="C2624" s="6">
        <f>IFERROR(__xludf.DUMMYFUNCTION("""COMPUTED_VALUE"""),0.5082)</f>
        <v>0.5082</v>
      </c>
      <c r="D2624" s="2">
        <f>IFERROR(__xludf.DUMMYFUNCTION("""COMPUTED_VALUE"""),0.0022453703703703702)</f>
        <v>0.00224537037</v>
      </c>
      <c r="E2624" s="1">
        <f>IFERROR(__xludf.DUMMYFUNCTION("""COMPUTED_VALUE"""),1.12)</f>
        <v>1.12</v>
      </c>
      <c r="F2624" s="1">
        <f>IFERROR(__xludf.DUMMYFUNCTION("""COMPUTED_VALUE"""),3.91)</f>
        <v>3.91</v>
      </c>
      <c r="G2624" s="5">
        <f>IFERROR(__xludf.DUMMYFUNCTION("""COMPUTED_VALUE"""),9831.0)</f>
        <v>9831</v>
      </c>
      <c r="H2624" s="5">
        <f>IFERROR(__xludf.DUMMYFUNCTION("""COMPUTED_VALUE"""),2513.0)</f>
        <v>2513</v>
      </c>
    </row>
    <row r="2625">
      <c r="A2625" s="4">
        <f>IFERROR(__xludf.DUMMYFUNCTION("""COMPUTED_VALUE"""),44993.0)</f>
        <v>44993</v>
      </c>
      <c r="B2625" s="5">
        <f>IFERROR(__xludf.DUMMYFUNCTION("""COMPUTED_VALUE"""),2180.0)</f>
        <v>2180</v>
      </c>
      <c r="C2625" s="6">
        <f>IFERROR(__xludf.DUMMYFUNCTION("""COMPUTED_VALUE"""),0.4189)</f>
        <v>0.4189</v>
      </c>
      <c r="D2625" s="2">
        <f>IFERROR(__xludf.DUMMYFUNCTION("""COMPUTED_VALUE"""),0.0022800925925925927)</f>
        <v>0.002280092593</v>
      </c>
      <c r="E2625" s="1">
        <f>IFERROR(__xludf.DUMMYFUNCTION("""COMPUTED_VALUE"""),1.14)</f>
        <v>1.14</v>
      </c>
      <c r="F2625" s="1">
        <f>IFERROR(__xludf.DUMMYFUNCTION("""COMPUTED_VALUE"""),3.84)</f>
        <v>3.84</v>
      </c>
      <c r="G2625" s="5">
        <f>IFERROR(__xludf.DUMMYFUNCTION("""COMPUTED_VALUE"""),9539.0)</f>
        <v>9539</v>
      </c>
      <c r="H2625" s="5">
        <f>IFERROR(__xludf.DUMMYFUNCTION("""COMPUTED_VALUE"""),2485.0)</f>
        <v>2485</v>
      </c>
    </row>
    <row r="2626">
      <c r="A2626" s="4">
        <f>IFERROR(__xludf.DUMMYFUNCTION("""COMPUTED_VALUE"""),44994.0)</f>
        <v>44994</v>
      </c>
      <c r="B2626" s="5">
        <f>IFERROR(__xludf.DUMMYFUNCTION("""COMPUTED_VALUE"""),2194.0)</f>
        <v>2194</v>
      </c>
      <c r="C2626" s="6">
        <f>IFERROR(__xludf.DUMMYFUNCTION("""COMPUTED_VALUE"""),0.4129)</f>
        <v>0.4129</v>
      </c>
      <c r="D2626" s="2">
        <f>IFERROR(__xludf.DUMMYFUNCTION("""COMPUTED_VALUE"""),0.0022800925925925927)</f>
        <v>0.002280092593</v>
      </c>
      <c r="E2626" s="1">
        <f>IFERROR(__xludf.DUMMYFUNCTION("""COMPUTED_VALUE"""),1.09)</f>
        <v>1.09</v>
      </c>
      <c r="F2626" s="1">
        <f>IFERROR(__xludf.DUMMYFUNCTION("""COMPUTED_VALUE"""),3.99)</f>
        <v>3.99</v>
      </c>
      <c r="G2626" s="5">
        <f>IFERROR(__xludf.DUMMYFUNCTION("""COMPUTED_VALUE"""),9539.0)</f>
        <v>9539</v>
      </c>
      <c r="H2626" s="5">
        <f>IFERROR(__xludf.DUMMYFUNCTION("""COMPUTED_VALUE"""),2388.0)</f>
        <v>2388</v>
      </c>
    </row>
    <row r="2627">
      <c r="A2627" s="4">
        <f>IFERROR(__xludf.DUMMYFUNCTION("""COMPUTED_VALUE"""),44995.0)</f>
        <v>44995</v>
      </c>
      <c r="B2627" s="5">
        <f>IFERROR(__xludf.DUMMYFUNCTION("""COMPUTED_VALUE"""),2027.0)</f>
        <v>2027</v>
      </c>
      <c r="C2627" s="6">
        <f>IFERROR(__xludf.DUMMYFUNCTION("""COMPUTED_VALUE"""),0.5033)</f>
        <v>0.5033</v>
      </c>
      <c r="D2627" s="2">
        <f>IFERROR(__xludf.DUMMYFUNCTION("""COMPUTED_VALUE"""),0.0030092592592592593)</f>
        <v>0.003009259259</v>
      </c>
      <c r="E2627" s="1">
        <f>IFERROR(__xludf.DUMMYFUNCTION("""COMPUTED_VALUE"""),1.12)</f>
        <v>1.12</v>
      </c>
      <c r="F2627" s="1">
        <f>IFERROR(__xludf.DUMMYFUNCTION("""COMPUTED_VALUE"""),4.04)</f>
        <v>4.04</v>
      </c>
      <c r="G2627" s="5">
        <f>IFERROR(__xludf.DUMMYFUNCTION("""COMPUTED_VALUE"""),9150.0)</f>
        <v>9150</v>
      </c>
      <c r="H2627" s="5">
        <f>IFERROR(__xludf.DUMMYFUNCTION("""COMPUTED_VALUE"""),2263.0)</f>
        <v>2263</v>
      </c>
    </row>
    <row r="2628">
      <c r="A2628" s="4">
        <f>IFERROR(__xludf.DUMMYFUNCTION("""COMPUTED_VALUE"""),44996.0)</f>
        <v>44996</v>
      </c>
      <c r="B2628" s="5">
        <f>IFERROR(__xludf.DUMMYFUNCTION("""COMPUTED_VALUE"""),1458.0)</f>
        <v>1458</v>
      </c>
      <c r="C2628" s="6">
        <f>IFERROR(__xludf.DUMMYFUNCTION("""COMPUTED_VALUE"""),0.586)</f>
        <v>0.586</v>
      </c>
      <c r="D2628" s="2">
        <f>IFERROR(__xludf.DUMMYFUNCTION("""COMPUTED_VALUE"""),0.0010300925925925926)</f>
        <v>0.001030092593</v>
      </c>
      <c r="E2628" s="1">
        <f>IFERROR(__xludf.DUMMYFUNCTION("""COMPUTED_VALUE"""),1.06)</f>
        <v>1.06</v>
      </c>
      <c r="F2628" s="1">
        <f>IFERROR(__xludf.DUMMYFUNCTION("""COMPUTED_VALUE"""),2.86)</f>
        <v>2.86</v>
      </c>
      <c r="G2628" s="5">
        <f>IFERROR(__xludf.DUMMYFUNCTION("""COMPUTED_VALUE"""),4402.0)</f>
        <v>4402</v>
      </c>
      <c r="H2628" s="5">
        <f>IFERROR(__xludf.DUMMYFUNCTION("""COMPUTED_VALUE"""),1541.0)</f>
        <v>1541</v>
      </c>
    </row>
    <row r="2629">
      <c r="A2629" s="4">
        <f>IFERROR(__xludf.DUMMYFUNCTION("""COMPUTED_VALUE"""),44997.0)</f>
        <v>44997</v>
      </c>
      <c r="B2629" s="5">
        <f>IFERROR(__xludf.DUMMYFUNCTION("""COMPUTED_VALUE"""),1222.0)</f>
        <v>1222</v>
      </c>
      <c r="C2629" s="6">
        <f>IFERROR(__xludf.DUMMYFUNCTION("""COMPUTED_VALUE"""),0.5872)</f>
        <v>0.5872</v>
      </c>
      <c r="D2629" s="2">
        <f>IFERROR(__xludf.DUMMYFUNCTION("""COMPUTED_VALUE"""),0.0013078703703703703)</f>
        <v>0.00130787037</v>
      </c>
      <c r="E2629" s="1">
        <f>IFERROR(__xludf.DUMMYFUNCTION("""COMPUTED_VALUE"""),1.1)</f>
        <v>1.1</v>
      </c>
      <c r="F2629" s="1">
        <f>IFERROR(__xludf.DUMMYFUNCTION("""COMPUTED_VALUE"""),2.96)</f>
        <v>2.96</v>
      </c>
      <c r="G2629" s="5">
        <f>IFERROR(__xludf.DUMMYFUNCTION("""COMPUTED_VALUE"""),3985.0)</f>
        <v>3985</v>
      </c>
      <c r="H2629" s="5">
        <f>IFERROR(__xludf.DUMMYFUNCTION("""COMPUTED_VALUE"""),1347.0)</f>
        <v>1347</v>
      </c>
    </row>
    <row r="2630">
      <c r="A2630" s="4">
        <f>IFERROR(__xludf.DUMMYFUNCTION("""COMPUTED_VALUE"""),44998.0)</f>
        <v>44998</v>
      </c>
      <c r="B2630" s="5">
        <f>IFERROR(__xludf.DUMMYFUNCTION("""COMPUTED_VALUE"""),2263.0)</f>
        <v>2263</v>
      </c>
      <c r="C2630" s="6">
        <f>IFERROR(__xludf.DUMMYFUNCTION("""COMPUTED_VALUE"""),0.4838)</f>
        <v>0.4838</v>
      </c>
      <c r="D2630" s="2">
        <f>IFERROR(__xludf.DUMMYFUNCTION("""COMPUTED_VALUE"""),0.0019444444444444444)</f>
        <v>0.001944444444</v>
      </c>
      <c r="E2630" s="1">
        <f>IFERROR(__xludf.DUMMYFUNCTION("""COMPUTED_VALUE"""),1.13)</f>
        <v>1.13</v>
      </c>
      <c r="F2630" s="1">
        <f>IFERROR(__xludf.DUMMYFUNCTION("""COMPUTED_VALUE"""),3.83)</f>
        <v>3.83</v>
      </c>
      <c r="G2630" s="5">
        <f>IFERROR(__xludf.DUMMYFUNCTION("""COMPUTED_VALUE"""),9789.0)</f>
        <v>9789</v>
      </c>
      <c r="H2630" s="5">
        <f>IFERROR(__xludf.DUMMYFUNCTION("""COMPUTED_VALUE"""),2555.0)</f>
        <v>2555</v>
      </c>
    </row>
    <row r="2631">
      <c r="A2631" s="4">
        <f>IFERROR(__xludf.DUMMYFUNCTION("""COMPUTED_VALUE"""),44999.0)</f>
        <v>44999</v>
      </c>
      <c r="B2631" s="5">
        <f>IFERROR(__xludf.DUMMYFUNCTION("""COMPUTED_VALUE"""),2388.0)</f>
        <v>2388</v>
      </c>
      <c r="C2631" s="6">
        <f>IFERROR(__xludf.DUMMYFUNCTION("""COMPUTED_VALUE"""),0.4531)</f>
        <v>0.4531</v>
      </c>
      <c r="D2631" s="2">
        <f>IFERROR(__xludf.DUMMYFUNCTION("""COMPUTED_VALUE"""),0.0022685185185185187)</f>
        <v>0.002268518519</v>
      </c>
      <c r="E2631" s="1">
        <f>IFERROR(__xludf.DUMMYFUNCTION("""COMPUTED_VALUE"""),1.12)</f>
        <v>1.12</v>
      </c>
      <c r="F2631" s="1">
        <f>IFERROR(__xludf.DUMMYFUNCTION("""COMPUTED_VALUE"""),3.65)</f>
        <v>3.65</v>
      </c>
      <c r="G2631" s="5">
        <f>IFERROR(__xludf.DUMMYFUNCTION("""COMPUTED_VALUE"""),9734.0)</f>
        <v>9734</v>
      </c>
      <c r="H2631" s="5">
        <f>IFERROR(__xludf.DUMMYFUNCTION("""COMPUTED_VALUE"""),2666.0)</f>
        <v>2666</v>
      </c>
    </row>
    <row r="2632">
      <c r="A2632" s="4">
        <f>IFERROR(__xludf.DUMMYFUNCTION("""COMPUTED_VALUE"""),45000.0)</f>
        <v>45000</v>
      </c>
      <c r="B2632" s="5">
        <f>IFERROR(__xludf.DUMMYFUNCTION("""COMPUTED_VALUE"""),2152.0)</f>
        <v>2152</v>
      </c>
      <c r="C2632" s="6">
        <f>IFERROR(__xludf.DUMMYFUNCTION("""COMPUTED_VALUE"""),0.4567)</f>
        <v>0.4567</v>
      </c>
      <c r="D2632" s="2">
        <f>IFERROR(__xludf.DUMMYFUNCTION("""COMPUTED_VALUE"""),0.0025462962962962965)</f>
        <v>0.002546296296</v>
      </c>
      <c r="E2632" s="1">
        <f>IFERROR(__xludf.DUMMYFUNCTION("""COMPUTED_VALUE"""),1.12)</f>
        <v>1.12</v>
      </c>
      <c r="F2632" s="1">
        <f>IFERROR(__xludf.DUMMYFUNCTION("""COMPUTED_VALUE"""),3.63)</f>
        <v>3.63</v>
      </c>
      <c r="G2632" s="5">
        <f>IFERROR(__xludf.DUMMYFUNCTION("""COMPUTED_VALUE"""),8720.0)</f>
        <v>8720</v>
      </c>
      <c r="H2632" s="5">
        <f>IFERROR(__xludf.DUMMYFUNCTION("""COMPUTED_VALUE"""),2402.0)</f>
        <v>2402</v>
      </c>
    </row>
    <row r="2633">
      <c r="A2633" s="4">
        <f>IFERROR(__xludf.DUMMYFUNCTION("""COMPUTED_VALUE"""),45001.0)</f>
        <v>45001</v>
      </c>
      <c r="B2633" s="5">
        <f>IFERROR(__xludf.DUMMYFUNCTION("""COMPUTED_VALUE"""),2097.0)</f>
        <v>2097</v>
      </c>
      <c r="C2633" s="6">
        <f>IFERROR(__xludf.DUMMYFUNCTION("""COMPUTED_VALUE"""),0.4483)</f>
        <v>0.4483</v>
      </c>
      <c r="D2633" s="2">
        <f>IFERROR(__xludf.DUMMYFUNCTION("""COMPUTED_VALUE"""),0.0022222222222222222)</f>
        <v>0.002222222222</v>
      </c>
      <c r="E2633" s="1">
        <f>IFERROR(__xludf.DUMMYFUNCTION("""COMPUTED_VALUE"""),1.15)</f>
        <v>1.15</v>
      </c>
      <c r="F2633" s="1">
        <f>IFERROR(__xludf.DUMMYFUNCTION("""COMPUTED_VALUE"""),3.94)</f>
        <v>3.94</v>
      </c>
      <c r="G2633" s="5">
        <f>IFERROR(__xludf.DUMMYFUNCTION("""COMPUTED_VALUE"""),9525.0)</f>
        <v>9525</v>
      </c>
      <c r="H2633" s="5">
        <f>IFERROR(__xludf.DUMMYFUNCTION("""COMPUTED_VALUE"""),2416.0)</f>
        <v>2416</v>
      </c>
    </row>
    <row r="2634">
      <c r="A2634" s="4">
        <f>IFERROR(__xludf.DUMMYFUNCTION("""COMPUTED_VALUE"""),45002.0)</f>
        <v>45002</v>
      </c>
      <c r="B2634" s="5">
        <f>IFERROR(__xludf.DUMMYFUNCTION("""COMPUTED_VALUE"""),1875.0)</f>
        <v>1875</v>
      </c>
      <c r="C2634" s="6">
        <f>IFERROR(__xludf.DUMMYFUNCTION("""COMPUTED_VALUE"""),0.4798)</f>
        <v>0.4798</v>
      </c>
      <c r="D2634" s="2">
        <f>IFERROR(__xludf.DUMMYFUNCTION("""COMPUTED_VALUE"""),0.001724537037037037)</f>
        <v>0.001724537037</v>
      </c>
      <c r="E2634" s="1">
        <f>IFERROR(__xludf.DUMMYFUNCTION("""COMPUTED_VALUE"""),1.1)</f>
        <v>1.1</v>
      </c>
      <c r="F2634" s="1">
        <f>IFERROR(__xludf.DUMMYFUNCTION("""COMPUTED_VALUE"""),2.92)</f>
        <v>2.92</v>
      </c>
      <c r="G2634" s="5">
        <f>IFERROR(__xludf.DUMMYFUNCTION("""COMPUTED_VALUE"""),5998.0)</f>
        <v>5998</v>
      </c>
      <c r="H2634" s="5">
        <f>IFERROR(__xludf.DUMMYFUNCTION("""COMPUTED_VALUE"""),2055.0)</f>
        <v>2055</v>
      </c>
    </row>
    <row r="2635">
      <c r="A2635" s="4">
        <f>IFERROR(__xludf.DUMMYFUNCTION("""COMPUTED_VALUE"""),45003.0)</f>
        <v>45003</v>
      </c>
      <c r="B2635" s="5">
        <f>IFERROR(__xludf.DUMMYFUNCTION("""COMPUTED_VALUE"""),1125.0)</f>
        <v>1125</v>
      </c>
      <c r="C2635" s="6">
        <f>IFERROR(__xludf.DUMMYFUNCTION("""COMPUTED_VALUE"""),0.5115)</f>
        <v>0.5115</v>
      </c>
      <c r="D2635" s="2">
        <f>IFERROR(__xludf.DUMMYFUNCTION("""COMPUTED_VALUE"""),0.0015972222222222223)</f>
        <v>0.001597222222</v>
      </c>
      <c r="E2635" s="1">
        <f>IFERROR(__xludf.DUMMYFUNCTION("""COMPUTED_VALUE"""),1.09)</f>
        <v>1.09</v>
      </c>
      <c r="F2635" s="1">
        <f>IFERROR(__xludf.DUMMYFUNCTION("""COMPUTED_VALUE"""),2.76)</f>
        <v>2.76</v>
      </c>
      <c r="G2635" s="5">
        <f>IFERROR(__xludf.DUMMYFUNCTION("""COMPUTED_VALUE"""),3374.0)</f>
        <v>3374</v>
      </c>
      <c r="H2635" s="5">
        <f>IFERROR(__xludf.DUMMYFUNCTION("""COMPUTED_VALUE"""),1222.0)</f>
        <v>1222</v>
      </c>
    </row>
    <row r="2636">
      <c r="A2636" s="4">
        <f>IFERROR(__xludf.DUMMYFUNCTION("""COMPUTED_VALUE"""),45004.0)</f>
        <v>45004</v>
      </c>
      <c r="B2636" s="5">
        <f>IFERROR(__xludf.DUMMYFUNCTION("""COMPUTED_VALUE"""),1347.0)</f>
        <v>1347</v>
      </c>
      <c r="C2636" s="6">
        <f>IFERROR(__xludf.DUMMYFUNCTION("""COMPUTED_VALUE"""),0.5297)</f>
        <v>0.5297</v>
      </c>
      <c r="D2636" s="2">
        <f>IFERROR(__xludf.DUMMYFUNCTION("""COMPUTED_VALUE"""),0.0026157407407407405)</f>
        <v>0.002615740741</v>
      </c>
      <c r="E2636" s="1">
        <f>IFERROR(__xludf.DUMMYFUNCTION("""COMPUTED_VALUE"""),1.05)</f>
        <v>1.05</v>
      </c>
      <c r="F2636" s="1">
        <f>IFERROR(__xludf.DUMMYFUNCTION("""COMPUTED_VALUE"""),3.84)</f>
        <v>3.84</v>
      </c>
      <c r="G2636" s="5">
        <f>IFERROR(__xludf.DUMMYFUNCTION("""COMPUTED_VALUE"""),5443.0)</f>
        <v>5443</v>
      </c>
      <c r="H2636" s="5">
        <f>IFERROR(__xludf.DUMMYFUNCTION("""COMPUTED_VALUE"""),1416.0)</f>
        <v>1416</v>
      </c>
    </row>
    <row r="2637">
      <c r="A2637" s="4">
        <f>IFERROR(__xludf.DUMMYFUNCTION("""COMPUTED_VALUE"""),45005.0)</f>
        <v>45005</v>
      </c>
      <c r="B2637" s="5">
        <f>IFERROR(__xludf.DUMMYFUNCTION("""COMPUTED_VALUE"""),2097.0)</f>
        <v>2097</v>
      </c>
      <c r="C2637" s="6">
        <f>IFERROR(__xludf.DUMMYFUNCTION("""COMPUTED_VALUE"""),0.4305)</f>
        <v>0.4305</v>
      </c>
      <c r="D2637" s="2">
        <f>IFERROR(__xludf.DUMMYFUNCTION("""COMPUTED_VALUE"""),0.002662037037037037)</f>
        <v>0.002662037037</v>
      </c>
      <c r="E2637" s="1">
        <f>IFERROR(__xludf.DUMMYFUNCTION("""COMPUTED_VALUE"""),1.14)</f>
        <v>1.14</v>
      </c>
      <c r="F2637" s="1">
        <f>IFERROR(__xludf.DUMMYFUNCTION("""COMPUTED_VALUE"""),4.62)</f>
        <v>4.62</v>
      </c>
      <c r="G2637" s="5">
        <f>IFERROR(__xludf.DUMMYFUNCTION("""COMPUTED_VALUE"""),11039.0)</f>
        <v>11039</v>
      </c>
      <c r="H2637" s="5">
        <f>IFERROR(__xludf.DUMMYFUNCTION("""COMPUTED_VALUE"""),2388.0)</f>
        <v>2388</v>
      </c>
    </row>
    <row r="2638">
      <c r="A2638" s="4">
        <f>IFERROR(__xludf.DUMMYFUNCTION("""COMPUTED_VALUE"""),45006.0)</f>
        <v>45006</v>
      </c>
      <c r="B2638" s="5">
        <f>IFERROR(__xludf.DUMMYFUNCTION("""COMPUTED_VALUE"""),2430.0)</f>
        <v>2430</v>
      </c>
      <c r="C2638" s="6">
        <f>IFERROR(__xludf.DUMMYFUNCTION("""COMPUTED_VALUE"""),0.4616)</f>
        <v>0.4616</v>
      </c>
      <c r="D2638" s="2">
        <f>IFERROR(__xludf.DUMMYFUNCTION("""COMPUTED_VALUE"""),0.002002314814814815)</f>
        <v>0.002002314815</v>
      </c>
      <c r="E2638" s="1">
        <f>IFERROR(__xludf.DUMMYFUNCTION("""COMPUTED_VALUE"""),1.11)</f>
        <v>1.11</v>
      </c>
      <c r="F2638" s="1">
        <f>IFERROR(__xludf.DUMMYFUNCTION("""COMPUTED_VALUE"""),4.34)</f>
        <v>4.34</v>
      </c>
      <c r="G2638" s="5">
        <f>IFERROR(__xludf.DUMMYFUNCTION("""COMPUTED_VALUE"""),11761.0)</f>
        <v>11761</v>
      </c>
      <c r="H2638" s="5">
        <f>IFERROR(__xludf.DUMMYFUNCTION("""COMPUTED_VALUE"""),2708.0)</f>
        <v>2708</v>
      </c>
    </row>
    <row r="2639">
      <c r="A2639" s="4">
        <f>IFERROR(__xludf.DUMMYFUNCTION("""COMPUTED_VALUE"""),45007.0)</f>
        <v>45007</v>
      </c>
      <c r="B2639" s="5">
        <f>IFERROR(__xludf.DUMMYFUNCTION("""COMPUTED_VALUE"""),2305.0)</f>
        <v>2305</v>
      </c>
      <c r="C2639" s="6">
        <f>IFERROR(__xludf.DUMMYFUNCTION("""COMPUTED_VALUE"""),0.4434)</f>
        <v>0.4434</v>
      </c>
      <c r="D2639" s="2">
        <f>IFERROR(__xludf.DUMMYFUNCTION("""COMPUTED_VALUE"""),0.0021527777777777778)</f>
        <v>0.002152777778</v>
      </c>
      <c r="E2639" s="1">
        <f>IFERROR(__xludf.DUMMYFUNCTION("""COMPUTED_VALUE"""),1.11)</f>
        <v>1.11</v>
      </c>
      <c r="F2639" s="1">
        <f>IFERROR(__xludf.DUMMYFUNCTION("""COMPUTED_VALUE"""),4.16)</f>
        <v>4.16</v>
      </c>
      <c r="G2639" s="5">
        <f>IFERROR(__xludf.DUMMYFUNCTION("""COMPUTED_VALUE"""),10692.0)</f>
        <v>10692</v>
      </c>
      <c r="H2639" s="5">
        <f>IFERROR(__xludf.DUMMYFUNCTION("""COMPUTED_VALUE"""),2569.0)</f>
        <v>2569</v>
      </c>
    </row>
    <row r="2640">
      <c r="A2640" s="4">
        <f>IFERROR(__xludf.DUMMYFUNCTION("""COMPUTED_VALUE"""),45008.0)</f>
        <v>45008</v>
      </c>
      <c r="B2640" s="5">
        <f>IFERROR(__xludf.DUMMYFUNCTION("""COMPUTED_VALUE"""),2222.0)</f>
        <v>2222</v>
      </c>
      <c r="C2640" s="6">
        <f>IFERROR(__xludf.DUMMYFUNCTION("""COMPUTED_VALUE"""),0.4152)</f>
        <v>0.4152</v>
      </c>
      <c r="D2640" s="2">
        <f>IFERROR(__xludf.DUMMYFUNCTION("""COMPUTED_VALUE"""),0.0028356481481481483)</f>
        <v>0.002835648148</v>
      </c>
      <c r="E2640" s="1">
        <f>IFERROR(__xludf.DUMMYFUNCTION("""COMPUTED_VALUE"""),1.14)</f>
        <v>1.14</v>
      </c>
      <c r="F2640" s="1">
        <f>IFERROR(__xludf.DUMMYFUNCTION("""COMPUTED_VALUE"""),4.77)</f>
        <v>4.77</v>
      </c>
      <c r="G2640" s="5">
        <f>IFERROR(__xludf.DUMMYFUNCTION("""COMPUTED_VALUE"""),12122.0)</f>
        <v>12122</v>
      </c>
      <c r="H2640" s="5">
        <f>IFERROR(__xludf.DUMMYFUNCTION("""COMPUTED_VALUE"""),2541.0)</f>
        <v>2541</v>
      </c>
    </row>
    <row r="2641">
      <c r="A2641" s="4">
        <f>IFERROR(__xludf.DUMMYFUNCTION("""COMPUTED_VALUE"""),45009.0)</f>
        <v>45009</v>
      </c>
      <c r="B2641" s="5">
        <f>IFERROR(__xludf.DUMMYFUNCTION("""COMPUTED_VALUE"""),1916.0)</f>
        <v>1916</v>
      </c>
      <c r="C2641" s="6">
        <f>IFERROR(__xludf.DUMMYFUNCTION("""COMPUTED_VALUE"""),0.4398)</f>
        <v>0.4398</v>
      </c>
      <c r="D2641" s="2">
        <f>IFERROR(__xludf.DUMMYFUNCTION("""COMPUTED_VALUE"""),0.002013888888888889)</f>
        <v>0.002013888889</v>
      </c>
      <c r="E2641" s="1">
        <f>IFERROR(__xludf.DUMMYFUNCTION("""COMPUTED_VALUE"""),1.09)</f>
        <v>1.09</v>
      </c>
      <c r="F2641" s="1">
        <f>IFERROR(__xludf.DUMMYFUNCTION("""COMPUTED_VALUE"""),4.22)</f>
        <v>4.22</v>
      </c>
      <c r="G2641" s="5">
        <f>IFERROR(__xludf.DUMMYFUNCTION("""COMPUTED_VALUE"""),8789.0)</f>
        <v>8789</v>
      </c>
      <c r="H2641" s="5">
        <f>IFERROR(__xludf.DUMMYFUNCTION("""COMPUTED_VALUE"""),2083.0)</f>
        <v>2083</v>
      </c>
    </row>
    <row r="2642">
      <c r="A2642" s="4">
        <f>IFERROR(__xludf.DUMMYFUNCTION("""COMPUTED_VALUE"""),45010.0)</f>
        <v>45010</v>
      </c>
      <c r="B2642" s="5">
        <f>IFERROR(__xludf.DUMMYFUNCTION("""COMPUTED_VALUE"""),1083.0)</f>
        <v>1083</v>
      </c>
      <c r="C2642" s="6">
        <f>IFERROR(__xludf.DUMMYFUNCTION("""COMPUTED_VALUE"""),0.5267)</f>
        <v>0.5267</v>
      </c>
      <c r="D2642" s="2">
        <f>IFERROR(__xludf.DUMMYFUNCTION("""COMPUTED_VALUE"""),0.0023148148148148147)</f>
        <v>0.002314814815</v>
      </c>
      <c r="E2642" s="1">
        <f>IFERROR(__xludf.DUMMYFUNCTION("""COMPUTED_VALUE"""),1.19)</f>
        <v>1.19</v>
      </c>
      <c r="F2642" s="1">
        <f>IFERROR(__xludf.DUMMYFUNCTION("""COMPUTED_VALUE"""),3.67)</f>
        <v>3.67</v>
      </c>
      <c r="G2642" s="5">
        <f>IFERROR(__xludf.DUMMYFUNCTION("""COMPUTED_VALUE"""),4735.0)</f>
        <v>4735</v>
      </c>
      <c r="H2642" s="5">
        <f>IFERROR(__xludf.DUMMYFUNCTION("""COMPUTED_VALUE"""),1291.0)</f>
        <v>1291</v>
      </c>
    </row>
    <row r="2643">
      <c r="A2643" s="4">
        <f>IFERROR(__xludf.DUMMYFUNCTION("""COMPUTED_VALUE"""),45011.0)</f>
        <v>45011</v>
      </c>
      <c r="B2643" s="5">
        <f>IFERROR(__xludf.DUMMYFUNCTION("""COMPUTED_VALUE"""),1264.0)</f>
        <v>1264</v>
      </c>
      <c r="C2643" s="6">
        <f>IFERROR(__xludf.DUMMYFUNCTION("""COMPUTED_VALUE"""),0.4513)</f>
        <v>0.4513</v>
      </c>
      <c r="D2643" s="2">
        <f>IFERROR(__xludf.DUMMYFUNCTION("""COMPUTED_VALUE"""),0.002037037037037037)</f>
        <v>0.002037037037</v>
      </c>
      <c r="E2643" s="1">
        <f>IFERROR(__xludf.DUMMYFUNCTION("""COMPUTED_VALUE"""),1.12)</f>
        <v>1.12</v>
      </c>
      <c r="F2643" s="1">
        <f>IFERROR(__xludf.DUMMYFUNCTION("""COMPUTED_VALUE"""),3.75)</f>
        <v>3.75</v>
      </c>
      <c r="G2643" s="5">
        <f>IFERROR(__xludf.DUMMYFUNCTION("""COMPUTED_VALUE"""),5304.0)</f>
        <v>5304</v>
      </c>
      <c r="H2643" s="5">
        <f>IFERROR(__xludf.DUMMYFUNCTION("""COMPUTED_VALUE"""),1416.0)</f>
        <v>1416</v>
      </c>
    </row>
    <row r="2644">
      <c r="A2644" s="4">
        <f>IFERROR(__xludf.DUMMYFUNCTION("""COMPUTED_VALUE"""),45012.0)</f>
        <v>45012</v>
      </c>
      <c r="B2644" s="5">
        <f>IFERROR(__xludf.DUMMYFUNCTION("""COMPUTED_VALUE"""),2166.0)</f>
        <v>2166</v>
      </c>
      <c r="C2644" s="6">
        <f>IFERROR(__xludf.DUMMYFUNCTION("""COMPUTED_VALUE"""),0.4636)</f>
        <v>0.4636</v>
      </c>
      <c r="D2644" s="2">
        <f>IFERROR(__xludf.DUMMYFUNCTION("""COMPUTED_VALUE"""),0.0023032407407407407)</f>
        <v>0.002303240741</v>
      </c>
      <c r="E2644" s="1">
        <f>IFERROR(__xludf.DUMMYFUNCTION("""COMPUTED_VALUE"""),1.15)</f>
        <v>1.15</v>
      </c>
      <c r="F2644" s="1">
        <f>IFERROR(__xludf.DUMMYFUNCTION("""COMPUTED_VALUE"""),3.67)</f>
        <v>3.67</v>
      </c>
      <c r="G2644" s="5">
        <f>IFERROR(__xludf.DUMMYFUNCTION("""COMPUTED_VALUE"""),9109.0)</f>
        <v>9109</v>
      </c>
      <c r="H2644" s="5">
        <f>IFERROR(__xludf.DUMMYFUNCTION("""COMPUTED_VALUE"""),2485.0)</f>
        <v>2485</v>
      </c>
    </row>
    <row r="2645">
      <c r="A2645" s="4">
        <f>IFERROR(__xludf.DUMMYFUNCTION("""COMPUTED_VALUE"""),45013.0)</f>
        <v>45013</v>
      </c>
      <c r="B2645" s="5">
        <f>IFERROR(__xludf.DUMMYFUNCTION("""COMPUTED_VALUE"""),2222.0)</f>
        <v>2222</v>
      </c>
      <c r="C2645" s="6">
        <f>IFERROR(__xludf.DUMMYFUNCTION("""COMPUTED_VALUE"""),0.5166)</f>
        <v>0.5166</v>
      </c>
      <c r="D2645" s="2">
        <f>IFERROR(__xludf.DUMMYFUNCTION("""COMPUTED_VALUE"""),0.002372685185185185)</f>
        <v>0.002372685185</v>
      </c>
      <c r="E2645" s="1">
        <f>IFERROR(__xludf.DUMMYFUNCTION("""COMPUTED_VALUE"""),1.12)</f>
        <v>1.12</v>
      </c>
      <c r="F2645" s="1">
        <f>IFERROR(__xludf.DUMMYFUNCTION("""COMPUTED_VALUE"""),3.81)</f>
        <v>3.81</v>
      </c>
      <c r="G2645" s="5">
        <f>IFERROR(__xludf.DUMMYFUNCTION("""COMPUTED_VALUE"""),9511.0)</f>
        <v>9511</v>
      </c>
      <c r="H2645" s="5">
        <f>IFERROR(__xludf.DUMMYFUNCTION("""COMPUTED_VALUE"""),2499.0)</f>
        <v>2499</v>
      </c>
    </row>
    <row r="2646">
      <c r="A2646" s="4">
        <f>IFERROR(__xludf.DUMMYFUNCTION("""COMPUTED_VALUE"""),45014.0)</f>
        <v>45014</v>
      </c>
      <c r="B2646" s="5">
        <f>IFERROR(__xludf.DUMMYFUNCTION("""COMPUTED_VALUE"""),2222.0)</f>
        <v>2222</v>
      </c>
      <c r="C2646" s="6">
        <f>IFERROR(__xludf.DUMMYFUNCTION("""COMPUTED_VALUE"""),0.4587)</f>
        <v>0.4587</v>
      </c>
      <c r="D2646" s="2">
        <f>IFERROR(__xludf.DUMMYFUNCTION("""COMPUTED_VALUE"""),0.002627314814814815)</f>
        <v>0.002627314815</v>
      </c>
      <c r="E2646" s="1">
        <f>IFERROR(__xludf.DUMMYFUNCTION("""COMPUTED_VALUE"""),1.06)</f>
        <v>1.06</v>
      </c>
      <c r="F2646" s="1">
        <f>IFERROR(__xludf.DUMMYFUNCTION("""COMPUTED_VALUE"""),5.13)</f>
        <v>5.13</v>
      </c>
      <c r="G2646" s="5">
        <f>IFERROR(__xludf.DUMMYFUNCTION("""COMPUTED_VALUE"""),12108.0)</f>
        <v>12108</v>
      </c>
      <c r="H2646" s="5">
        <f>IFERROR(__xludf.DUMMYFUNCTION("""COMPUTED_VALUE"""),2361.0)</f>
        <v>2361</v>
      </c>
    </row>
    <row r="2647">
      <c r="A2647" s="4">
        <f>IFERROR(__xludf.DUMMYFUNCTION("""COMPUTED_VALUE"""),45015.0)</f>
        <v>45015</v>
      </c>
      <c r="B2647" s="5">
        <f>IFERROR(__xludf.DUMMYFUNCTION("""COMPUTED_VALUE"""),2263.0)</f>
        <v>2263</v>
      </c>
      <c r="C2647" s="6">
        <f>IFERROR(__xludf.DUMMYFUNCTION("""COMPUTED_VALUE"""),0.4482)</f>
        <v>0.4482</v>
      </c>
      <c r="D2647" s="2">
        <f>IFERROR(__xludf.DUMMYFUNCTION("""COMPUTED_VALUE"""),0.001979166666666667)</f>
        <v>0.001979166667</v>
      </c>
      <c r="E2647" s="1">
        <f>IFERROR(__xludf.DUMMYFUNCTION("""COMPUTED_VALUE"""),1.12)</f>
        <v>1.12</v>
      </c>
      <c r="F2647" s="1">
        <f>IFERROR(__xludf.DUMMYFUNCTION("""COMPUTED_VALUE"""),4.22)</f>
        <v>4.22</v>
      </c>
      <c r="G2647" s="5">
        <f>IFERROR(__xludf.DUMMYFUNCTION("""COMPUTED_VALUE"""),10720.0)</f>
        <v>10720</v>
      </c>
      <c r="H2647" s="5">
        <f>IFERROR(__xludf.DUMMYFUNCTION("""COMPUTED_VALUE"""),2541.0)</f>
        <v>2541</v>
      </c>
    </row>
    <row r="2648">
      <c r="A2648" s="4">
        <f>IFERROR(__xludf.DUMMYFUNCTION("""COMPUTED_VALUE"""),45016.0)</f>
        <v>45016</v>
      </c>
      <c r="B2648" s="5">
        <f>IFERROR(__xludf.DUMMYFUNCTION("""COMPUTED_VALUE"""),1916.0)</f>
        <v>1916</v>
      </c>
      <c r="C2648" s="6">
        <f>IFERROR(__xludf.DUMMYFUNCTION("""COMPUTED_VALUE"""),0.5274)</f>
        <v>0.5274</v>
      </c>
      <c r="D2648" s="2">
        <f>IFERROR(__xludf.DUMMYFUNCTION("""COMPUTED_VALUE"""),0.001851851851851852)</f>
        <v>0.001851851852</v>
      </c>
      <c r="E2648" s="1">
        <f>IFERROR(__xludf.DUMMYFUNCTION("""COMPUTED_VALUE"""),1.06)</f>
        <v>1.06</v>
      </c>
      <c r="F2648" s="1">
        <f>IFERROR(__xludf.DUMMYFUNCTION("""COMPUTED_VALUE"""),3.44)</f>
        <v>3.44</v>
      </c>
      <c r="G2648" s="5">
        <f>IFERROR(__xludf.DUMMYFUNCTION("""COMPUTED_VALUE"""),6970.0)</f>
        <v>6970</v>
      </c>
      <c r="H2648" s="5">
        <f>IFERROR(__xludf.DUMMYFUNCTION("""COMPUTED_VALUE"""),2027.0)</f>
        <v>2027</v>
      </c>
    </row>
    <row r="2649">
      <c r="A2649" s="4">
        <f>IFERROR(__xludf.DUMMYFUNCTION("""COMPUTED_VALUE"""),45017.0)</f>
        <v>45017</v>
      </c>
      <c r="B2649" s="5">
        <f>IFERROR(__xludf.DUMMYFUNCTION("""COMPUTED_VALUE"""),1083.0)</f>
        <v>1083</v>
      </c>
      <c r="C2649" s="6">
        <f>IFERROR(__xludf.DUMMYFUNCTION("""COMPUTED_VALUE"""),0.5297)</f>
        <v>0.5297</v>
      </c>
      <c r="D2649" s="2">
        <f>IFERROR(__xludf.DUMMYFUNCTION("""COMPUTED_VALUE"""),0.0018402777777777777)</f>
        <v>0.001840277778</v>
      </c>
      <c r="E2649" s="1">
        <f>IFERROR(__xludf.DUMMYFUNCTION("""COMPUTED_VALUE"""),1.09)</f>
        <v>1.09</v>
      </c>
      <c r="F2649" s="1">
        <f>IFERROR(__xludf.DUMMYFUNCTION("""COMPUTED_VALUE"""),4.04)</f>
        <v>4.04</v>
      </c>
      <c r="G2649" s="5">
        <f>IFERROR(__xludf.DUMMYFUNCTION("""COMPUTED_VALUE"""),4763.0)</f>
        <v>4763</v>
      </c>
      <c r="H2649" s="5">
        <f>IFERROR(__xludf.DUMMYFUNCTION("""COMPUTED_VALUE"""),1180.0)</f>
        <v>1180</v>
      </c>
    </row>
    <row r="2650">
      <c r="A2650" s="4">
        <f>IFERROR(__xludf.DUMMYFUNCTION("""COMPUTED_VALUE"""),45018.0)</f>
        <v>45018</v>
      </c>
      <c r="B2650" s="5">
        <f>IFERROR(__xludf.DUMMYFUNCTION("""COMPUTED_VALUE"""),1194.0)</f>
        <v>1194</v>
      </c>
      <c r="C2650" s="6">
        <f>IFERROR(__xludf.DUMMYFUNCTION("""COMPUTED_VALUE"""),0.5601)</f>
        <v>0.5601</v>
      </c>
      <c r="D2650" s="2">
        <f>IFERROR(__xludf.DUMMYFUNCTION("""COMPUTED_VALUE"""),0.0020486111111111113)</f>
        <v>0.002048611111</v>
      </c>
      <c r="E2650" s="1">
        <f>IFERROR(__xludf.DUMMYFUNCTION("""COMPUTED_VALUE"""),1.06)</f>
        <v>1.06</v>
      </c>
      <c r="F2650" s="1">
        <f>IFERROR(__xludf.DUMMYFUNCTION("""COMPUTED_VALUE"""),4.04)</f>
        <v>4.04</v>
      </c>
      <c r="G2650" s="5">
        <f>IFERROR(__xludf.DUMMYFUNCTION("""COMPUTED_VALUE"""),5110.0)</f>
        <v>5110</v>
      </c>
      <c r="H2650" s="5">
        <f>IFERROR(__xludf.DUMMYFUNCTION("""COMPUTED_VALUE"""),1264.0)</f>
        <v>1264</v>
      </c>
    </row>
    <row r="2651">
      <c r="A2651" s="4">
        <f>IFERROR(__xludf.DUMMYFUNCTION("""COMPUTED_VALUE"""),45019.0)</f>
        <v>45019</v>
      </c>
      <c r="B2651" s="5">
        <f>IFERROR(__xludf.DUMMYFUNCTION("""COMPUTED_VALUE"""),1999.0)</f>
        <v>1999</v>
      </c>
      <c r="C2651" s="6">
        <f>IFERROR(__xludf.DUMMYFUNCTION("""COMPUTED_VALUE"""),0.4691)</f>
        <v>0.4691</v>
      </c>
      <c r="D2651" s="2">
        <f>IFERROR(__xludf.DUMMYFUNCTION("""COMPUTED_VALUE"""),0.0025925925925925925)</f>
        <v>0.002592592593</v>
      </c>
      <c r="E2651" s="1">
        <f>IFERROR(__xludf.DUMMYFUNCTION("""COMPUTED_VALUE"""),1.13)</f>
        <v>1.13</v>
      </c>
      <c r="F2651" s="1">
        <f>IFERROR(__xludf.DUMMYFUNCTION("""COMPUTED_VALUE"""),4.16)</f>
        <v>4.16</v>
      </c>
      <c r="G2651" s="5">
        <f>IFERROR(__xludf.DUMMYFUNCTION("""COMPUTED_VALUE"""),9359.0)</f>
        <v>9359</v>
      </c>
      <c r="H2651" s="5">
        <f>IFERROR(__xludf.DUMMYFUNCTION("""COMPUTED_VALUE"""),2249.0)</f>
        <v>2249</v>
      </c>
    </row>
    <row r="2652">
      <c r="A2652" s="4">
        <f>IFERROR(__xludf.DUMMYFUNCTION("""COMPUTED_VALUE"""),45020.0)</f>
        <v>45020</v>
      </c>
      <c r="B2652" s="5">
        <f>IFERROR(__xludf.DUMMYFUNCTION("""COMPUTED_VALUE"""),2513.0)</f>
        <v>2513</v>
      </c>
      <c r="C2652" s="6">
        <f>IFERROR(__xludf.DUMMYFUNCTION("""COMPUTED_VALUE"""),0.4664)</f>
        <v>0.4664</v>
      </c>
      <c r="D2652" s="2">
        <f>IFERROR(__xludf.DUMMYFUNCTION("""COMPUTED_VALUE"""),0.0024074074074074076)</f>
        <v>0.002407407407</v>
      </c>
      <c r="E2652" s="1">
        <f>IFERROR(__xludf.DUMMYFUNCTION("""COMPUTED_VALUE"""),1.07)</f>
        <v>1.07</v>
      </c>
      <c r="F2652" s="1">
        <f>IFERROR(__xludf.DUMMYFUNCTION("""COMPUTED_VALUE"""),3.46)</f>
        <v>3.46</v>
      </c>
      <c r="G2652" s="5">
        <f>IFERROR(__xludf.DUMMYFUNCTION("""COMPUTED_VALUE"""),9262.0)</f>
        <v>9262</v>
      </c>
      <c r="H2652" s="5">
        <f>IFERROR(__xludf.DUMMYFUNCTION("""COMPUTED_VALUE"""),2680.0)</f>
        <v>2680</v>
      </c>
    </row>
    <row r="2653">
      <c r="A2653" s="4">
        <f>IFERROR(__xludf.DUMMYFUNCTION("""COMPUTED_VALUE"""),45021.0)</f>
        <v>45021</v>
      </c>
      <c r="B2653" s="5">
        <f>IFERROR(__xludf.DUMMYFUNCTION("""COMPUTED_VALUE"""),3916.0)</f>
        <v>3916</v>
      </c>
      <c r="C2653" s="6">
        <f>IFERROR(__xludf.DUMMYFUNCTION("""COMPUTED_VALUE"""),0.4983)</f>
        <v>0.4983</v>
      </c>
      <c r="D2653" s="2">
        <f>IFERROR(__xludf.DUMMYFUNCTION("""COMPUTED_VALUE"""),0.0018981481481481482)</f>
        <v>0.001898148148</v>
      </c>
      <c r="E2653" s="1">
        <f>IFERROR(__xludf.DUMMYFUNCTION("""COMPUTED_VALUE"""),1.1)</f>
        <v>1.1</v>
      </c>
      <c r="F2653" s="1">
        <f>IFERROR(__xludf.DUMMYFUNCTION("""COMPUTED_VALUE"""),3.64)</f>
        <v>3.64</v>
      </c>
      <c r="G2653" s="5">
        <f>IFERROR(__xludf.DUMMYFUNCTION("""COMPUTED_VALUE"""),15635.0)</f>
        <v>15635</v>
      </c>
      <c r="H2653" s="5">
        <f>IFERROR(__xludf.DUMMYFUNCTION("""COMPUTED_VALUE"""),4291.0)</f>
        <v>4291</v>
      </c>
    </row>
    <row r="2654">
      <c r="A2654" s="4">
        <f>IFERROR(__xludf.DUMMYFUNCTION("""COMPUTED_VALUE"""),45022.0)</f>
        <v>45022</v>
      </c>
      <c r="B2654" s="5">
        <f>IFERROR(__xludf.DUMMYFUNCTION("""COMPUTED_VALUE"""),2749.0)</f>
        <v>2749</v>
      </c>
      <c r="C2654" s="6">
        <f>IFERROR(__xludf.DUMMYFUNCTION("""COMPUTED_VALUE"""),0.5225)</f>
        <v>0.5225</v>
      </c>
      <c r="D2654" s="2">
        <f>IFERROR(__xludf.DUMMYFUNCTION("""COMPUTED_VALUE"""),0.001388888888888889)</f>
        <v>0.001388888889</v>
      </c>
      <c r="E2654" s="1">
        <f>IFERROR(__xludf.DUMMYFUNCTION("""COMPUTED_VALUE"""),1.12)</f>
        <v>1.12</v>
      </c>
      <c r="F2654" s="1">
        <f>IFERROR(__xludf.DUMMYFUNCTION("""COMPUTED_VALUE"""),3.27)</f>
        <v>3.27</v>
      </c>
      <c r="G2654" s="5">
        <f>IFERROR(__xludf.DUMMYFUNCTION("""COMPUTED_VALUE"""),10095.0)</f>
        <v>10095</v>
      </c>
      <c r="H2654" s="5">
        <f>IFERROR(__xludf.DUMMYFUNCTION("""COMPUTED_VALUE"""),3083.0)</f>
        <v>3083</v>
      </c>
    </row>
    <row r="2655">
      <c r="A2655" s="4">
        <f>IFERROR(__xludf.DUMMYFUNCTION("""COMPUTED_VALUE"""),45023.0)</f>
        <v>45023</v>
      </c>
      <c r="B2655" s="5">
        <f>IFERROR(__xludf.DUMMYFUNCTION("""COMPUTED_VALUE"""),2402.0)</f>
        <v>2402</v>
      </c>
      <c r="C2655" s="6">
        <f>IFERROR(__xludf.DUMMYFUNCTION("""COMPUTED_VALUE"""),0.4893)</f>
        <v>0.4893</v>
      </c>
      <c r="D2655" s="2">
        <f>IFERROR(__xludf.DUMMYFUNCTION("""COMPUTED_VALUE"""),0.0015046296296296296)</f>
        <v>0.00150462963</v>
      </c>
      <c r="E2655" s="1">
        <f>IFERROR(__xludf.DUMMYFUNCTION("""COMPUTED_VALUE"""),1.09)</f>
        <v>1.09</v>
      </c>
      <c r="F2655" s="1">
        <f>IFERROR(__xludf.DUMMYFUNCTION("""COMPUTED_VALUE"""),3.36)</f>
        <v>3.36</v>
      </c>
      <c r="G2655" s="5">
        <f>IFERROR(__xludf.DUMMYFUNCTION("""COMPUTED_VALUE"""),8776.0)</f>
        <v>8776</v>
      </c>
      <c r="H2655" s="5">
        <f>IFERROR(__xludf.DUMMYFUNCTION("""COMPUTED_VALUE"""),2610.0)</f>
        <v>2610</v>
      </c>
    </row>
    <row r="2656">
      <c r="A2656" s="4">
        <f>IFERROR(__xludf.DUMMYFUNCTION("""COMPUTED_VALUE"""),45024.0)</f>
        <v>45024</v>
      </c>
      <c r="B2656" s="5">
        <f>IFERROR(__xludf.DUMMYFUNCTION("""COMPUTED_VALUE"""),1999.0)</f>
        <v>1999</v>
      </c>
      <c r="C2656" s="6">
        <f>IFERROR(__xludf.DUMMYFUNCTION("""COMPUTED_VALUE"""),0.4872)</f>
        <v>0.4872</v>
      </c>
      <c r="D2656" s="2">
        <f>IFERROR(__xludf.DUMMYFUNCTION("""COMPUTED_VALUE"""),0.0018055555555555555)</f>
        <v>0.001805555556</v>
      </c>
      <c r="E2656" s="1">
        <f>IFERROR(__xludf.DUMMYFUNCTION("""COMPUTED_VALUE"""),1.1)</f>
        <v>1.1</v>
      </c>
      <c r="F2656" s="1">
        <f>IFERROR(__xludf.DUMMYFUNCTION("""COMPUTED_VALUE"""),3.21)</f>
        <v>3.21</v>
      </c>
      <c r="G2656" s="5">
        <f>IFERROR(__xludf.DUMMYFUNCTION("""COMPUTED_VALUE"""),7040.0)</f>
        <v>7040</v>
      </c>
      <c r="H2656" s="5">
        <f>IFERROR(__xludf.DUMMYFUNCTION("""COMPUTED_VALUE"""),2194.0)</f>
        <v>2194</v>
      </c>
    </row>
    <row r="2657">
      <c r="A2657" s="4">
        <f>IFERROR(__xludf.DUMMYFUNCTION("""COMPUTED_VALUE"""),45025.0)</f>
        <v>45025</v>
      </c>
      <c r="B2657" s="5">
        <f>IFERROR(__xludf.DUMMYFUNCTION("""COMPUTED_VALUE"""),2208.0)</f>
        <v>2208</v>
      </c>
      <c r="C2657" s="6">
        <f>IFERROR(__xludf.DUMMYFUNCTION("""COMPUTED_VALUE"""),0.5058)</f>
        <v>0.5058</v>
      </c>
      <c r="D2657" s="2">
        <f>IFERROR(__xludf.DUMMYFUNCTION("""COMPUTED_VALUE"""),0.0015162037037037036)</f>
        <v>0.001516203704</v>
      </c>
      <c r="E2657" s="1">
        <f>IFERROR(__xludf.DUMMYFUNCTION("""COMPUTED_VALUE"""),1.06)</f>
        <v>1.06</v>
      </c>
      <c r="F2657" s="1">
        <f>IFERROR(__xludf.DUMMYFUNCTION("""COMPUTED_VALUE"""),3.21)</f>
        <v>3.21</v>
      </c>
      <c r="G2657" s="5">
        <f>IFERROR(__xludf.DUMMYFUNCTION("""COMPUTED_VALUE"""),7484.0)</f>
        <v>7484</v>
      </c>
      <c r="H2657" s="5">
        <f>IFERROR(__xludf.DUMMYFUNCTION("""COMPUTED_VALUE"""),2333.0)</f>
        <v>2333</v>
      </c>
    </row>
    <row r="2658">
      <c r="A2658" s="4">
        <f>IFERROR(__xludf.DUMMYFUNCTION("""COMPUTED_VALUE"""),45026.0)</f>
        <v>45026</v>
      </c>
      <c r="B2658" s="5">
        <f>IFERROR(__xludf.DUMMYFUNCTION("""COMPUTED_VALUE"""),3541.0)</f>
        <v>3541</v>
      </c>
      <c r="C2658" s="6">
        <f>IFERROR(__xludf.DUMMYFUNCTION("""COMPUTED_VALUE"""),0.4099)</f>
        <v>0.4099</v>
      </c>
      <c r="D2658" s="2">
        <f>IFERROR(__xludf.DUMMYFUNCTION("""COMPUTED_VALUE"""),0.0018981481481481482)</f>
        <v>0.001898148148</v>
      </c>
      <c r="E2658" s="1">
        <f>IFERROR(__xludf.DUMMYFUNCTION("""COMPUTED_VALUE"""),1.04)</f>
        <v>1.04</v>
      </c>
      <c r="F2658" s="1">
        <f>IFERROR(__xludf.DUMMYFUNCTION("""COMPUTED_VALUE"""),3.97)</f>
        <v>3.97</v>
      </c>
      <c r="G2658" s="5">
        <f>IFERROR(__xludf.DUMMYFUNCTION("""COMPUTED_VALUE"""),14649.0)</f>
        <v>14649</v>
      </c>
      <c r="H2658" s="5">
        <f>IFERROR(__xludf.DUMMYFUNCTION("""COMPUTED_VALUE"""),3694.0)</f>
        <v>3694</v>
      </c>
    </row>
    <row r="2659">
      <c r="A2659" s="4">
        <f>IFERROR(__xludf.DUMMYFUNCTION("""COMPUTED_VALUE"""),45027.0)</f>
        <v>45027</v>
      </c>
      <c r="B2659" s="5">
        <f>IFERROR(__xludf.DUMMYFUNCTION("""COMPUTED_VALUE"""),2999.0)</f>
        <v>2999</v>
      </c>
      <c r="C2659" s="6">
        <f>IFERROR(__xludf.DUMMYFUNCTION("""COMPUTED_VALUE"""),0.3612)</f>
        <v>0.3612</v>
      </c>
      <c r="D2659" s="2">
        <f>IFERROR(__xludf.DUMMYFUNCTION("""COMPUTED_VALUE"""),0.004039351851851852)</f>
        <v>0.004039351852</v>
      </c>
      <c r="E2659" s="1">
        <f>IFERROR(__xludf.DUMMYFUNCTION("""COMPUTED_VALUE"""),1.17)</f>
        <v>1.17</v>
      </c>
      <c r="F2659" s="1">
        <f>IFERROR(__xludf.DUMMYFUNCTION("""COMPUTED_VALUE"""),5.41)</f>
        <v>5.41</v>
      </c>
      <c r="G2659" s="5">
        <f>IFERROR(__xludf.DUMMYFUNCTION("""COMPUTED_VALUE"""),18926.0)</f>
        <v>18926</v>
      </c>
      <c r="H2659" s="5">
        <f>IFERROR(__xludf.DUMMYFUNCTION("""COMPUTED_VALUE"""),3499.0)</f>
        <v>3499</v>
      </c>
    </row>
    <row r="2660">
      <c r="A2660" s="4">
        <f>IFERROR(__xludf.DUMMYFUNCTION("""COMPUTED_VALUE"""),45028.0)</f>
        <v>45028</v>
      </c>
      <c r="B2660" s="5">
        <f>IFERROR(__xludf.DUMMYFUNCTION("""COMPUTED_VALUE"""),3263.0)</f>
        <v>3263</v>
      </c>
      <c r="C2660" s="6">
        <f>IFERROR(__xludf.DUMMYFUNCTION("""COMPUTED_VALUE"""),0.4544)</f>
        <v>0.4544</v>
      </c>
      <c r="D2660" s="2">
        <f>IFERROR(__xludf.DUMMYFUNCTION("""COMPUTED_VALUE"""),0.0035185185185185185)</f>
        <v>0.003518518519</v>
      </c>
      <c r="E2660" s="1">
        <f>IFERROR(__xludf.DUMMYFUNCTION("""COMPUTED_VALUE"""),1.12)</f>
        <v>1.12</v>
      </c>
      <c r="F2660" s="1">
        <f>IFERROR(__xludf.DUMMYFUNCTION("""COMPUTED_VALUE"""),4.97)</f>
        <v>4.97</v>
      </c>
      <c r="G2660" s="5">
        <f>IFERROR(__xludf.DUMMYFUNCTION("""COMPUTED_VALUE"""),18204.0)</f>
        <v>18204</v>
      </c>
      <c r="H2660" s="5">
        <f>IFERROR(__xludf.DUMMYFUNCTION("""COMPUTED_VALUE"""),3666.0)</f>
        <v>3666</v>
      </c>
    </row>
    <row r="2661">
      <c r="A2661" s="4">
        <f>IFERROR(__xludf.DUMMYFUNCTION("""COMPUTED_VALUE"""),45029.0)</f>
        <v>45029</v>
      </c>
      <c r="B2661" s="5">
        <f>IFERROR(__xludf.DUMMYFUNCTION("""COMPUTED_VALUE"""),2597.0)</f>
        <v>2597</v>
      </c>
      <c r="C2661" s="6">
        <f>IFERROR(__xludf.DUMMYFUNCTION("""COMPUTED_VALUE"""),0.448)</f>
        <v>0.448</v>
      </c>
      <c r="D2661" s="2">
        <f>IFERROR(__xludf.DUMMYFUNCTION("""COMPUTED_VALUE"""),0.002638888888888889)</f>
        <v>0.002638888889</v>
      </c>
      <c r="E2661" s="1">
        <f>IFERROR(__xludf.DUMMYFUNCTION("""COMPUTED_VALUE"""),1.13)</f>
        <v>1.13</v>
      </c>
      <c r="F2661" s="1">
        <f>IFERROR(__xludf.DUMMYFUNCTION("""COMPUTED_VALUE"""),3.93)</f>
        <v>3.93</v>
      </c>
      <c r="G2661" s="5">
        <f>IFERROR(__xludf.DUMMYFUNCTION("""COMPUTED_VALUE"""),11567.0)</f>
        <v>11567</v>
      </c>
      <c r="H2661" s="5">
        <f>IFERROR(__xludf.DUMMYFUNCTION("""COMPUTED_VALUE"""),2944.0)</f>
        <v>2944</v>
      </c>
    </row>
    <row r="2662">
      <c r="A2662" s="4">
        <f>IFERROR(__xludf.DUMMYFUNCTION("""COMPUTED_VALUE"""),45030.0)</f>
        <v>45030</v>
      </c>
      <c r="B2662" s="5">
        <f>IFERROR(__xludf.DUMMYFUNCTION("""COMPUTED_VALUE"""),2874.0)</f>
        <v>2874</v>
      </c>
      <c r="C2662" s="6">
        <f>IFERROR(__xludf.DUMMYFUNCTION("""COMPUTED_VALUE"""),0.489)</f>
        <v>0.489</v>
      </c>
      <c r="D2662" s="2">
        <f>IFERROR(__xludf.DUMMYFUNCTION("""COMPUTED_VALUE"""),0.0019675925925925924)</f>
        <v>0.001967592593</v>
      </c>
      <c r="E2662" s="1">
        <f>IFERROR(__xludf.DUMMYFUNCTION("""COMPUTED_VALUE"""),1.08)</f>
        <v>1.08</v>
      </c>
      <c r="F2662" s="1">
        <f>IFERROR(__xludf.DUMMYFUNCTION("""COMPUTED_VALUE"""),3.86)</f>
        <v>3.86</v>
      </c>
      <c r="G2662" s="5">
        <f>IFERROR(__xludf.DUMMYFUNCTION("""COMPUTED_VALUE"""),11941.0)</f>
        <v>11941</v>
      </c>
      <c r="H2662" s="5">
        <f>IFERROR(__xludf.DUMMYFUNCTION("""COMPUTED_VALUE"""),3096.0)</f>
        <v>3096</v>
      </c>
    </row>
    <row r="2663">
      <c r="A2663" s="4">
        <f>IFERROR(__xludf.DUMMYFUNCTION("""COMPUTED_VALUE"""),45031.0)</f>
        <v>45031</v>
      </c>
      <c r="B2663" s="5">
        <f>IFERROR(__xludf.DUMMYFUNCTION("""COMPUTED_VALUE"""),2083.0)</f>
        <v>2083</v>
      </c>
      <c r="C2663" s="6">
        <f>IFERROR(__xludf.DUMMYFUNCTION("""COMPUTED_VALUE"""),0.596)</f>
        <v>0.596</v>
      </c>
      <c r="D2663" s="2">
        <f>IFERROR(__xludf.DUMMYFUNCTION("""COMPUTED_VALUE"""),0.0011226851851851851)</f>
        <v>0.001122685185</v>
      </c>
      <c r="E2663" s="1">
        <f>IFERROR(__xludf.DUMMYFUNCTION("""COMPUTED_VALUE"""),1.04)</f>
        <v>1.04</v>
      </c>
      <c r="F2663" s="1">
        <f>IFERROR(__xludf.DUMMYFUNCTION("""COMPUTED_VALUE"""),3.13)</f>
        <v>3.13</v>
      </c>
      <c r="G2663" s="5">
        <f>IFERROR(__xludf.DUMMYFUNCTION("""COMPUTED_VALUE"""),6776.0)</f>
        <v>6776</v>
      </c>
      <c r="H2663" s="5">
        <f>IFERROR(__xludf.DUMMYFUNCTION("""COMPUTED_VALUE"""),2166.0)</f>
        <v>2166</v>
      </c>
    </row>
    <row r="2664">
      <c r="A2664" s="4">
        <f>IFERROR(__xludf.DUMMYFUNCTION("""COMPUTED_VALUE"""),45032.0)</f>
        <v>45032</v>
      </c>
      <c r="B2664" s="5">
        <f>IFERROR(__xludf.DUMMYFUNCTION("""COMPUTED_VALUE"""),1514.0)</f>
        <v>1514</v>
      </c>
      <c r="C2664" s="6">
        <f>IFERROR(__xludf.DUMMYFUNCTION("""COMPUTED_VALUE"""),0.5342)</f>
        <v>0.5342</v>
      </c>
      <c r="D2664" s="2">
        <f>IFERROR(__xludf.DUMMYFUNCTION("""COMPUTED_VALUE"""),0.0011111111111111111)</f>
        <v>0.001111111111</v>
      </c>
      <c r="E2664" s="1">
        <f>IFERROR(__xludf.DUMMYFUNCTION("""COMPUTED_VALUE"""),1.08)</f>
        <v>1.08</v>
      </c>
      <c r="F2664" s="1">
        <f>IFERROR(__xludf.DUMMYFUNCTION("""COMPUTED_VALUE"""),2.65)</f>
        <v>2.65</v>
      </c>
      <c r="G2664" s="5">
        <f>IFERROR(__xludf.DUMMYFUNCTION("""COMPUTED_VALUE"""),4346.0)</f>
        <v>4346</v>
      </c>
      <c r="H2664" s="5">
        <f>IFERROR(__xludf.DUMMYFUNCTION("""COMPUTED_VALUE"""),1638.0)</f>
        <v>1638</v>
      </c>
    </row>
    <row r="2665">
      <c r="A2665" s="4">
        <f>IFERROR(__xludf.DUMMYFUNCTION("""COMPUTED_VALUE"""),45033.0)</f>
        <v>45033</v>
      </c>
      <c r="B2665" s="5">
        <f>IFERROR(__xludf.DUMMYFUNCTION("""COMPUTED_VALUE"""),2277.0)</f>
        <v>2277</v>
      </c>
      <c r="C2665" s="6">
        <f>IFERROR(__xludf.DUMMYFUNCTION("""COMPUTED_VALUE"""),0.4372)</f>
        <v>0.4372</v>
      </c>
      <c r="D2665" s="2">
        <f>IFERROR(__xludf.DUMMYFUNCTION("""COMPUTED_VALUE"""),0.0021412037037037038)</f>
        <v>0.002141203704</v>
      </c>
      <c r="E2665" s="1">
        <f>IFERROR(__xludf.DUMMYFUNCTION("""COMPUTED_VALUE"""),1.12)</f>
        <v>1.12</v>
      </c>
      <c r="F2665" s="1">
        <f>IFERROR(__xludf.DUMMYFUNCTION("""COMPUTED_VALUE"""),3.42)</f>
        <v>3.42</v>
      </c>
      <c r="G2665" s="5">
        <f>IFERROR(__xludf.DUMMYFUNCTION("""COMPUTED_VALUE"""),8678.0)</f>
        <v>8678</v>
      </c>
      <c r="H2665" s="5">
        <f>IFERROR(__xludf.DUMMYFUNCTION("""COMPUTED_VALUE"""),2541.0)</f>
        <v>2541</v>
      </c>
    </row>
    <row r="2666">
      <c r="A2666" s="4">
        <f>IFERROR(__xludf.DUMMYFUNCTION("""COMPUTED_VALUE"""),45034.0)</f>
        <v>45034</v>
      </c>
      <c r="B2666" s="5">
        <f>IFERROR(__xludf.DUMMYFUNCTION("""COMPUTED_VALUE"""),3027.0)</f>
        <v>3027</v>
      </c>
      <c r="C2666" s="6">
        <f>IFERROR(__xludf.DUMMYFUNCTION("""COMPUTED_VALUE"""),0.426)</f>
        <v>0.426</v>
      </c>
      <c r="D2666" s="2">
        <f>IFERROR(__xludf.DUMMYFUNCTION("""COMPUTED_VALUE"""),0.0027083333333333334)</f>
        <v>0.002708333333</v>
      </c>
      <c r="E2666" s="1">
        <f>IFERROR(__xludf.DUMMYFUNCTION("""COMPUTED_VALUE"""),1.09)</f>
        <v>1.09</v>
      </c>
      <c r="F2666" s="1">
        <f>IFERROR(__xludf.DUMMYFUNCTION("""COMPUTED_VALUE"""),4.7)</f>
        <v>4.7</v>
      </c>
      <c r="G2666" s="5">
        <f>IFERROR(__xludf.DUMMYFUNCTION("""COMPUTED_VALUE"""),15482.0)</f>
        <v>15482</v>
      </c>
      <c r="H2666" s="5">
        <f>IFERROR(__xludf.DUMMYFUNCTION("""COMPUTED_VALUE"""),3291.0)</f>
        <v>3291</v>
      </c>
    </row>
    <row r="2667">
      <c r="A2667" s="4">
        <f>IFERROR(__xludf.DUMMYFUNCTION("""COMPUTED_VALUE"""),45035.0)</f>
        <v>45035</v>
      </c>
      <c r="B2667" s="5">
        <f>IFERROR(__xludf.DUMMYFUNCTION("""COMPUTED_VALUE"""),2569.0)</f>
        <v>2569</v>
      </c>
      <c r="C2667" s="6">
        <f>IFERROR(__xludf.DUMMYFUNCTION("""COMPUTED_VALUE"""),0.4113)</f>
        <v>0.4113</v>
      </c>
      <c r="D2667" s="2">
        <f>IFERROR(__xludf.DUMMYFUNCTION("""COMPUTED_VALUE"""),0.0024074074074074076)</f>
        <v>0.002407407407</v>
      </c>
      <c r="E2667" s="1">
        <f>IFERROR(__xludf.DUMMYFUNCTION("""COMPUTED_VALUE"""),1.06)</f>
        <v>1.06</v>
      </c>
      <c r="F2667" s="1">
        <f>IFERROR(__xludf.DUMMYFUNCTION("""COMPUTED_VALUE"""),3.81)</f>
        <v>3.81</v>
      </c>
      <c r="G2667" s="5">
        <f>IFERROR(__xludf.DUMMYFUNCTION("""COMPUTED_VALUE"""),10414.0)</f>
        <v>10414</v>
      </c>
      <c r="H2667" s="5">
        <f>IFERROR(__xludf.DUMMYFUNCTION("""COMPUTED_VALUE"""),2735.0)</f>
        <v>2735</v>
      </c>
    </row>
    <row r="2668">
      <c r="A2668" s="4">
        <f>IFERROR(__xludf.DUMMYFUNCTION("""COMPUTED_VALUE"""),45036.0)</f>
        <v>45036</v>
      </c>
      <c r="B2668" s="5">
        <f>IFERROR(__xludf.DUMMYFUNCTION("""COMPUTED_VALUE"""),2624.0)</f>
        <v>2624</v>
      </c>
      <c r="C2668" s="6">
        <f>IFERROR(__xludf.DUMMYFUNCTION("""COMPUTED_VALUE"""),0.5048)</f>
        <v>0.5048</v>
      </c>
      <c r="D2668" s="2">
        <f>IFERROR(__xludf.DUMMYFUNCTION("""COMPUTED_VALUE"""),0.002627314814814815)</f>
        <v>0.002627314815</v>
      </c>
      <c r="E2668" s="1">
        <f>IFERROR(__xludf.DUMMYFUNCTION("""COMPUTED_VALUE"""),1.12)</f>
        <v>1.12</v>
      </c>
      <c r="F2668" s="1">
        <f>IFERROR(__xludf.DUMMYFUNCTION("""COMPUTED_VALUE"""),4.41)</f>
        <v>4.41</v>
      </c>
      <c r="G2668" s="5">
        <f>IFERROR(__xludf.DUMMYFUNCTION("""COMPUTED_VALUE"""),12969.0)</f>
        <v>12969</v>
      </c>
      <c r="H2668" s="5">
        <f>IFERROR(__xludf.DUMMYFUNCTION("""COMPUTED_VALUE"""),2944.0)</f>
        <v>2944</v>
      </c>
    </row>
    <row r="2669">
      <c r="A2669" s="4">
        <f>IFERROR(__xludf.DUMMYFUNCTION("""COMPUTED_VALUE"""),45037.0)</f>
        <v>45037</v>
      </c>
      <c r="B2669" s="5">
        <f>IFERROR(__xludf.DUMMYFUNCTION("""COMPUTED_VALUE"""),2888.0)</f>
        <v>2888</v>
      </c>
      <c r="C2669" s="6">
        <f>IFERROR(__xludf.DUMMYFUNCTION("""COMPUTED_VALUE"""),0.467)</f>
        <v>0.467</v>
      </c>
      <c r="D2669" s="2">
        <f>IFERROR(__xludf.DUMMYFUNCTION("""COMPUTED_VALUE"""),0.0018055555555555555)</f>
        <v>0.001805555556</v>
      </c>
      <c r="E2669" s="1">
        <f>IFERROR(__xludf.DUMMYFUNCTION("""COMPUTED_VALUE"""),1.09)</f>
        <v>1.09</v>
      </c>
      <c r="F2669" s="1">
        <f>IFERROR(__xludf.DUMMYFUNCTION("""COMPUTED_VALUE"""),3.8)</f>
        <v>3.8</v>
      </c>
      <c r="G2669" s="5">
        <f>IFERROR(__xludf.DUMMYFUNCTION("""COMPUTED_VALUE"""),11969.0)</f>
        <v>11969</v>
      </c>
      <c r="H2669" s="5">
        <f>IFERROR(__xludf.DUMMYFUNCTION("""COMPUTED_VALUE"""),3152.0)</f>
        <v>3152</v>
      </c>
    </row>
    <row r="2670">
      <c r="A2670" s="4">
        <f>IFERROR(__xludf.DUMMYFUNCTION("""COMPUTED_VALUE"""),45038.0)</f>
        <v>45038</v>
      </c>
      <c r="B2670" s="5">
        <f>IFERROR(__xludf.DUMMYFUNCTION("""COMPUTED_VALUE"""),1541.0)</f>
        <v>1541</v>
      </c>
      <c r="C2670" s="6">
        <f>IFERROR(__xludf.DUMMYFUNCTION("""COMPUTED_VALUE"""),0.4631)</f>
        <v>0.4631</v>
      </c>
      <c r="D2670" s="2">
        <f>IFERROR(__xludf.DUMMYFUNCTION("""COMPUTED_VALUE"""),0.0020833333333333333)</f>
        <v>0.002083333333</v>
      </c>
      <c r="E2670" s="1">
        <f>IFERROR(__xludf.DUMMYFUNCTION("""COMPUTED_VALUE"""),1.09)</f>
        <v>1.09</v>
      </c>
      <c r="F2670" s="1">
        <f>IFERROR(__xludf.DUMMYFUNCTION("""COMPUTED_VALUE"""),3.88)</f>
        <v>3.88</v>
      </c>
      <c r="G2670" s="5">
        <f>IFERROR(__xludf.DUMMYFUNCTION("""COMPUTED_VALUE"""),6512.0)</f>
        <v>6512</v>
      </c>
      <c r="H2670" s="5">
        <f>IFERROR(__xludf.DUMMYFUNCTION("""COMPUTED_VALUE"""),1680.0)</f>
        <v>1680</v>
      </c>
    </row>
    <row r="2671">
      <c r="A2671" s="4">
        <f>IFERROR(__xludf.DUMMYFUNCTION("""COMPUTED_VALUE"""),45039.0)</f>
        <v>45039</v>
      </c>
      <c r="B2671" s="5">
        <f>IFERROR(__xludf.DUMMYFUNCTION("""COMPUTED_VALUE"""),2097.0)</f>
        <v>2097</v>
      </c>
      <c r="C2671" s="6">
        <f>IFERROR(__xludf.DUMMYFUNCTION("""COMPUTED_VALUE"""),0.5116)</f>
        <v>0.5116</v>
      </c>
      <c r="D2671" s="2">
        <f>IFERROR(__xludf.DUMMYFUNCTION("""COMPUTED_VALUE"""),0.002337962962962963)</f>
        <v>0.002337962963</v>
      </c>
      <c r="E2671" s="1">
        <f>IFERROR(__xludf.DUMMYFUNCTION("""COMPUTED_VALUE"""),1.13)</f>
        <v>1.13</v>
      </c>
      <c r="F2671" s="1">
        <f>IFERROR(__xludf.DUMMYFUNCTION("""COMPUTED_VALUE"""),3.05)</f>
        <v>3.05</v>
      </c>
      <c r="G2671" s="5">
        <f>IFERROR(__xludf.DUMMYFUNCTION("""COMPUTED_VALUE"""),7193.0)</f>
        <v>7193</v>
      </c>
      <c r="H2671" s="5">
        <f>IFERROR(__xludf.DUMMYFUNCTION("""COMPUTED_VALUE"""),2361.0)</f>
        <v>2361</v>
      </c>
    </row>
    <row r="2672">
      <c r="A2672" s="4">
        <f>IFERROR(__xludf.DUMMYFUNCTION("""COMPUTED_VALUE"""),45040.0)</f>
        <v>45040</v>
      </c>
      <c r="B2672" s="5">
        <f>IFERROR(__xludf.DUMMYFUNCTION("""COMPUTED_VALUE"""),2888.0)</f>
        <v>2888</v>
      </c>
      <c r="C2672" s="6">
        <f>IFERROR(__xludf.DUMMYFUNCTION("""COMPUTED_VALUE"""),0.4521)</f>
        <v>0.4521</v>
      </c>
      <c r="D2672" s="2">
        <f>IFERROR(__xludf.DUMMYFUNCTION("""COMPUTED_VALUE"""),0.0021180555555555558)</f>
        <v>0.002118055556</v>
      </c>
      <c r="E2672" s="1">
        <f>IFERROR(__xludf.DUMMYFUNCTION("""COMPUTED_VALUE"""),1.11)</f>
        <v>1.11</v>
      </c>
      <c r="F2672" s="1">
        <f>IFERROR(__xludf.DUMMYFUNCTION("""COMPUTED_VALUE"""),3.79)</f>
        <v>3.79</v>
      </c>
      <c r="G2672" s="5">
        <f>IFERROR(__xludf.DUMMYFUNCTION("""COMPUTED_VALUE"""),12094.0)</f>
        <v>12094</v>
      </c>
      <c r="H2672" s="5">
        <f>IFERROR(__xludf.DUMMYFUNCTION("""COMPUTED_VALUE"""),3194.0)</f>
        <v>3194</v>
      </c>
    </row>
    <row r="2673">
      <c r="A2673" s="4">
        <f>IFERROR(__xludf.DUMMYFUNCTION("""COMPUTED_VALUE"""),45041.0)</f>
        <v>45041</v>
      </c>
      <c r="B2673" s="5">
        <f>IFERROR(__xludf.DUMMYFUNCTION("""COMPUTED_VALUE"""),3124.0)</f>
        <v>3124</v>
      </c>
      <c r="C2673" s="6">
        <f>IFERROR(__xludf.DUMMYFUNCTION("""COMPUTED_VALUE"""),0.4773)</f>
        <v>0.4773</v>
      </c>
      <c r="D2673" s="2">
        <f>IFERROR(__xludf.DUMMYFUNCTION("""COMPUTED_VALUE"""),0.0019328703703703704)</f>
        <v>0.00193287037</v>
      </c>
      <c r="E2673" s="1">
        <f>IFERROR(__xludf.DUMMYFUNCTION("""COMPUTED_VALUE"""),1.07)</f>
        <v>1.07</v>
      </c>
      <c r="F2673" s="1">
        <f>IFERROR(__xludf.DUMMYFUNCTION("""COMPUTED_VALUE"""),3.54)</f>
        <v>3.54</v>
      </c>
      <c r="G2673" s="5">
        <f>IFERROR(__xludf.DUMMYFUNCTION("""COMPUTED_VALUE"""),11830.0)</f>
        <v>11830</v>
      </c>
      <c r="H2673" s="5">
        <f>IFERROR(__xludf.DUMMYFUNCTION("""COMPUTED_VALUE"""),3346.0)</f>
        <v>3346</v>
      </c>
    </row>
    <row r="2674">
      <c r="A2674" s="4">
        <f>IFERROR(__xludf.DUMMYFUNCTION("""COMPUTED_VALUE"""),45042.0)</f>
        <v>45042</v>
      </c>
      <c r="B2674" s="5">
        <f>IFERROR(__xludf.DUMMYFUNCTION("""COMPUTED_VALUE"""),2722.0)</f>
        <v>2722</v>
      </c>
      <c r="C2674" s="6">
        <f>IFERROR(__xludf.DUMMYFUNCTION("""COMPUTED_VALUE"""),0.477)</f>
        <v>0.477</v>
      </c>
      <c r="D2674" s="2">
        <f>IFERROR(__xludf.DUMMYFUNCTION("""COMPUTED_VALUE"""),0.0024305555555555556)</f>
        <v>0.002430555556</v>
      </c>
      <c r="E2674" s="1">
        <f>IFERROR(__xludf.DUMMYFUNCTION("""COMPUTED_VALUE"""),1.11)</f>
        <v>1.11</v>
      </c>
      <c r="F2674" s="1">
        <f>IFERROR(__xludf.DUMMYFUNCTION("""COMPUTED_VALUE"""),3.69)</f>
        <v>3.69</v>
      </c>
      <c r="G2674" s="5">
        <f>IFERROR(__xludf.DUMMYFUNCTION("""COMPUTED_VALUE"""),11178.0)</f>
        <v>11178</v>
      </c>
      <c r="H2674" s="5">
        <f>IFERROR(__xludf.DUMMYFUNCTION("""COMPUTED_VALUE"""),3027.0)</f>
        <v>3027</v>
      </c>
    </row>
    <row r="2675">
      <c r="A2675" s="4">
        <f>IFERROR(__xludf.DUMMYFUNCTION("""COMPUTED_VALUE"""),45043.0)</f>
        <v>45043</v>
      </c>
      <c r="B2675" s="5">
        <f>IFERROR(__xludf.DUMMYFUNCTION("""COMPUTED_VALUE"""),2624.0)</f>
        <v>2624</v>
      </c>
      <c r="C2675" s="6">
        <f>IFERROR(__xludf.DUMMYFUNCTION("""COMPUTED_VALUE"""),0.4802)</f>
        <v>0.4802</v>
      </c>
      <c r="D2675" s="2">
        <f>IFERROR(__xludf.DUMMYFUNCTION("""COMPUTED_VALUE"""),0.0017708333333333332)</f>
        <v>0.001770833333</v>
      </c>
      <c r="E2675" s="1">
        <f>IFERROR(__xludf.DUMMYFUNCTION("""COMPUTED_VALUE"""),1.07)</f>
        <v>1.07</v>
      </c>
      <c r="F2675" s="1">
        <f>IFERROR(__xludf.DUMMYFUNCTION("""COMPUTED_VALUE"""),3.89)</f>
        <v>3.89</v>
      </c>
      <c r="G2675" s="5">
        <f>IFERROR(__xludf.DUMMYFUNCTION("""COMPUTED_VALUE"""),10900.0)</f>
        <v>10900</v>
      </c>
      <c r="H2675" s="5">
        <f>IFERROR(__xludf.DUMMYFUNCTION("""COMPUTED_VALUE"""),2805.0)</f>
        <v>2805</v>
      </c>
    </row>
    <row r="2676">
      <c r="A2676" s="4">
        <f>IFERROR(__xludf.DUMMYFUNCTION("""COMPUTED_VALUE"""),45044.0)</f>
        <v>45044</v>
      </c>
      <c r="B2676" s="5">
        <f>IFERROR(__xludf.DUMMYFUNCTION("""COMPUTED_VALUE"""),2138.0)</f>
        <v>2138</v>
      </c>
      <c r="C2676" s="6">
        <f>IFERROR(__xludf.DUMMYFUNCTION("""COMPUTED_VALUE"""),0.4882)</f>
        <v>0.4882</v>
      </c>
      <c r="D2676" s="2">
        <f>IFERROR(__xludf.DUMMYFUNCTION("""COMPUTED_VALUE"""),0.0021064814814814813)</f>
        <v>0.002106481481</v>
      </c>
      <c r="E2676" s="1">
        <f>IFERROR(__xludf.DUMMYFUNCTION("""COMPUTED_VALUE"""),1.09)</f>
        <v>1.09</v>
      </c>
      <c r="F2676" s="1">
        <f>IFERROR(__xludf.DUMMYFUNCTION("""COMPUTED_VALUE"""),4.45)</f>
        <v>4.45</v>
      </c>
      <c r="G2676" s="5">
        <f>IFERROR(__xludf.DUMMYFUNCTION("""COMPUTED_VALUE"""),10372.0)</f>
        <v>10372</v>
      </c>
      <c r="H2676" s="5">
        <f>IFERROR(__xludf.DUMMYFUNCTION("""COMPUTED_VALUE"""),2333.0)</f>
        <v>2333</v>
      </c>
    </row>
    <row r="2677">
      <c r="A2677" s="4">
        <f>IFERROR(__xludf.DUMMYFUNCTION("""COMPUTED_VALUE"""),45045.0)</f>
        <v>45045</v>
      </c>
      <c r="B2677" s="5">
        <f>IFERROR(__xludf.DUMMYFUNCTION("""COMPUTED_VALUE"""),1472.0)</f>
        <v>1472</v>
      </c>
      <c r="C2677" s="6">
        <f>IFERROR(__xludf.DUMMYFUNCTION("""COMPUTED_VALUE"""),0.5678)</f>
        <v>0.5678</v>
      </c>
      <c r="D2677" s="2">
        <f>IFERROR(__xludf.DUMMYFUNCTION("""COMPUTED_VALUE"""),0.0018981481481481482)</f>
        <v>0.001898148148</v>
      </c>
      <c r="E2677" s="1">
        <f>IFERROR(__xludf.DUMMYFUNCTION("""COMPUTED_VALUE"""),1.11)</f>
        <v>1.11</v>
      </c>
      <c r="F2677" s="1">
        <f>IFERROR(__xludf.DUMMYFUNCTION("""COMPUTED_VALUE"""),3.53)</f>
        <v>3.53</v>
      </c>
      <c r="G2677" s="5">
        <f>IFERROR(__xludf.DUMMYFUNCTION("""COMPUTED_VALUE"""),5790.0)</f>
        <v>5790</v>
      </c>
      <c r="H2677" s="5">
        <f>IFERROR(__xludf.DUMMYFUNCTION("""COMPUTED_VALUE"""),1638.0)</f>
        <v>1638</v>
      </c>
    </row>
    <row r="2678">
      <c r="A2678" s="4">
        <f>IFERROR(__xludf.DUMMYFUNCTION("""COMPUTED_VALUE"""),45046.0)</f>
        <v>45046</v>
      </c>
      <c r="B2678" s="5">
        <f>IFERROR(__xludf.DUMMYFUNCTION("""COMPUTED_VALUE"""),1264.0)</f>
        <v>1264</v>
      </c>
      <c r="C2678" s="6">
        <f>IFERROR(__xludf.DUMMYFUNCTION("""COMPUTED_VALUE"""),0.5336)</f>
        <v>0.5336</v>
      </c>
      <c r="D2678" s="2">
        <f>IFERROR(__xludf.DUMMYFUNCTION("""COMPUTED_VALUE"""),0.0015972222222222223)</f>
        <v>0.001597222222</v>
      </c>
      <c r="E2678" s="1">
        <f>IFERROR(__xludf.DUMMYFUNCTION("""COMPUTED_VALUE"""),1.15)</f>
        <v>1.15</v>
      </c>
      <c r="F2678" s="1">
        <f>IFERROR(__xludf.DUMMYFUNCTION("""COMPUTED_VALUE"""),2.91)</f>
        <v>2.91</v>
      </c>
      <c r="G2678" s="5">
        <f>IFERROR(__xludf.DUMMYFUNCTION("""COMPUTED_VALUE"""),4249.0)</f>
        <v>4249</v>
      </c>
      <c r="H2678" s="5">
        <f>IFERROR(__xludf.DUMMYFUNCTION("""COMPUTED_VALUE"""),1458.0)</f>
        <v>1458</v>
      </c>
    </row>
    <row r="2679">
      <c r="A2679" s="4">
        <f>IFERROR(__xludf.DUMMYFUNCTION("""COMPUTED_VALUE"""),45047.0)</f>
        <v>45047</v>
      </c>
      <c r="B2679" s="5">
        <f>IFERROR(__xludf.DUMMYFUNCTION("""COMPUTED_VALUE"""),2305.0)</f>
        <v>2305</v>
      </c>
      <c r="C2679" s="6">
        <f>IFERROR(__xludf.DUMMYFUNCTION("""COMPUTED_VALUE"""),0.4722)</f>
        <v>0.4722</v>
      </c>
      <c r="D2679" s="2">
        <f>IFERROR(__xludf.DUMMYFUNCTION("""COMPUTED_VALUE"""),0.0024189814814814816)</f>
        <v>0.002418981481</v>
      </c>
      <c r="E2679" s="1">
        <f>IFERROR(__xludf.DUMMYFUNCTION("""COMPUTED_VALUE"""),1.08)</f>
        <v>1.08</v>
      </c>
      <c r="F2679" s="1">
        <f>IFERROR(__xludf.DUMMYFUNCTION("""COMPUTED_VALUE"""),4.55)</f>
        <v>4.55</v>
      </c>
      <c r="G2679" s="5">
        <f>IFERROR(__xludf.DUMMYFUNCTION("""COMPUTED_VALUE"""),11372.0)</f>
        <v>11372</v>
      </c>
      <c r="H2679" s="5">
        <f>IFERROR(__xludf.DUMMYFUNCTION("""COMPUTED_VALUE"""),2499.0)</f>
        <v>2499</v>
      </c>
    </row>
    <row r="2680">
      <c r="A2680" s="4">
        <f>IFERROR(__xludf.DUMMYFUNCTION("""COMPUTED_VALUE"""),45048.0)</f>
        <v>45048</v>
      </c>
      <c r="B2680" s="5">
        <f>IFERROR(__xludf.DUMMYFUNCTION("""COMPUTED_VALUE"""),2874.0)</f>
        <v>2874</v>
      </c>
      <c r="C2680" s="6">
        <f>IFERROR(__xludf.DUMMYFUNCTION("""COMPUTED_VALUE"""),0.4315)</f>
        <v>0.4315</v>
      </c>
      <c r="D2680" s="2">
        <f>IFERROR(__xludf.DUMMYFUNCTION("""COMPUTED_VALUE"""),0.002349537037037037)</f>
        <v>0.002349537037</v>
      </c>
      <c r="E2680" s="1">
        <f>IFERROR(__xludf.DUMMYFUNCTION("""COMPUTED_VALUE"""),1.13)</f>
        <v>1.13</v>
      </c>
      <c r="F2680" s="1">
        <f>IFERROR(__xludf.DUMMYFUNCTION("""COMPUTED_VALUE"""),3.78)</f>
        <v>3.78</v>
      </c>
      <c r="G2680" s="5">
        <f>IFERROR(__xludf.DUMMYFUNCTION("""COMPUTED_VALUE"""),12275.0)</f>
        <v>12275</v>
      </c>
      <c r="H2680" s="5">
        <f>IFERROR(__xludf.DUMMYFUNCTION("""COMPUTED_VALUE"""),3249.0)</f>
        <v>3249</v>
      </c>
    </row>
    <row r="2681">
      <c r="A2681" s="4">
        <f>IFERROR(__xludf.DUMMYFUNCTION("""COMPUTED_VALUE"""),45049.0)</f>
        <v>45049</v>
      </c>
      <c r="B2681" s="5">
        <f>IFERROR(__xludf.DUMMYFUNCTION("""COMPUTED_VALUE"""),2610.0)</f>
        <v>2610</v>
      </c>
      <c r="C2681" s="6">
        <f>IFERROR(__xludf.DUMMYFUNCTION("""COMPUTED_VALUE"""),0.5023)</f>
        <v>0.5023</v>
      </c>
      <c r="D2681" s="2">
        <f>IFERROR(__xludf.DUMMYFUNCTION("""COMPUTED_VALUE"""),0.0017939814814814815)</f>
        <v>0.001793981481</v>
      </c>
      <c r="E2681" s="1">
        <f>IFERROR(__xludf.DUMMYFUNCTION("""COMPUTED_VALUE"""),1.09)</f>
        <v>1.09</v>
      </c>
      <c r="F2681" s="1">
        <f>IFERROR(__xludf.DUMMYFUNCTION("""COMPUTED_VALUE"""),3.23)</f>
        <v>3.23</v>
      </c>
      <c r="G2681" s="5">
        <f>IFERROR(__xludf.DUMMYFUNCTION("""COMPUTED_VALUE"""),9206.0)</f>
        <v>9206</v>
      </c>
      <c r="H2681" s="5">
        <f>IFERROR(__xludf.DUMMYFUNCTION("""COMPUTED_VALUE"""),2847.0)</f>
        <v>2847</v>
      </c>
    </row>
    <row r="2682">
      <c r="A2682" s="4">
        <f>IFERROR(__xludf.DUMMYFUNCTION("""COMPUTED_VALUE"""),45050.0)</f>
        <v>45050</v>
      </c>
      <c r="B2682" s="5">
        <f>IFERROR(__xludf.DUMMYFUNCTION("""COMPUTED_VALUE"""),2569.0)</f>
        <v>2569</v>
      </c>
      <c r="C2682" s="6">
        <f>IFERROR(__xludf.DUMMYFUNCTION("""COMPUTED_VALUE"""),0.4616)</f>
        <v>0.4616</v>
      </c>
      <c r="D2682" s="2">
        <f>IFERROR(__xludf.DUMMYFUNCTION("""COMPUTED_VALUE"""),0.002476851851851852)</f>
        <v>0.002476851852</v>
      </c>
      <c r="E2682" s="1">
        <f>IFERROR(__xludf.DUMMYFUNCTION("""COMPUTED_VALUE"""),1.12)</f>
        <v>1.12</v>
      </c>
      <c r="F2682" s="1">
        <f>IFERROR(__xludf.DUMMYFUNCTION("""COMPUTED_VALUE"""),3.82)</f>
        <v>3.82</v>
      </c>
      <c r="G2682" s="5">
        <f>IFERROR(__xludf.DUMMYFUNCTION("""COMPUTED_VALUE"""),11025.0)</f>
        <v>11025</v>
      </c>
      <c r="H2682" s="5">
        <f>IFERROR(__xludf.DUMMYFUNCTION("""COMPUTED_VALUE"""),2888.0)</f>
        <v>2888</v>
      </c>
    </row>
    <row r="2683">
      <c r="A2683" s="4">
        <f>IFERROR(__xludf.DUMMYFUNCTION("""COMPUTED_VALUE"""),45051.0)</f>
        <v>45051</v>
      </c>
      <c r="B2683" s="5">
        <f>IFERROR(__xludf.DUMMYFUNCTION("""COMPUTED_VALUE"""),2430.0)</f>
        <v>2430</v>
      </c>
      <c r="C2683" s="6">
        <f>IFERROR(__xludf.DUMMYFUNCTION("""COMPUTED_VALUE"""),0.4604)</f>
        <v>0.4604</v>
      </c>
      <c r="D2683" s="2">
        <f>IFERROR(__xludf.DUMMYFUNCTION("""COMPUTED_VALUE"""),0.0027546296296296294)</f>
        <v>0.00275462963</v>
      </c>
      <c r="E2683" s="1">
        <f>IFERROR(__xludf.DUMMYFUNCTION("""COMPUTED_VALUE"""),1.08)</f>
        <v>1.08</v>
      </c>
      <c r="F2683" s="1">
        <f>IFERROR(__xludf.DUMMYFUNCTION("""COMPUTED_VALUE"""),4.52)</f>
        <v>4.52</v>
      </c>
      <c r="G2683" s="5">
        <f>IFERROR(__xludf.DUMMYFUNCTION("""COMPUTED_VALUE"""),11872.0)</f>
        <v>11872</v>
      </c>
      <c r="H2683" s="5">
        <f>IFERROR(__xludf.DUMMYFUNCTION("""COMPUTED_VALUE"""),2624.0)</f>
        <v>2624</v>
      </c>
    </row>
    <row r="2684">
      <c r="A2684" s="4">
        <f>IFERROR(__xludf.DUMMYFUNCTION("""COMPUTED_VALUE"""),45052.0)</f>
        <v>45052</v>
      </c>
      <c r="B2684" s="5">
        <f>IFERROR(__xludf.DUMMYFUNCTION("""COMPUTED_VALUE"""),1861.0)</f>
        <v>1861</v>
      </c>
      <c r="C2684" s="6">
        <f>IFERROR(__xludf.DUMMYFUNCTION("""COMPUTED_VALUE"""),0.462)</f>
        <v>0.462</v>
      </c>
      <c r="D2684" s="2">
        <f>IFERROR(__xludf.DUMMYFUNCTION("""COMPUTED_VALUE"""),0.0022916666666666667)</f>
        <v>0.002291666667</v>
      </c>
      <c r="E2684" s="1">
        <f>IFERROR(__xludf.DUMMYFUNCTION("""COMPUTED_VALUE"""),1.08)</f>
        <v>1.08</v>
      </c>
      <c r="F2684" s="1">
        <f>IFERROR(__xludf.DUMMYFUNCTION("""COMPUTED_VALUE"""),3.87)</f>
        <v>3.87</v>
      </c>
      <c r="G2684" s="5">
        <f>IFERROR(__xludf.DUMMYFUNCTION("""COMPUTED_VALUE"""),7790.0)</f>
        <v>7790</v>
      </c>
      <c r="H2684" s="5">
        <f>IFERROR(__xludf.DUMMYFUNCTION("""COMPUTED_VALUE"""),2013.0)</f>
        <v>2013</v>
      </c>
    </row>
    <row r="2685">
      <c r="A2685" s="1"/>
      <c r="B2685" s="5">
        <f>IFERROR(__xludf.DUMMYFUNCTION("""COMPUTED_VALUE"""),6151402.0)</f>
        <v>6151402</v>
      </c>
      <c r="C2685" s="6">
        <f>IFERROR(__xludf.DUMMYFUNCTION("""COMPUTED_VALUE"""),0.4628)</f>
        <v>0.4628</v>
      </c>
      <c r="D2685" s="2">
        <f>IFERROR(__xludf.DUMMYFUNCTION("""COMPUTED_VALUE"""),0.0019675925925925924)</f>
        <v>0.001967592593</v>
      </c>
      <c r="E2685" s="1">
        <f>IFERROR(__xludf.DUMMYFUNCTION("""COMPUTED_VALUE"""),1.11)</f>
        <v>1.11</v>
      </c>
      <c r="F2685" s="1">
        <f>IFERROR(__xludf.DUMMYFUNCTION("""COMPUTED_VALUE"""),4.61)</f>
        <v>4.61</v>
      </c>
      <c r="G2685" s="5">
        <f>IFERROR(__xludf.DUMMYFUNCTION("""COMPUTED_VALUE"""),3.1373513E7)</f>
        <v>31373513</v>
      </c>
      <c r="H2685" s="5">
        <f>IFERROR(__xludf.DUMMYFUNCTION("""COMPUTED_VALUE"""),6809228.0)</f>
        <v>6809228</v>
      </c>
    </row>
    <row r="2686">
      <c r="A2686" s="1"/>
      <c r="B2686" s="1"/>
      <c r="C2686" s="1"/>
      <c r="D2686" s="2"/>
      <c r="E2686" s="1"/>
      <c r="F2686" s="1"/>
      <c r="G2686" s="1"/>
      <c r="H2686" s="1"/>
    </row>
    <row r="2687">
      <c r="A2687" s="1"/>
      <c r="B2687" s="1"/>
      <c r="C2687" s="1"/>
      <c r="D2687" s="2"/>
      <c r="E2687" s="1"/>
      <c r="F2687" s="1"/>
      <c r="G2687" s="1"/>
      <c r="H2687" s="1"/>
    </row>
    <row r="2688">
      <c r="D2688" s="2"/>
    </row>
    <row r="2689">
      <c r="D2689" s="2"/>
    </row>
    <row r="2690">
      <c r="D2690" s="2"/>
    </row>
    <row r="2691">
      <c r="D2691" s="2"/>
    </row>
    <row r="2692">
      <c r="D2692" s="2"/>
    </row>
    <row r="2693">
      <c r="D2693" s="2"/>
    </row>
    <row r="2694">
      <c r="D2694" s="2"/>
    </row>
    <row r="2695">
      <c r="D2695" s="2"/>
    </row>
    <row r="2696">
      <c r="D2696" s="2"/>
    </row>
    <row r="2697">
      <c r="D2697" s="2"/>
    </row>
    <row r="2698">
      <c r="D2698" s="2"/>
    </row>
    <row r="2699">
      <c r="D2699" s="2"/>
    </row>
    <row r="2700">
      <c r="D2700" s="2"/>
    </row>
    <row r="2701">
      <c r="D2701" s="2"/>
    </row>
    <row r="2702">
      <c r="D2702" s="2"/>
    </row>
    <row r="2703">
      <c r="D2703" s="2"/>
    </row>
    <row r="2704">
      <c r="D2704" s="2"/>
    </row>
    <row r="2705">
      <c r="D2705" s="2"/>
    </row>
    <row r="2706">
      <c r="D2706" s="2"/>
    </row>
    <row r="2707">
      <c r="D2707" s="2"/>
    </row>
    <row r="2708">
      <c r="D2708" s="2"/>
    </row>
    <row r="2709">
      <c r="D2709" s="2"/>
    </row>
    <row r="2710">
      <c r="D2710" s="2"/>
    </row>
    <row r="2711">
      <c r="D2711" s="2"/>
    </row>
    <row r="2712">
      <c r="D2712" s="2"/>
    </row>
    <row r="2713">
      <c r="D2713" s="2"/>
    </row>
    <row r="2714">
      <c r="D2714" s="2"/>
    </row>
    <row r="2715">
      <c r="D2715" s="2"/>
    </row>
    <row r="2716">
      <c r="D2716" s="2"/>
    </row>
    <row r="2717">
      <c r="D2717" s="2"/>
    </row>
    <row r="2718">
      <c r="D2718" s="2"/>
    </row>
    <row r="2719">
      <c r="D2719" s="2"/>
    </row>
    <row r="2720">
      <c r="D2720" s="2"/>
    </row>
    <row r="2721">
      <c r="D2721" s="2"/>
    </row>
    <row r="2722">
      <c r="D2722" s="2"/>
    </row>
    <row r="2723">
      <c r="D2723" s="2"/>
    </row>
    <row r="2724">
      <c r="D2724" s="2"/>
    </row>
    <row r="2725">
      <c r="D2725" s="2"/>
    </row>
    <row r="2726">
      <c r="D2726" s="2"/>
    </row>
    <row r="2727">
      <c r="D2727" s="2"/>
    </row>
    <row r="2728">
      <c r="D2728" s="2"/>
    </row>
    <row r="2729">
      <c r="D2729" s="2"/>
    </row>
    <row r="2730">
      <c r="D2730" s="2"/>
    </row>
    <row r="2731">
      <c r="D2731" s="2"/>
    </row>
    <row r="2732">
      <c r="D2732" s="2"/>
    </row>
    <row r="2733">
      <c r="D2733" s="2"/>
    </row>
    <row r="2734">
      <c r="D2734" s="2"/>
    </row>
    <row r="2735">
      <c r="D2735" s="2"/>
    </row>
    <row r="2736">
      <c r="D2736" s="2"/>
    </row>
    <row r="2737">
      <c r="D2737" s="2"/>
    </row>
    <row r="2738">
      <c r="D2738" s="2"/>
    </row>
    <row r="2739">
      <c r="D2739" s="2"/>
    </row>
    <row r="2740">
      <c r="D2740" s="2"/>
    </row>
    <row r="2741">
      <c r="D2741" s="2"/>
    </row>
    <row r="2742">
      <c r="D2742" s="2"/>
    </row>
    <row r="2743">
      <c r="D2743" s="2"/>
    </row>
    <row r="2744">
      <c r="D2744" s="2"/>
    </row>
    <row r="2745">
      <c r="D2745" s="2"/>
    </row>
    <row r="2746">
      <c r="D2746" s="2"/>
    </row>
    <row r="2747">
      <c r="D2747" s="2"/>
    </row>
    <row r="2748">
      <c r="D2748" s="2"/>
    </row>
    <row r="2749">
      <c r="D2749" s="2"/>
    </row>
    <row r="2750">
      <c r="D2750" s="2"/>
    </row>
    <row r="2751">
      <c r="D2751" s="2"/>
    </row>
    <row r="2752">
      <c r="D2752" s="2"/>
    </row>
    <row r="2753">
      <c r="D2753" s="2"/>
    </row>
    <row r="2754">
      <c r="D2754" s="2"/>
    </row>
    <row r="2755">
      <c r="D2755" s="2"/>
    </row>
    <row r="2756">
      <c r="D2756" s="2"/>
    </row>
    <row r="2757">
      <c r="D2757" s="2"/>
    </row>
    <row r="2758">
      <c r="D2758" s="2"/>
    </row>
    <row r="2759">
      <c r="D2759" s="2"/>
    </row>
    <row r="2760">
      <c r="D2760" s="2"/>
    </row>
    <row r="2761">
      <c r="D2761" s="2"/>
    </row>
    <row r="2762">
      <c r="D2762" s="2"/>
    </row>
    <row r="2763">
      <c r="D2763" s="2"/>
    </row>
    <row r="2764">
      <c r="D2764" s="2"/>
    </row>
    <row r="2765">
      <c r="D2765" s="2"/>
    </row>
    <row r="2766">
      <c r="D2766" s="2"/>
    </row>
    <row r="2767">
      <c r="D2767" s="2"/>
    </row>
    <row r="2768">
      <c r="D2768" s="2"/>
    </row>
    <row r="2769">
      <c r="D2769" s="2"/>
    </row>
    <row r="2770">
      <c r="D2770" s="2"/>
    </row>
    <row r="2771">
      <c r="D2771" s="2"/>
    </row>
    <row r="2772">
      <c r="D2772" s="2"/>
    </row>
    <row r="2773">
      <c r="D2773" s="2"/>
    </row>
    <row r="2774">
      <c r="D2774" s="2"/>
    </row>
    <row r="2775">
      <c r="D2775" s="2"/>
    </row>
    <row r="2776">
      <c r="D2776" s="2"/>
    </row>
    <row r="2777">
      <c r="D2777" s="2"/>
    </row>
    <row r="2778">
      <c r="D2778" s="2"/>
    </row>
    <row r="2779">
      <c r="D2779" s="2"/>
    </row>
    <row r="2780">
      <c r="D2780" s="2"/>
    </row>
    <row r="2781">
      <c r="D2781" s="2"/>
    </row>
    <row r="2782">
      <c r="D2782" s="2"/>
    </row>
    <row r="2783">
      <c r="D2783" s="2"/>
    </row>
    <row r="2784">
      <c r="D2784" s="2"/>
    </row>
    <row r="2785">
      <c r="D2785" s="2"/>
    </row>
    <row r="2786">
      <c r="D2786" s="2"/>
    </row>
    <row r="2787">
      <c r="D2787" s="2"/>
    </row>
    <row r="2788">
      <c r="D2788" s="2"/>
    </row>
    <row r="2789">
      <c r="D2789" s="2"/>
    </row>
    <row r="2790">
      <c r="D2790" s="2"/>
    </row>
    <row r="2791">
      <c r="D2791" s="2"/>
    </row>
    <row r="2792">
      <c r="D2792" s="2"/>
    </row>
    <row r="2793">
      <c r="D2793" s="2"/>
    </row>
    <row r="2794">
      <c r="D2794" s="2"/>
    </row>
    <row r="2795">
      <c r="D2795" s="2"/>
    </row>
    <row r="2796">
      <c r="D2796" s="2"/>
    </row>
    <row r="2797">
      <c r="D2797" s="2"/>
    </row>
    <row r="2798">
      <c r="D2798" s="2"/>
    </row>
    <row r="2799">
      <c r="D2799" s="2"/>
    </row>
    <row r="2800">
      <c r="D2800" s="2"/>
    </row>
    <row r="2801">
      <c r="D2801" s="2"/>
    </row>
    <row r="2802">
      <c r="D2802" s="2"/>
    </row>
    <row r="2803">
      <c r="D2803" s="2"/>
    </row>
    <row r="2804">
      <c r="D2804" s="2"/>
    </row>
    <row r="2805">
      <c r="D2805" s="2"/>
    </row>
    <row r="2806">
      <c r="D2806" s="2"/>
    </row>
    <row r="2807">
      <c r="D2807" s="2"/>
    </row>
    <row r="2808">
      <c r="D2808" s="2"/>
    </row>
    <row r="2809">
      <c r="D2809" s="2"/>
    </row>
    <row r="2810">
      <c r="D2810" s="2"/>
    </row>
    <row r="2811">
      <c r="D2811" s="2"/>
    </row>
    <row r="2812">
      <c r="D2812" s="2"/>
    </row>
    <row r="2813">
      <c r="D2813" s="2"/>
    </row>
    <row r="2814">
      <c r="D2814" s="2"/>
    </row>
    <row r="2815">
      <c r="D2815" s="2"/>
    </row>
    <row r="2816">
      <c r="D2816" s="2"/>
    </row>
    <row r="2817">
      <c r="D2817" s="2"/>
    </row>
    <row r="2818">
      <c r="D2818" s="2"/>
    </row>
    <row r="2819">
      <c r="D2819" s="2"/>
    </row>
    <row r="2820">
      <c r="D2820" s="2"/>
    </row>
    <row r="2821">
      <c r="D2821" s="2"/>
    </row>
    <row r="2822">
      <c r="D2822" s="2"/>
    </row>
    <row r="2823">
      <c r="D2823" s="2"/>
    </row>
    <row r="2824">
      <c r="D2824" s="2"/>
    </row>
    <row r="2825">
      <c r="D2825" s="2"/>
    </row>
    <row r="2826">
      <c r="D2826" s="2"/>
    </row>
    <row r="2827">
      <c r="D2827" s="2"/>
    </row>
    <row r="2828">
      <c r="D2828" s="2"/>
    </row>
    <row r="2829">
      <c r="D2829" s="2"/>
    </row>
    <row r="2830">
      <c r="D2830" s="2"/>
    </row>
    <row r="2831">
      <c r="D2831" s="2"/>
    </row>
    <row r="2832">
      <c r="D2832" s="2"/>
    </row>
    <row r="2833">
      <c r="D2833" s="2"/>
    </row>
    <row r="2834">
      <c r="D2834" s="2"/>
    </row>
    <row r="2835">
      <c r="D2835" s="2"/>
    </row>
    <row r="2836">
      <c r="D2836" s="2"/>
    </row>
    <row r="2837">
      <c r="D2837" s="2"/>
    </row>
    <row r="2838">
      <c r="D2838" s="2"/>
    </row>
    <row r="2839">
      <c r="D2839" s="2"/>
    </row>
    <row r="2840">
      <c r="D2840" s="2"/>
    </row>
    <row r="2841">
      <c r="D2841" s="2"/>
    </row>
    <row r="2842">
      <c r="D2842" s="2"/>
    </row>
    <row r="2843">
      <c r="D2843" s="2"/>
    </row>
    <row r="2844">
      <c r="D2844" s="2"/>
    </row>
    <row r="2845">
      <c r="D2845" s="2"/>
    </row>
    <row r="2846">
      <c r="D2846" s="2"/>
    </row>
    <row r="2847">
      <c r="D2847" s="2"/>
    </row>
    <row r="2848">
      <c r="D2848" s="2"/>
    </row>
    <row r="2849">
      <c r="D2849" s="2"/>
    </row>
    <row r="2850">
      <c r="D2850" s="2"/>
    </row>
    <row r="2851">
      <c r="D2851" s="2"/>
    </row>
    <row r="2852">
      <c r="D2852" s="2"/>
    </row>
    <row r="2853">
      <c r="D2853" s="2"/>
    </row>
    <row r="2854">
      <c r="D2854" s="2"/>
    </row>
    <row r="2855">
      <c r="D2855" s="2"/>
    </row>
    <row r="2856">
      <c r="D2856" s="2"/>
    </row>
    <row r="2857">
      <c r="D2857" s="2"/>
    </row>
    <row r="2858">
      <c r="D2858" s="2"/>
    </row>
    <row r="2859">
      <c r="D2859" s="2"/>
    </row>
    <row r="2860">
      <c r="D2860" s="2"/>
    </row>
    <row r="2861">
      <c r="D2861" s="2"/>
    </row>
    <row r="2862">
      <c r="D2862" s="2"/>
    </row>
    <row r="2863">
      <c r="D2863" s="2"/>
    </row>
    <row r="2864">
      <c r="D2864" s="2"/>
    </row>
    <row r="2865">
      <c r="D2865" s="2"/>
    </row>
    <row r="2866">
      <c r="D2866" s="2"/>
    </row>
    <row r="2867">
      <c r="D2867" s="2"/>
    </row>
    <row r="2868">
      <c r="D2868" s="2"/>
    </row>
    <row r="2869">
      <c r="D2869" s="2"/>
    </row>
    <row r="2870">
      <c r="D2870" s="2"/>
    </row>
    <row r="2871">
      <c r="D2871" s="2"/>
    </row>
    <row r="2872">
      <c r="D2872" s="2"/>
    </row>
    <row r="2873">
      <c r="D2873" s="2"/>
    </row>
    <row r="2874">
      <c r="D2874" s="2"/>
    </row>
    <row r="2875">
      <c r="D2875" s="2"/>
    </row>
    <row r="2876">
      <c r="D2876" s="2"/>
    </row>
    <row r="2877">
      <c r="D2877" s="2"/>
    </row>
    <row r="2878">
      <c r="D2878" s="2"/>
    </row>
    <row r="2879">
      <c r="D2879" s="2"/>
    </row>
    <row r="2880">
      <c r="D2880" s="2"/>
    </row>
    <row r="2881">
      <c r="D2881" s="2"/>
    </row>
    <row r="2882">
      <c r="D2882" s="2"/>
    </row>
    <row r="2883">
      <c r="D2883" s="2"/>
    </row>
    <row r="2884">
      <c r="D2884" s="2"/>
    </row>
    <row r="2885">
      <c r="D2885" s="2"/>
    </row>
    <row r="2886">
      <c r="D2886" s="2"/>
    </row>
    <row r="2887">
      <c r="D2887" s="2"/>
    </row>
    <row r="2888">
      <c r="D2888" s="2"/>
    </row>
    <row r="2889">
      <c r="D2889" s="2"/>
    </row>
    <row r="2890">
      <c r="D2890" s="2"/>
    </row>
    <row r="2891">
      <c r="D2891" s="2"/>
    </row>
    <row r="2892">
      <c r="D2892" s="2"/>
    </row>
    <row r="2893">
      <c r="D2893" s="2"/>
    </row>
    <row r="2894">
      <c r="D2894" s="2"/>
    </row>
    <row r="2895">
      <c r="D2895" s="2"/>
    </row>
    <row r="2896">
      <c r="D2896" s="2"/>
    </row>
    <row r="2897">
      <c r="D2897" s="2"/>
    </row>
    <row r="2898">
      <c r="D2898" s="2"/>
    </row>
    <row r="2899">
      <c r="D2899" s="2"/>
    </row>
    <row r="2900">
      <c r="D2900" s="2"/>
    </row>
    <row r="2901">
      <c r="D2901" s="2"/>
    </row>
    <row r="2902">
      <c r="D2902" s="2"/>
    </row>
    <row r="2903">
      <c r="D2903" s="2"/>
    </row>
    <row r="2904">
      <c r="D2904" s="2"/>
    </row>
    <row r="2905">
      <c r="D2905" s="2"/>
    </row>
    <row r="2906">
      <c r="D2906" s="2"/>
    </row>
    <row r="2907">
      <c r="D2907" s="2"/>
    </row>
    <row r="2908">
      <c r="D2908" s="2"/>
    </row>
    <row r="2909">
      <c r="D2909" s="2"/>
    </row>
    <row r="2910">
      <c r="D2910" s="2"/>
    </row>
    <row r="2911">
      <c r="D2911" s="2"/>
    </row>
    <row r="2912">
      <c r="D2912" s="2"/>
    </row>
    <row r="2913">
      <c r="D2913" s="2"/>
    </row>
    <row r="2914">
      <c r="D2914" s="2"/>
    </row>
    <row r="2915">
      <c r="D2915" s="2"/>
    </row>
    <row r="2916">
      <c r="D2916" s="2"/>
    </row>
    <row r="2917">
      <c r="D2917" s="2"/>
    </row>
    <row r="2918">
      <c r="D2918" s="2"/>
    </row>
    <row r="2919">
      <c r="D2919" s="2"/>
    </row>
    <row r="2920">
      <c r="D2920" s="2"/>
    </row>
    <row r="2921">
      <c r="D2921" s="2"/>
    </row>
    <row r="2922">
      <c r="D2922" s="2"/>
    </row>
    <row r="2923">
      <c r="D2923" s="2"/>
    </row>
    <row r="2924">
      <c r="D2924" s="2"/>
    </row>
    <row r="2925">
      <c r="D2925" s="2"/>
    </row>
    <row r="2926">
      <c r="D2926" s="2"/>
    </row>
    <row r="2927">
      <c r="D2927" s="2"/>
    </row>
    <row r="2928">
      <c r="D2928" s="2"/>
    </row>
    <row r="2929">
      <c r="D2929" s="2"/>
    </row>
    <row r="2930">
      <c r="D2930" s="2"/>
    </row>
    <row r="2931">
      <c r="D2931" s="2"/>
    </row>
    <row r="2932">
      <c r="D2932" s="2"/>
    </row>
    <row r="2933">
      <c r="D2933" s="2"/>
    </row>
    <row r="2934">
      <c r="D2934" s="2"/>
    </row>
    <row r="2935">
      <c r="D2935" s="2"/>
    </row>
    <row r="2936">
      <c r="D2936" s="2"/>
    </row>
    <row r="2937">
      <c r="D2937" s="2"/>
    </row>
    <row r="2938">
      <c r="D2938" s="2"/>
    </row>
    <row r="2939">
      <c r="D2939" s="2"/>
    </row>
    <row r="2940">
      <c r="D2940" s="2"/>
    </row>
    <row r="2941">
      <c r="D2941" s="2"/>
    </row>
    <row r="2942">
      <c r="D2942" s="2"/>
    </row>
    <row r="2943">
      <c r="D2943" s="2"/>
    </row>
    <row r="2944">
      <c r="D2944" s="2"/>
    </row>
    <row r="2945">
      <c r="D2945" s="2"/>
    </row>
    <row r="2946">
      <c r="D2946" s="2"/>
    </row>
    <row r="2947">
      <c r="D2947" s="2"/>
    </row>
    <row r="2948">
      <c r="D2948" s="2"/>
    </row>
    <row r="2949">
      <c r="D2949" s="2"/>
    </row>
    <row r="2950">
      <c r="D2950" s="2"/>
    </row>
    <row r="2951">
      <c r="D2951" s="2"/>
    </row>
    <row r="2952">
      <c r="D2952" s="2"/>
    </row>
    <row r="2953">
      <c r="D2953" s="2"/>
    </row>
    <row r="2954">
      <c r="D2954" s="2"/>
    </row>
    <row r="2955">
      <c r="D2955" s="2"/>
    </row>
    <row r="2956">
      <c r="D2956" s="2"/>
    </row>
    <row r="2957">
      <c r="D2957" s="2"/>
    </row>
    <row r="2958">
      <c r="D2958" s="2"/>
    </row>
    <row r="2959">
      <c r="D2959" s="2"/>
    </row>
    <row r="2960">
      <c r="D2960" s="2"/>
    </row>
    <row r="2961">
      <c r="D2961" s="2"/>
    </row>
    <row r="2962">
      <c r="D2962" s="2"/>
    </row>
    <row r="2963">
      <c r="D2963" s="2"/>
    </row>
    <row r="2964">
      <c r="D2964" s="2"/>
    </row>
    <row r="2965">
      <c r="D2965" s="2"/>
    </row>
    <row r="2966">
      <c r="D2966" s="2"/>
    </row>
    <row r="2967">
      <c r="D2967" s="2"/>
    </row>
    <row r="2968">
      <c r="D2968" s="2"/>
    </row>
    <row r="2969">
      <c r="D2969" s="2"/>
    </row>
    <row r="2970">
      <c r="D2970" s="2"/>
    </row>
    <row r="2971">
      <c r="D2971" s="2"/>
    </row>
    <row r="2972">
      <c r="D2972" s="2"/>
    </row>
    <row r="2973">
      <c r="D2973" s="2"/>
    </row>
    <row r="2974">
      <c r="D2974" s="2"/>
    </row>
    <row r="2975">
      <c r="D2975" s="2"/>
    </row>
    <row r="2976">
      <c r="D2976" s="2"/>
    </row>
    <row r="2977">
      <c r="D2977" s="2"/>
    </row>
    <row r="2978">
      <c r="D2978" s="2"/>
    </row>
    <row r="2979">
      <c r="D2979" s="2"/>
    </row>
    <row r="2980">
      <c r="D2980" s="2"/>
    </row>
    <row r="2981">
      <c r="D2981" s="2"/>
    </row>
    <row r="2982">
      <c r="D2982" s="2"/>
    </row>
    <row r="2983">
      <c r="D2983" s="2"/>
    </row>
    <row r="2984">
      <c r="D2984" s="2"/>
    </row>
    <row r="2985">
      <c r="D2985" s="2"/>
    </row>
    <row r="2986">
      <c r="D2986" s="2"/>
    </row>
    <row r="2987">
      <c r="D2987" s="2"/>
    </row>
    <row r="2988">
      <c r="D2988" s="2"/>
    </row>
    <row r="2989">
      <c r="D2989" s="2"/>
    </row>
    <row r="2990">
      <c r="D2990" s="2"/>
    </row>
    <row r="2991">
      <c r="D2991" s="2"/>
    </row>
    <row r="2992">
      <c r="D2992" s="2"/>
    </row>
    <row r="2993">
      <c r="D2993" s="2"/>
    </row>
    <row r="2994">
      <c r="D2994" s="2"/>
    </row>
    <row r="2995">
      <c r="D2995" s="2"/>
    </row>
    <row r="2996">
      <c r="D2996" s="2"/>
    </row>
    <row r="2997">
      <c r="D2997" s="2"/>
    </row>
    <row r="2998">
      <c r="D2998" s="2"/>
    </row>
    <row r="2999">
      <c r="D2999" s="2"/>
    </row>
    <row r="3000">
      <c r="D3000" s="2"/>
    </row>
    <row r="3001">
      <c r="D3001" s="2"/>
    </row>
    <row r="3002">
      <c r="D3002" s="2"/>
    </row>
    <row r="3003">
      <c r="D3003" s="2"/>
    </row>
    <row r="3004">
      <c r="D3004" s="2"/>
    </row>
    <row r="3005">
      <c r="D3005" s="2"/>
    </row>
    <row r="3006">
      <c r="D3006" s="2"/>
    </row>
    <row r="3007">
      <c r="D3007" s="2"/>
    </row>
    <row r="3008">
      <c r="D3008" s="2"/>
    </row>
    <row r="3009">
      <c r="D3009" s="2"/>
    </row>
    <row r="3010">
      <c r="D3010" s="2"/>
    </row>
    <row r="3011">
      <c r="D3011" s="2"/>
    </row>
    <row r="3012">
      <c r="D3012" s="2"/>
    </row>
    <row r="3013">
      <c r="D3013" s="2"/>
    </row>
    <row r="3014">
      <c r="D3014" s="2"/>
    </row>
    <row r="3015">
      <c r="D3015" s="2"/>
    </row>
    <row r="3016">
      <c r="D3016" s="2"/>
    </row>
    <row r="3017">
      <c r="D3017" s="2"/>
    </row>
    <row r="3018">
      <c r="D3018" s="2"/>
    </row>
    <row r="3019">
      <c r="D3019" s="2"/>
    </row>
    <row r="3020">
      <c r="D3020" s="2"/>
    </row>
    <row r="3021">
      <c r="D3021" s="2"/>
    </row>
    <row r="3022">
      <c r="D3022" s="2"/>
    </row>
    <row r="3023">
      <c r="D3023" s="2"/>
    </row>
    <row r="3024">
      <c r="D3024" s="2"/>
    </row>
    <row r="3025">
      <c r="D3025" s="2"/>
    </row>
    <row r="3026">
      <c r="D3026" s="2"/>
    </row>
    <row r="3027">
      <c r="D3027" s="2"/>
    </row>
    <row r="3028">
      <c r="D3028" s="2"/>
    </row>
    <row r="3029">
      <c r="D3029" s="2"/>
    </row>
    <row r="3030">
      <c r="D3030" s="2"/>
    </row>
    <row r="3031">
      <c r="D3031" s="2"/>
    </row>
    <row r="3032">
      <c r="D3032" s="2"/>
    </row>
    <row r="3033">
      <c r="D3033" s="2"/>
    </row>
    <row r="3034">
      <c r="D3034" s="2"/>
    </row>
    <row r="3035">
      <c r="D3035" s="2"/>
    </row>
    <row r="3036">
      <c r="D3036" s="2"/>
    </row>
    <row r="3037">
      <c r="D3037" s="2"/>
    </row>
    <row r="3038">
      <c r="D3038" s="2"/>
    </row>
    <row r="3039">
      <c r="D3039" s="2"/>
    </row>
    <row r="3040">
      <c r="D3040" s="2"/>
    </row>
    <row r="3041">
      <c r="D3041" s="2"/>
    </row>
    <row r="3042">
      <c r="D3042" s="2"/>
    </row>
    <row r="3043">
      <c r="D3043" s="2"/>
    </row>
    <row r="3044">
      <c r="D3044" s="2"/>
    </row>
    <row r="3045">
      <c r="D3045" s="2"/>
    </row>
    <row r="3046">
      <c r="D3046" s="2"/>
    </row>
    <row r="3047">
      <c r="D3047" s="2"/>
    </row>
    <row r="3048">
      <c r="D3048" s="2"/>
    </row>
    <row r="3049">
      <c r="D3049" s="2"/>
    </row>
    <row r="3050">
      <c r="D3050" s="2"/>
    </row>
    <row r="3051">
      <c r="D3051" s="2"/>
    </row>
    <row r="3052">
      <c r="D3052" s="2"/>
    </row>
    <row r="3053">
      <c r="D3053" s="2"/>
    </row>
    <row r="3054">
      <c r="D3054" s="2"/>
    </row>
    <row r="3055">
      <c r="D3055" s="2"/>
    </row>
    <row r="3056">
      <c r="D3056" s="2"/>
    </row>
    <row r="3057">
      <c r="D3057" s="2"/>
    </row>
    <row r="3058">
      <c r="D3058" s="2"/>
    </row>
    <row r="3059">
      <c r="D3059" s="2"/>
    </row>
    <row r="3060">
      <c r="D3060" s="2"/>
    </row>
    <row r="3061">
      <c r="D3061" s="2"/>
    </row>
    <row r="3062">
      <c r="D3062" s="2"/>
    </row>
    <row r="3063">
      <c r="D3063" s="2"/>
    </row>
    <row r="3064">
      <c r="D3064" s="2"/>
    </row>
    <row r="3065">
      <c r="D3065" s="2"/>
    </row>
    <row r="3066">
      <c r="D3066" s="2"/>
    </row>
    <row r="3067">
      <c r="D3067" s="2"/>
    </row>
    <row r="3068">
      <c r="D3068" s="2"/>
    </row>
    <row r="3069">
      <c r="D3069" s="2"/>
    </row>
    <row r="3070">
      <c r="D3070" s="2"/>
    </row>
    <row r="3071">
      <c r="D3071" s="2"/>
    </row>
    <row r="3072">
      <c r="D3072" s="2"/>
    </row>
    <row r="3073">
      <c r="D3073" s="2"/>
    </row>
    <row r="3074">
      <c r="D3074" s="2"/>
    </row>
    <row r="3075">
      <c r="D3075" s="2"/>
    </row>
    <row r="3076">
      <c r="D3076" s="2"/>
    </row>
    <row r="3077">
      <c r="D3077" s="2"/>
    </row>
    <row r="3078">
      <c r="D3078" s="2"/>
    </row>
    <row r="3079">
      <c r="D3079" s="2"/>
    </row>
    <row r="3080">
      <c r="D3080" s="2"/>
    </row>
    <row r="3081">
      <c r="D3081" s="2"/>
    </row>
    <row r="3082">
      <c r="D3082" s="2"/>
    </row>
    <row r="3083">
      <c r="D3083" s="2"/>
    </row>
    <row r="3084">
      <c r="D3084" s="2"/>
    </row>
    <row r="3085">
      <c r="D3085" s="2"/>
    </row>
    <row r="3086">
      <c r="D3086" s="2"/>
    </row>
    <row r="3087">
      <c r="D3087" s="2"/>
    </row>
    <row r="3088">
      <c r="D3088" s="2"/>
    </row>
    <row r="3089">
      <c r="D3089" s="2"/>
    </row>
    <row r="3090">
      <c r="D3090" s="2"/>
    </row>
    <row r="3091">
      <c r="D3091" s="2"/>
    </row>
    <row r="3092">
      <c r="D3092" s="2"/>
    </row>
    <row r="3093">
      <c r="D3093" s="2"/>
    </row>
    <row r="3094">
      <c r="D3094" s="2"/>
    </row>
    <row r="3095">
      <c r="D3095" s="2"/>
    </row>
    <row r="3096">
      <c r="D3096" s="2"/>
    </row>
    <row r="3097">
      <c r="D3097" s="2"/>
    </row>
    <row r="3098">
      <c r="D3098" s="2"/>
    </row>
    <row r="3099">
      <c r="D3099" s="2"/>
    </row>
    <row r="3100">
      <c r="D3100" s="2"/>
    </row>
    <row r="3101">
      <c r="D3101" s="2"/>
    </row>
    <row r="3102">
      <c r="D3102" s="2"/>
    </row>
    <row r="3103">
      <c r="D3103" s="2"/>
    </row>
    <row r="3104">
      <c r="D3104" s="2"/>
    </row>
    <row r="3105">
      <c r="D3105" s="2"/>
    </row>
    <row r="3106">
      <c r="D3106" s="2"/>
    </row>
    <row r="3107">
      <c r="D3107" s="2"/>
    </row>
    <row r="3108">
      <c r="D3108" s="2"/>
    </row>
    <row r="3109">
      <c r="D3109" s="2"/>
    </row>
    <row r="3110">
      <c r="D3110" s="2"/>
    </row>
    <row r="3111">
      <c r="D3111" s="2"/>
    </row>
    <row r="3112">
      <c r="D3112" s="2"/>
    </row>
    <row r="3113">
      <c r="D3113" s="2"/>
    </row>
    <row r="3114">
      <c r="D3114" s="2"/>
    </row>
    <row r="3115">
      <c r="D3115" s="2"/>
    </row>
    <row r="3116">
      <c r="D3116" s="2"/>
    </row>
    <row r="3117">
      <c r="D3117" s="2"/>
    </row>
    <row r="3118">
      <c r="D3118" s="2"/>
    </row>
    <row r="3119">
      <c r="D3119" s="2"/>
    </row>
    <row r="3120">
      <c r="D3120" s="2"/>
    </row>
    <row r="3121">
      <c r="D3121" s="2"/>
    </row>
    <row r="3122">
      <c r="D3122" s="2"/>
    </row>
    <row r="3123">
      <c r="D3123" s="2"/>
    </row>
    <row r="3124">
      <c r="D3124" s="2"/>
    </row>
    <row r="3125">
      <c r="D3125" s="2"/>
    </row>
    <row r="3126">
      <c r="D3126" s="2"/>
    </row>
    <row r="3127">
      <c r="D3127" s="2"/>
    </row>
    <row r="3128">
      <c r="D3128" s="2"/>
    </row>
    <row r="3129">
      <c r="D3129" s="2"/>
    </row>
    <row r="3130">
      <c r="D3130" s="2"/>
    </row>
    <row r="3131">
      <c r="D3131" s="2"/>
    </row>
    <row r="3132">
      <c r="D3132" s="2"/>
    </row>
    <row r="3133">
      <c r="D3133" s="2"/>
    </row>
    <row r="3134">
      <c r="D3134" s="2"/>
    </row>
    <row r="3135">
      <c r="D3135" s="2"/>
    </row>
    <row r="3136">
      <c r="D3136" s="2"/>
    </row>
    <row r="3137">
      <c r="D3137" s="2"/>
    </row>
    <row r="3138">
      <c r="D3138" s="2"/>
    </row>
    <row r="3139">
      <c r="D3139" s="2"/>
    </row>
    <row r="3140">
      <c r="D3140" s="2"/>
    </row>
    <row r="3141">
      <c r="D3141" s="2"/>
    </row>
    <row r="3142">
      <c r="D3142" s="2"/>
    </row>
    <row r="3143">
      <c r="D3143" s="2"/>
    </row>
    <row r="3144">
      <c r="D3144" s="2"/>
    </row>
    <row r="3145">
      <c r="D3145" s="2"/>
    </row>
    <row r="3146">
      <c r="D3146" s="2"/>
    </row>
    <row r="3147">
      <c r="D3147" s="2"/>
    </row>
    <row r="3148">
      <c r="D3148" s="2"/>
    </row>
    <row r="3149">
      <c r="D3149" s="2"/>
    </row>
    <row r="3150">
      <c r="D3150" s="2"/>
    </row>
    <row r="3151">
      <c r="D3151" s="2"/>
    </row>
    <row r="3152">
      <c r="D3152" s="2"/>
    </row>
    <row r="3153">
      <c r="D3153" s="2"/>
    </row>
    <row r="3154">
      <c r="D3154" s="2"/>
    </row>
    <row r="3155">
      <c r="D3155" s="2"/>
    </row>
    <row r="3156">
      <c r="D3156" s="2"/>
    </row>
    <row r="3157">
      <c r="D3157" s="2"/>
    </row>
    <row r="3158">
      <c r="D3158" s="2"/>
    </row>
    <row r="3159">
      <c r="D3159" s="2"/>
    </row>
    <row r="3160">
      <c r="D3160" s="2"/>
    </row>
    <row r="3161">
      <c r="D3161" s="2"/>
    </row>
    <row r="3162">
      <c r="D3162" s="2"/>
    </row>
    <row r="3163">
      <c r="D3163" s="2"/>
    </row>
    <row r="3164">
      <c r="D3164" s="2"/>
    </row>
    <row r="3165">
      <c r="D3165" s="2"/>
    </row>
    <row r="3166">
      <c r="D3166" s="2"/>
    </row>
    <row r="3167">
      <c r="D3167" s="2"/>
    </row>
    <row r="3168">
      <c r="D3168" s="2"/>
    </row>
    <row r="3169">
      <c r="D3169" s="2"/>
    </row>
    <row r="3170">
      <c r="D3170" s="2"/>
    </row>
    <row r="3171">
      <c r="D3171" s="2"/>
    </row>
    <row r="3172">
      <c r="D3172" s="2"/>
    </row>
    <row r="3173">
      <c r="D3173" s="2"/>
    </row>
    <row r="3174">
      <c r="D3174" s="2"/>
    </row>
    <row r="3175">
      <c r="D3175" s="2"/>
    </row>
    <row r="3176">
      <c r="D3176" s="2"/>
    </row>
    <row r="3177">
      <c r="D3177" s="2"/>
    </row>
    <row r="3178">
      <c r="D3178" s="2"/>
    </row>
    <row r="3179">
      <c r="D3179" s="2"/>
    </row>
    <row r="3180">
      <c r="D3180" s="2"/>
    </row>
    <row r="3181">
      <c r="D3181" s="2"/>
    </row>
    <row r="3182">
      <c r="D3182" s="2"/>
    </row>
    <row r="3183">
      <c r="D3183" s="2"/>
    </row>
    <row r="3184">
      <c r="D3184" s="2"/>
    </row>
    <row r="3185">
      <c r="D318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8" t="s">
        <v>1</v>
      </c>
      <c r="C1" s="9" t="s">
        <v>2</v>
      </c>
      <c r="D1" s="7" t="s">
        <v>3</v>
      </c>
      <c r="E1" s="9" t="s">
        <v>4</v>
      </c>
      <c r="F1" s="9" t="s">
        <v>5</v>
      </c>
      <c r="G1" s="8" t="s">
        <v>6</v>
      </c>
      <c r="H1" s="8" t="s">
        <v>7</v>
      </c>
    </row>
    <row r="2">
      <c r="A2" s="10">
        <v>42370.0</v>
      </c>
      <c r="B2" s="11">
        <v>1777.0</v>
      </c>
      <c r="C2" s="12">
        <v>0.4783</v>
      </c>
      <c r="D2" s="2">
        <v>0.0010416666666666667</v>
      </c>
      <c r="E2" s="12">
        <v>1.06</v>
      </c>
      <c r="F2" s="12">
        <v>4.53</v>
      </c>
      <c r="G2" s="11">
        <v>8553.0</v>
      </c>
      <c r="H2" s="11">
        <v>1888.0</v>
      </c>
    </row>
    <row r="3">
      <c r="A3" s="10">
        <v>42371.0</v>
      </c>
      <c r="B3" s="11">
        <v>1402.0</v>
      </c>
      <c r="C3" s="12">
        <v>0.5048</v>
      </c>
      <c r="D3" s="2">
        <v>0.001261574074074074</v>
      </c>
      <c r="E3" s="12">
        <v>1.04</v>
      </c>
      <c r="F3" s="12">
        <v>6.42</v>
      </c>
      <c r="G3" s="11">
        <v>9359.0</v>
      </c>
      <c r="H3" s="11">
        <v>1458.0</v>
      </c>
    </row>
    <row r="4">
      <c r="A4" s="10">
        <v>42372.0</v>
      </c>
      <c r="B4" s="11">
        <v>1333.0</v>
      </c>
      <c r="C4" s="12">
        <v>0.524</v>
      </c>
      <c r="D4" s="2">
        <v>0.0015046296296296296</v>
      </c>
      <c r="E4" s="12">
        <v>1.09</v>
      </c>
      <c r="F4" s="12">
        <v>5.35</v>
      </c>
      <c r="G4" s="11">
        <v>7804.0</v>
      </c>
      <c r="H4" s="11">
        <v>1458.0</v>
      </c>
    </row>
    <row r="5">
      <c r="A5" s="10">
        <v>42373.0</v>
      </c>
      <c r="B5" s="11">
        <v>1777.0</v>
      </c>
      <c r="C5" s="12">
        <v>0.4854</v>
      </c>
      <c r="D5" s="2">
        <v>0.0027430555555555554</v>
      </c>
      <c r="E5" s="12">
        <v>1.08</v>
      </c>
      <c r="F5" s="12">
        <v>9.91</v>
      </c>
      <c r="G5" s="11">
        <v>18981.0</v>
      </c>
      <c r="H5" s="11">
        <v>1916.0</v>
      </c>
    </row>
    <row r="6">
      <c r="A6" s="10">
        <v>42374.0</v>
      </c>
      <c r="B6" s="11">
        <v>1736.0</v>
      </c>
      <c r="C6" s="12">
        <v>0.477</v>
      </c>
      <c r="D6" s="2">
        <v>0.002199074074074074</v>
      </c>
      <c r="E6" s="12">
        <v>1.04</v>
      </c>
      <c r="F6" s="12">
        <v>8.42</v>
      </c>
      <c r="G6" s="11">
        <v>15191.0</v>
      </c>
      <c r="H6" s="11">
        <v>1805.0</v>
      </c>
    </row>
    <row r="7">
      <c r="A7" s="10">
        <v>42375.0</v>
      </c>
      <c r="B7" s="11">
        <v>1777.0</v>
      </c>
      <c r="C7" s="12">
        <v>0.4075</v>
      </c>
      <c r="D7" s="2">
        <v>0.0010416666666666667</v>
      </c>
      <c r="E7" s="12">
        <v>1.06</v>
      </c>
      <c r="F7" s="12">
        <v>5.78</v>
      </c>
      <c r="G7" s="11">
        <v>10844.0</v>
      </c>
      <c r="H7" s="11">
        <v>1875.0</v>
      </c>
    </row>
    <row r="8">
      <c r="A8" s="10">
        <v>42376.0</v>
      </c>
      <c r="B8" s="11">
        <v>1805.0</v>
      </c>
      <c r="C8" s="12">
        <v>0.4635</v>
      </c>
      <c r="D8" s="2">
        <v>0.0018287037037037037</v>
      </c>
      <c r="E8" s="12">
        <v>1.05</v>
      </c>
      <c r="F8" s="12">
        <v>7.91</v>
      </c>
      <c r="G8" s="11">
        <v>14941.0</v>
      </c>
      <c r="H8" s="11">
        <v>1888.0</v>
      </c>
    </row>
    <row r="9">
      <c r="A9" s="10">
        <v>42377.0</v>
      </c>
      <c r="B9" s="11">
        <v>1625.0</v>
      </c>
      <c r="C9" s="12">
        <v>0.3981</v>
      </c>
      <c r="D9" s="2">
        <v>0.0018981481481481482</v>
      </c>
      <c r="E9" s="12">
        <v>1.05</v>
      </c>
      <c r="F9" s="12">
        <v>7.49</v>
      </c>
      <c r="G9" s="11">
        <v>12788.0</v>
      </c>
      <c r="H9" s="11">
        <v>1708.0</v>
      </c>
    </row>
    <row r="10">
      <c r="A10" s="10">
        <v>42378.0</v>
      </c>
      <c r="B10" s="11">
        <v>1458.0</v>
      </c>
      <c r="C10" s="12">
        <v>0.4907</v>
      </c>
      <c r="D10" s="2">
        <v>0.0010416666666666667</v>
      </c>
      <c r="E10" s="12">
        <v>1.03</v>
      </c>
      <c r="F10" s="12">
        <v>4.18</v>
      </c>
      <c r="G10" s="11">
        <v>6276.0</v>
      </c>
      <c r="H10" s="11">
        <v>1500.0</v>
      </c>
    </row>
    <row r="11">
      <c r="A11" s="10">
        <v>42379.0</v>
      </c>
      <c r="B11" s="11">
        <v>1527.0</v>
      </c>
      <c r="C11" s="12">
        <v>0.5171</v>
      </c>
      <c r="D11" s="2">
        <v>0.001736111111111111</v>
      </c>
      <c r="E11" s="12">
        <v>1.07</v>
      </c>
      <c r="F11" s="12">
        <v>7.75</v>
      </c>
      <c r="G11" s="11">
        <v>12691.0</v>
      </c>
      <c r="H11" s="11">
        <v>1638.0</v>
      </c>
    </row>
    <row r="12">
      <c r="A12" s="10">
        <v>42380.0</v>
      </c>
      <c r="B12" s="11">
        <v>1902.0</v>
      </c>
      <c r="C12" s="12">
        <v>0.5242</v>
      </c>
      <c r="D12" s="2">
        <v>0.0010763888888888889</v>
      </c>
      <c r="E12" s="12">
        <v>1.04</v>
      </c>
      <c r="F12" s="12">
        <v>4.21</v>
      </c>
      <c r="G12" s="11">
        <v>8359.0</v>
      </c>
      <c r="H12" s="11">
        <v>1986.0</v>
      </c>
    </row>
    <row r="13">
      <c r="A13" s="10">
        <v>42381.0</v>
      </c>
      <c r="B13" s="11">
        <v>1708.0</v>
      </c>
      <c r="C13" s="12">
        <v>0.4621</v>
      </c>
      <c r="D13" s="2">
        <v>0.0023263888888888887</v>
      </c>
      <c r="E13" s="12">
        <v>1.07</v>
      </c>
      <c r="F13" s="12">
        <v>5.4</v>
      </c>
      <c r="G13" s="11">
        <v>9900.0</v>
      </c>
      <c r="H13" s="11">
        <v>1833.0</v>
      </c>
    </row>
    <row r="14">
      <c r="A14" s="10">
        <v>42382.0</v>
      </c>
      <c r="B14" s="11">
        <v>2458.0</v>
      </c>
      <c r="C14" s="12">
        <v>0.3876</v>
      </c>
      <c r="D14" s="2">
        <v>0.0012962962962962963</v>
      </c>
      <c r="E14" s="12">
        <v>1.08</v>
      </c>
      <c r="F14" s="12">
        <v>5.43</v>
      </c>
      <c r="G14" s="11">
        <v>14413.0</v>
      </c>
      <c r="H14" s="11">
        <v>2652.0</v>
      </c>
    </row>
    <row r="15">
      <c r="A15" s="10">
        <v>42383.0</v>
      </c>
      <c r="B15" s="11">
        <v>1999.0</v>
      </c>
      <c r="C15" s="12">
        <v>0.4278</v>
      </c>
      <c r="D15" s="2">
        <v>0.001261574074074074</v>
      </c>
      <c r="E15" s="12">
        <v>1.06</v>
      </c>
      <c r="F15" s="12">
        <v>4.62</v>
      </c>
      <c r="G15" s="11">
        <v>9748.0</v>
      </c>
      <c r="H15" s="11">
        <v>2111.0</v>
      </c>
    </row>
    <row r="16">
      <c r="A16" s="10">
        <v>42384.0</v>
      </c>
      <c r="B16" s="11">
        <v>1819.0</v>
      </c>
      <c r="C16" s="12">
        <v>0.4488</v>
      </c>
      <c r="D16" s="2">
        <v>0.0024421296296296296</v>
      </c>
      <c r="E16" s="12">
        <v>1.12</v>
      </c>
      <c r="F16" s="12">
        <v>8.52</v>
      </c>
      <c r="G16" s="11">
        <v>17398.0</v>
      </c>
      <c r="H16" s="11">
        <v>2041.0</v>
      </c>
    </row>
    <row r="17">
      <c r="A17" s="10">
        <v>42385.0</v>
      </c>
      <c r="B17" s="11">
        <v>1416.0</v>
      </c>
      <c r="C17" s="12">
        <v>0.4915</v>
      </c>
      <c r="D17" s="2">
        <v>0.0017708333333333332</v>
      </c>
      <c r="E17" s="12">
        <v>1.12</v>
      </c>
      <c r="F17" s="12">
        <v>5.44</v>
      </c>
      <c r="G17" s="11">
        <v>8609.0</v>
      </c>
      <c r="H17" s="11">
        <v>1583.0</v>
      </c>
    </row>
    <row r="18">
      <c r="A18" s="10">
        <v>42386.0</v>
      </c>
      <c r="B18" s="11">
        <v>1375.0</v>
      </c>
      <c r="C18" s="12">
        <v>0.4413</v>
      </c>
      <c r="D18" s="2">
        <v>0.002002314814814815</v>
      </c>
      <c r="E18" s="12">
        <v>1.12</v>
      </c>
      <c r="F18" s="12">
        <v>6.7</v>
      </c>
      <c r="G18" s="11">
        <v>10331.0</v>
      </c>
      <c r="H18" s="11">
        <v>1541.0</v>
      </c>
    </row>
    <row r="19">
      <c r="A19" s="10">
        <v>42387.0</v>
      </c>
      <c r="B19" s="11">
        <v>1541.0</v>
      </c>
      <c r="C19" s="12">
        <v>0.4835</v>
      </c>
      <c r="D19" s="2">
        <v>0.0022685185185185187</v>
      </c>
      <c r="E19" s="12">
        <v>1.1</v>
      </c>
      <c r="F19" s="12">
        <v>6.0</v>
      </c>
      <c r="G19" s="11">
        <v>10164.0</v>
      </c>
      <c r="H19" s="11">
        <v>1694.0</v>
      </c>
    </row>
    <row r="20">
      <c r="A20" s="10">
        <v>42388.0</v>
      </c>
      <c r="B20" s="11">
        <v>1583.0</v>
      </c>
      <c r="C20" s="12">
        <v>0.5003</v>
      </c>
      <c r="D20" s="2">
        <v>0.002627314814814815</v>
      </c>
      <c r="E20" s="12">
        <v>1.12</v>
      </c>
      <c r="F20" s="12">
        <v>7.22</v>
      </c>
      <c r="G20" s="11">
        <v>12830.0</v>
      </c>
      <c r="H20" s="11">
        <v>1777.0</v>
      </c>
    </row>
    <row r="21">
      <c r="A21" s="10">
        <v>42389.0</v>
      </c>
      <c r="B21" s="11">
        <v>1888.0</v>
      </c>
      <c r="C21" s="12">
        <v>0.5106</v>
      </c>
      <c r="D21" s="2">
        <v>0.0019212962962962964</v>
      </c>
      <c r="E21" s="12">
        <v>1.05</v>
      </c>
      <c r="F21" s="12">
        <v>7.81</v>
      </c>
      <c r="G21" s="11">
        <v>15510.0</v>
      </c>
      <c r="H21" s="11">
        <v>1986.0</v>
      </c>
    </row>
    <row r="22">
      <c r="A22" s="10">
        <v>42390.0</v>
      </c>
      <c r="B22" s="11">
        <v>1805.0</v>
      </c>
      <c r="C22" s="12">
        <v>0.4928</v>
      </c>
      <c r="D22" s="2">
        <v>0.0011574074074074073</v>
      </c>
      <c r="E22" s="12">
        <v>1.08</v>
      </c>
      <c r="F22" s="12">
        <v>6.49</v>
      </c>
      <c r="G22" s="11">
        <v>12608.0</v>
      </c>
      <c r="H22" s="11">
        <v>1944.0</v>
      </c>
    </row>
    <row r="23">
      <c r="A23" s="10">
        <v>42391.0</v>
      </c>
      <c r="B23" s="11">
        <v>1819.0</v>
      </c>
      <c r="C23" s="12">
        <v>0.4965</v>
      </c>
      <c r="D23" s="2">
        <v>0.001851851851851852</v>
      </c>
      <c r="E23" s="12">
        <v>1.09</v>
      </c>
      <c r="F23" s="12">
        <v>7.91</v>
      </c>
      <c r="G23" s="11">
        <v>15704.0</v>
      </c>
      <c r="H23" s="11">
        <v>1986.0</v>
      </c>
    </row>
    <row r="24">
      <c r="A24" s="10">
        <v>42392.0</v>
      </c>
      <c r="B24" s="11">
        <v>1458.0</v>
      </c>
      <c r="C24" s="12">
        <v>0.5964</v>
      </c>
      <c r="D24" s="2">
        <v>9.722222222222222E-4</v>
      </c>
      <c r="E24" s="12">
        <v>1.04</v>
      </c>
      <c r="F24" s="12">
        <v>5.41</v>
      </c>
      <c r="G24" s="11">
        <v>8192.0</v>
      </c>
      <c r="H24" s="11">
        <v>1514.0</v>
      </c>
    </row>
    <row r="25">
      <c r="A25" s="10">
        <v>42393.0</v>
      </c>
      <c r="B25" s="11">
        <v>1666.0</v>
      </c>
      <c r="C25" s="12">
        <v>0.4063</v>
      </c>
      <c r="D25" s="2">
        <v>0.001388888888888889</v>
      </c>
      <c r="E25" s="12">
        <v>1.07</v>
      </c>
      <c r="F25" s="12">
        <v>6.75</v>
      </c>
      <c r="G25" s="11">
        <v>11997.0</v>
      </c>
      <c r="H25" s="11">
        <v>1777.0</v>
      </c>
    </row>
    <row r="26">
      <c r="A26" s="10">
        <v>42394.0</v>
      </c>
      <c r="B26" s="11">
        <v>1986.0</v>
      </c>
      <c r="C26" s="12">
        <v>0.4142</v>
      </c>
      <c r="D26" s="2">
        <v>0.0024074074074074076</v>
      </c>
      <c r="E26" s="12">
        <v>1.1</v>
      </c>
      <c r="F26" s="12">
        <v>6.86</v>
      </c>
      <c r="G26" s="11">
        <v>14955.0</v>
      </c>
      <c r="H26" s="11">
        <v>2180.0</v>
      </c>
    </row>
    <row r="27">
      <c r="A27" s="10">
        <v>42395.0</v>
      </c>
      <c r="B27" s="11">
        <v>1916.0</v>
      </c>
      <c r="C27" s="12">
        <v>0.5065</v>
      </c>
      <c r="D27" s="2">
        <v>0.001979166666666667</v>
      </c>
      <c r="E27" s="12">
        <v>1.09</v>
      </c>
      <c r="F27" s="12">
        <v>6.75</v>
      </c>
      <c r="G27" s="11">
        <v>14052.0</v>
      </c>
      <c r="H27" s="11">
        <v>2083.0</v>
      </c>
    </row>
    <row r="28">
      <c r="A28" s="10">
        <v>42396.0</v>
      </c>
      <c r="B28" s="11">
        <v>2541.0</v>
      </c>
      <c r="C28" s="12">
        <v>0.4604</v>
      </c>
      <c r="D28" s="2">
        <v>0.0012962962962962963</v>
      </c>
      <c r="E28" s="12">
        <v>1.03</v>
      </c>
      <c r="F28" s="12">
        <v>5.86</v>
      </c>
      <c r="G28" s="11">
        <v>15371.0</v>
      </c>
      <c r="H28" s="11">
        <v>2624.0</v>
      </c>
    </row>
    <row r="29">
      <c r="A29" s="10">
        <v>42397.0</v>
      </c>
      <c r="B29" s="11">
        <v>2833.0</v>
      </c>
      <c r="C29" s="12">
        <v>0.4387</v>
      </c>
      <c r="D29" s="2">
        <v>0.0016782407407407408</v>
      </c>
      <c r="E29" s="12">
        <v>1.12</v>
      </c>
      <c r="F29" s="12">
        <v>6.75</v>
      </c>
      <c r="G29" s="11">
        <v>21370.0</v>
      </c>
      <c r="H29" s="11">
        <v>3166.0</v>
      </c>
    </row>
    <row r="30">
      <c r="A30" s="10">
        <v>42398.0</v>
      </c>
      <c r="B30" s="11">
        <v>2055.0</v>
      </c>
      <c r="C30" s="12">
        <v>0.5094</v>
      </c>
      <c r="D30" s="2">
        <v>0.0016898148148148148</v>
      </c>
      <c r="E30" s="12">
        <v>1.09</v>
      </c>
      <c r="F30" s="12">
        <v>6.68</v>
      </c>
      <c r="G30" s="11">
        <v>14941.0</v>
      </c>
      <c r="H30" s="11">
        <v>2236.0</v>
      </c>
    </row>
    <row r="31">
      <c r="A31" s="10">
        <v>42399.0</v>
      </c>
      <c r="B31" s="11">
        <v>1597.0</v>
      </c>
      <c r="C31" s="12">
        <v>0.5373</v>
      </c>
      <c r="D31" s="2">
        <v>0.0019444444444444444</v>
      </c>
      <c r="E31" s="12">
        <v>1.17</v>
      </c>
      <c r="F31" s="12">
        <v>6.1</v>
      </c>
      <c r="G31" s="11">
        <v>11344.0</v>
      </c>
      <c r="H31" s="11">
        <v>1861.0</v>
      </c>
    </row>
    <row r="32">
      <c r="A32" s="10">
        <v>42400.0</v>
      </c>
      <c r="B32" s="11">
        <v>1694.0</v>
      </c>
      <c r="C32" s="12">
        <v>0.5113</v>
      </c>
      <c r="D32" s="2">
        <v>0.0014930555555555556</v>
      </c>
      <c r="E32" s="12">
        <v>1.07</v>
      </c>
      <c r="F32" s="12">
        <v>5.34</v>
      </c>
      <c r="G32" s="11">
        <v>9720.0</v>
      </c>
      <c r="H32" s="11">
        <v>1819.0</v>
      </c>
    </row>
    <row r="33">
      <c r="A33" s="10">
        <v>42401.0</v>
      </c>
      <c r="B33" s="11">
        <v>2097.0</v>
      </c>
      <c r="C33" s="12">
        <v>0.5151</v>
      </c>
      <c r="D33" s="2">
        <v>0.0012037037037037038</v>
      </c>
      <c r="E33" s="12">
        <v>1.09</v>
      </c>
      <c r="F33" s="12">
        <v>6.66</v>
      </c>
      <c r="G33" s="11">
        <v>15260.0</v>
      </c>
      <c r="H33" s="11">
        <v>2291.0</v>
      </c>
    </row>
    <row r="34">
      <c r="A34" s="10">
        <v>42402.0</v>
      </c>
      <c r="B34" s="11">
        <v>2222.0</v>
      </c>
      <c r="C34" s="12">
        <v>0.5202</v>
      </c>
      <c r="D34" s="2">
        <v>0.001388888888888889</v>
      </c>
      <c r="E34" s="12">
        <v>1.09</v>
      </c>
      <c r="F34" s="12">
        <v>5.87</v>
      </c>
      <c r="G34" s="11">
        <v>14260.0</v>
      </c>
      <c r="H34" s="11">
        <v>2430.0</v>
      </c>
    </row>
    <row r="35">
      <c r="A35" s="10">
        <v>42403.0</v>
      </c>
      <c r="B35" s="11">
        <v>2111.0</v>
      </c>
      <c r="C35" s="12">
        <v>0.4489</v>
      </c>
      <c r="D35" s="2">
        <v>0.0024074074074074076</v>
      </c>
      <c r="E35" s="12">
        <v>1.1</v>
      </c>
      <c r="F35" s="12">
        <v>6.5</v>
      </c>
      <c r="G35" s="11">
        <v>15066.0</v>
      </c>
      <c r="H35" s="11">
        <v>2319.0</v>
      </c>
    </row>
    <row r="36">
      <c r="A36" s="10">
        <v>42404.0</v>
      </c>
      <c r="B36" s="11">
        <v>2860.0</v>
      </c>
      <c r="C36" s="12">
        <v>0.4736</v>
      </c>
      <c r="D36" s="2">
        <v>0.0015277777777777779</v>
      </c>
      <c r="E36" s="12">
        <v>1.1</v>
      </c>
      <c r="F36" s="12">
        <v>6.05</v>
      </c>
      <c r="G36" s="11">
        <v>18995.0</v>
      </c>
      <c r="H36" s="11">
        <v>3138.0</v>
      </c>
    </row>
    <row r="37">
      <c r="A37" s="10">
        <v>42405.0</v>
      </c>
      <c r="B37" s="11">
        <v>2222.0</v>
      </c>
      <c r="C37" s="12">
        <v>0.4261</v>
      </c>
      <c r="D37" s="2">
        <v>0.001851851851851852</v>
      </c>
      <c r="E37" s="12">
        <v>1.06</v>
      </c>
      <c r="F37" s="12">
        <v>7.06</v>
      </c>
      <c r="G37" s="11">
        <v>16579.0</v>
      </c>
      <c r="H37" s="11">
        <v>2347.0</v>
      </c>
    </row>
    <row r="38">
      <c r="A38" s="10">
        <v>42406.0</v>
      </c>
      <c r="B38" s="11">
        <v>1416.0</v>
      </c>
      <c r="C38" s="12">
        <v>0.4769</v>
      </c>
      <c r="D38" s="2">
        <v>0.0016203703703703703</v>
      </c>
      <c r="E38" s="12">
        <v>1.07</v>
      </c>
      <c r="F38" s="12">
        <v>5.78</v>
      </c>
      <c r="G38" s="11">
        <v>8748.0</v>
      </c>
      <c r="H38" s="11">
        <v>1514.0</v>
      </c>
    </row>
    <row r="39">
      <c r="A39" s="10">
        <v>42407.0</v>
      </c>
      <c r="B39" s="11">
        <v>1555.0</v>
      </c>
      <c r="C39" s="12">
        <v>0.5075</v>
      </c>
      <c r="D39" s="2">
        <v>0.001724537037037037</v>
      </c>
      <c r="E39" s="12">
        <v>1.16</v>
      </c>
      <c r="F39" s="12">
        <v>5.39</v>
      </c>
      <c r="G39" s="11">
        <v>9734.0</v>
      </c>
      <c r="H39" s="11">
        <v>1805.0</v>
      </c>
    </row>
    <row r="40">
      <c r="A40" s="10">
        <v>42408.0</v>
      </c>
      <c r="B40" s="11">
        <v>2069.0</v>
      </c>
      <c r="C40" s="12">
        <v>0.4695</v>
      </c>
      <c r="D40" s="2">
        <v>0.002650462962962963</v>
      </c>
      <c r="E40" s="12">
        <v>1.1</v>
      </c>
      <c r="F40" s="12">
        <v>7.62</v>
      </c>
      <c r="G40" s="11">
        <v>17343.0</v>
      </c>
      <c r="H40" s="11">
        <v>2277.0</v>
      </c>
    </row>
    <row r="41">
      <c r="A41" s="10">
        <v>42409.0</v>
      </c>
      <c r="B41" s="11">
        <v>1916.0</v>
      </c>
      <c r="C41" s="12">
        <v>0.4577</v>
      </c>
      <c r="D41" s="2">
        <v>0.002685185185185185</v>
      </c>
      <c r="E41" s="12">
        <v>1.2</v>
      </c>
      <c r="F41" s="12">
        <v>9.32</v>
      </c>
      <c r="G41" s="11">
        <v>21481.0</v>
      </c>
      <c r="H41" s="11">
        <v>2305.0</v>
      </c>
    </row>
    <row r="42">
      <c r="A42" s="10">
        <v>42410.0</v>
      </c>
      <c r="B42" s="11">
        <v>2083.0</v>
      </c>
      <c r="C42" s="12">
        <v>0.4444</v>
      </c>
      <c r="D42" s="2">
        <v>0.002395833333333333</v>
      </c>
      <c r="E42" s="12">
        <v>1.14</v>
      </c>
      <c r="F42" s="12">
        <v>7.37</v>
      </c>
      <c r="G42" s="11">
        <v>17496.0</v>
      </c>
      <c r="H42" s="11">
        <v>2374.0</v>
      </c>
    </row>
    <row r="43">
      <c r="A43" s="10">
        <v>42411.0</v>
      </c>
      <c r="B43" s="11">
        <v>2180.0</v>
      </c>
      <c r="C43" s="12">
        <v>0.4489</v>
      </c>
      <c r="D43" s="2">
        <v>0.0022453703703703702</v>
      </c>
      <c r="E43" s="12">
        <v>1.12</v>
      </c>
      <c r="F43" s="12">
        <v>8.47</v>
      </c>
      <c r="G43" s="11">
        <v>20689.0</v>
      </c>
      <c r="H43" s="11">
        <v>2444.0</v>
      </c>
    </row>
    <row r="44">
      <c r="A44" s="10">
        <v>42412.0</v>
      </c>
      <c r="B44" s="11">
        <v>1847.0</v>
      </c>
      <c r="C44" s="12">
        <v>0.4275</v>
      </c>
      <c r="D44" s="2">
        <v>0.0016666666666666668</v>
      </c>
      <c r="E44" s="12">
        <v>1.2</v>
      </c>
      <c r="F44" s="12">
        <v>6.06</v>
      </c>
      <c r="G44" s="11">
        <v>13386.0</v>
      </c>
      <c r="H44" s="11">
        <v>2208.0</v>
      </c>
    </row>
    <row r="45">
      <c r="A45" s="10">
        <v>42413.0</v>
      </c>
      <c r="B45" s="11">
        <v>1611.0</v>
      </c>
      <c r="C45" s="12">
        <v>0.6078</v>
      </c>
      <c r="D45" s="2">
        <v>0.0010069444444444444</v>
      </c>
      <c r="E45" s="12">
        <v>1.12</v>
      </c>
      <c r="F45" s="12">
        <v>4.15</v>
      </c>
      <c r="G45" s="11">
        <v>7484.0</v>
      </c>
      <c r="H45" s="11">
        <v>1805.0</v>
      </c>
    </row>
    <row r="46">
      <c r="A46" s="10">
        <v>42414.0</v>
      </c>
      <c r="B46" s="11">
        <v>1694.0</v>
      </c>
      <c r="C46" s="12">
        <v>0.5785</v>
      </c>
      <c r="D46" s="2">
        <v>0.001990740740740741</v>
      </c>
      <c r="E46" s="12">
        <v>1.05</v>
      </c>
      <c r="F46" s="12">
        <v>5.71</v>
      </c>
      <c r="G46" s="11">
        <v>10150.0</v>
      </c>
      <c r="H46" s="11">
        <v>1777.0</v>
      </c>
    </row>
    <row r="47">
      <c r="A47" s="10">
        <v>42415.0</v>
      </c>
      <c r="B47" s="11">
        <v>1888.0</v>
      </c>
      <c r="C47" s="12">
        <v>0.5703</v>
      </c>
      <c r="D47" s="2">
        <v>0.0014699074074074074</v>
      </c>
      <c r="E47" s="12">
        <v>1.1</v>
      </c>
      <c r="F47" s="12">
        <v>4.62</v>
      </c>
      <c r="G47" s="11">
        <v>9553.0</v>
      </c>
      <c r="H47" s="11">
        <v>2069.0</v>
      </c>
    </row>
    <row r="48">
      <c r="A48" s="10">
        <v>42416.0</v>
      </c>
      <c r="B48" s="11">
        <v>2097.0</v>
      </c>
      <c r="C48" s="12">
        <v>0.4706</v>
      </c>
      <c r="D48" s="2">
        <v>0.0016319444444444445</v>
      </c>
      <c r="E48" s="12">
        <v>1.13</v>
      </c>
      <c r="F48" s="12">
        <v>6.12</v>
      </c>
      <c r="G48" s="11">
        <v>14441.0</v>
      </c>
      <c r="H48" s="11">
        <v>2361.0</v>
      </c>
    </row>
    <row r="49">
      <c r="A49" s="10">
        <v>42417.0</v>
      </c>
      <c r="B49" s="11">
        <v>2124.0</v>
      </c>
      <c r="C49" s="12">
        <v>0.4739</v>
      </c>
      <c r="D49" s="2">
        <v>0.001979166666666667</v>
      </c>
      <c r="E49" s="12">
        <v>1.12</v>
      </c>
      <c r="F49" s="12">
        <v>5.91</v>
      </c>
      <c r="G49" s="11">
        <v>14038.0</v>
      </c>
      <c r="H49" s="11">
        <v>2374.0</v>
      </c>
    </row>
    <row r="50">
      <c r="A50" s="10">
        <v>42418.0</v>
      </c>
      <c r="B50" s="11">
        <v>2194.0</v>
      </c>
      <c r="C50" s="12">
        <v>0.433</v>
      </c>
      <c r="D50" s="2">
        <v>0.001574074074074074</v>
      </c>
      <c r="E50" s="12">
        <v>1.08</v>
      </c>
      <c r="F50" s="12">
        <v>6.08</v>
      </c>
      <c r="G50" s="11">
        <v>14427.0</v>
      </c>
      <c r="H50" s="11">
        <v>2374.0</v>
      </c>
    </row>
    <row r="51">
      <c r="A51" s="10">
        <v>42419.0</v>
      </c>
      <c r="B51" s="11">
        <v>2027.0</v>
      </c>
      <c r="C51" s="12">
        <v>0.4774</v>
      </c>
      <c r="D51" s="2">
        <v>0.0011805555555555556</v>
      </c>
      <c r="E51" s="12">
        <v>1.05</v>
      </c>
      <c r="F51" s="12">
        <v>5.9</v>
      </c>
      <c r="G51" s="11">
        <v>12538.0</v>
      </c>
      <c r="H51" s="11">
        <v>2124.0</v>
      </c>
    </row>
    <row r="52">
      <c r="A52" s="10">
        <v>42420.0</v>
      </c>
      <c r="B52" s="11">
        <v>1694.0</v>
      </c>
      <c r="C52" s="12">
        <v>0.5111</v>
      </c>
      <c r="D52" s="2">
        <v>0.001261574074074074</v>
      </c>
      <c r="E52" s="12">
        <v>1.09</v>
      </c>
      <c r="F52" s="12">
        <v>5.35</v>
      </c>
      <c r="G52" s="11">
        <v>9873.0</v>
      </c>
      <c r="H52" s="11">
        <v>1847.0</v>
      </c>
    </row>
    <row r="53">
      <c r="A53" s="10">
        <v>42421.0</v>
      </c>
      <c r="B53" s="11">
        <v>1791.0</v>
      </c>
      <c r="C53" s="12">
        <v>0.5</v>
      </c>
      <c r="D53" s="2">
        <v>0.0012962962962962963</v>
      </c>
      <c r="E53" s="12">
        <v>1.09</v>
      </c>
      <c r="F53" s="12">
        <v>5.44</v>
      </c>
      <c r="G53" s="11">
        <v>10567.0</v>
      </c>
      <c r="H53" s="11">
        <v>1944.0</v>
      </c>
    </row>
    <row r="54">
      <c r="A54" s="10">
        <v>42422.0</v>
      </c>
      <c r="B54" s="11">
        <v>1888.0</v>
      </c>
      <c r="C54" s="12">
        <v>0.4433</v>
      </c>
      <c r="D54" s="2">
        <v>0.002662037037037037</v>
      </c>
      <c r="E54" s="12">
        <v>1.23</v>
      </c>
      <c r="F54" s="12">
        <v>8.04</v>
      </c>
      <c r="G54" s="11">
        <v>18648.0</v>
      </c>
      <c r="H54" s="11">
        <v>2319.0</v>
      </c>
    </row>
    <row r="55">
      <c r="A55" s="10">
        <v>42423.0</v>
      </c>
      <c r="B55" s="11">
        <v>2194.0</v>
      </c>
      <c r="C55" s="12">
        <v>0.4861</v>
      </c>
      <c r="D55" s="2">
        <v>0.002384259259259259</v>
      </c>
      <c r="E55" s="12">
        <v>1.13</v>
      </c>
      <c r="F55" s="12">
        <v>6.36</v>
      </c>
      <c r="G55" s="11">
        <v>15815.0</v>
      </c>
      <c r="H55" s="11">
        <v>2485.0</v>
      </c>
    </row>
    <row r="56">
      <c r="A56" s="10">
        <v>42424.0</v>
      </c>
      <c r="B56" s="11">
        <v>2347.0</v>
      </c>
      <c r="C56" s="12">
        <v>0.4427</v>
      </c>
      <c r="D56" s="2">
        <v>0.002395833333333333</v>
      </c>
      <c r="E56" s="12">
        <v>1.08</v>
      </c>
      <c r="F56" s="12">
        <v>8.34</v>
      </c>
      <c r="G56" s="11">
        <v>21189.0</v>
      </c>
      <c r="H56" s="11">
        <v>2541.0</v>
      </c>
    </row>
    <row r="57">
      <c r="A57" s="10">
        <v>42425.0</v>
      </c>
      <c r="B57" s="11">
        <v>2152.0</v>
      </c>
      <c r="C57" s="12">
        <v>0.4489</v>
      </c>
      <c r="D57" s="2">
        <v>0.0019212962962962964</v>
      </c>
      <c r="E57" s="12">
        <v>1.14</v>
      </c>
      <c r="F57" s="12">
        <v>7.72</v>
      </c>
      <c r="G57" s="11">
        <v>18856.0</v>
      </c>
      <c r="H57" s="11">
        <v>2444.0</v>
      </c>
    </row>
    <row r="58">
      <c r="A58" s="10">
        <v>42426.0</v>
      </c>
      <c r="B58" s="11">
        <v>2027.0</v>
      </c>
      <c r="C58" s="12">
        <v>0.4968</v>
      </c>
      <c r="D58" s="2">
        <v>0.0016203703703703703</v>
      </c>
      <c r="E58" s="12">
        <v>1.09</v>
      </c>
      <c r="F58" s="12">
        <v>4.83</v>
      </c>
      <c r="G58" s="11">
        <v>10664.0</v>
      </c>
      <c r="H58" s="11">
        <v>2208.0</v>
      </c>
    </row>
    <row r="59">
      <c r="A59" s="10">
        <v>42427.0</v>
      </c>
      <c r="B59" s="11">
        <v>1597.0</v>
      </c>
      <c r="C59" s="12">
        <v>0.6167</v>
      </c>
      <c r="D59" s="2">
        <v>0.0012268518518518518</v>
      </c>
      <c r="E59" s="12">
        <v>1.16</v>
      </c>
      <c r="F59" s="12">
        <v>4.14</v>
      </c>
      <c r="G59" s="11">
        <v>7651.0</v>
      </c>
      <c r="H59" s="11">
        <v>1847.0</v>
      </c>
    </row>
    <row r="60">
      <c r="A60" s="10">
        <v>42428.0</v>
      </c>
      <c r="B60" s="11">
        <v>1583.0</v>
      </c>
      <c r="C60" s="12">
        <v>0.4688</v>
      </c>
      <c r="D60" s="2">
        <v>0.0024537037037037036</v>
      </c>
      <c r="E60" s="12">
        <v>1.12</v>
      </c>
      <c r="F60" s="12">
        <v>5.5</v>
      </c>
      <c r="G60" s="11">
        <v>9775.0</v>
      </c>
      <c r="H60" s="11">
        <v>1777.0</v>
      </c>
    </row>
    <row r="61">
      <c r="A61" s="10">
        <v>42429.0</v>
      </c>
      <c r="B61" s="11">
        <v>3194.0</v>
      </c>
      <c r="C61" s="12">
        <v>0.4298</v>
      </c>
      <c r="D61" s="2">
        <v>0.001875</v>
      </c>
      <c r="E61" s="12">
        <v>1.05</v>
      </c>
      <c r="F61" s="12">
        <v>7.45</v>
      </c>
      <c r="G61" s="11">
        <v>25021.0</v>
      </c>
      <c r="H61" s="11">
        <v>3360.0</v>
      </c>
    </row>
    <row r="62">
      <c r="A62" s="10">
        <v>42430.0</v>
      </c>
      <c r="B62" s="11">
        <v>2569.0</v>
      </c>
      <c r="C62" s="12">
        <v>0.4371</v>
      </c>
      <c r="D62" s="2">
        <v>0.001712962962962963</v>
      </c>
      <c r="E62" s="12">
        <v>1.11</v>
      </c>
      <c r="F62" s="12">
        <v>6.46</v>
      </c>
      <c r="G62" s="11">
        <v>18468.0</v>
      </c>
      <c r="H62" s="11">
        <v>2860.0</v>
      </c>
    </row>
    <row r="63">
      <c r="A63" s="10">
        <v>42431.0</v>
      </c>
      <c r="B63" s="11">
        <v>2236.0</v>
      </c>
      <c r="C63" s="12">
        <v>0.4309</v>
      </c>
      <c r="D63" s="2">
        <v>0.002037037037037037</v>
      </c>
      <c r="E63" s="12">
        <v>1.08</v>
      </c>
      <c r="F63" s="12">
        <v>7.96</v>
      </c>
      <c r="G63" s="11">
        <v>19231.0</v>
      </c>
      <c r="H63" s="11">
        <v>2416.0</v>
      </c>
    </row>
    <row r="64">
      <c r="A64" s="10">
        <v>42432.0</v>
      </c>
      <c r="B64" s="11">
        <v>2319.0</v>
      </c>
      <c r="C64" s="12">
        <v>0.4759</v>
      </c>
      <c r="D64" s="2">
        <v>0.0022569444444444442</v>
      </c>
      <c r="E64" s="12">
        <v>1.12</v>
      </c>
      <c r="F64" s="12">
        <v>6.03</v>
      </c>
      <c r="G64" s="11">
        <v>15649.0</v>
      </c>
      <c r="H64" s="11">
        <v>2597.0</v>
      </c>
    </row>
    <row r="65">
      <c r="A65" s="10">
        <v>42433.0</v>
      </c>
      <c r="B65" s="11">
        <v>2152.0</v>
      </c>
      <c r="C65" s="12">
        <v>0.4824</v>
      </c>
      <c r="D65" s="2">
        <v>0.001736111111111111</v>
      </c>
      <c r="E65" s="12">
        <v>1.11</v>
      </c>
      <c r="F65" s="12">
        <v>6.77</v>
      </c>
      <c r="G65" s="11">
        <v>16163.0</v>
      </c>
      <c r="H65" s="11">
        <v>2388.0</v>
      </c>
    </row>
    <row r="66">
      <c r="A66" s="10">
        <v>42434.0</v>
      </c>
      <c r="B66" s="11">
        <v>1625.0</v>
      </c>
      <c r="C66" s="12">
        <v>0.5307</v>
      </c>
      <c r="D66" s="2">
        <v>0.0014930555555555556</v>
      </c>
      <c r="E66" s="12">
        <v>1.11</v>
      </c>
      <c r="F66" s="12">
        <v>5.07</v>
      </c>
      <c r="G66" s="11">
        <v>9150.0</v>
      </c>
      <c r="H66" s="11">
        <v>1805.0</v>
      </c>
    </row>
    <row r="67">
      <c r="A67" s="10">
        <v>42435.0</v>
      </c>
      <c r="B67" s="11">
        <v>1819.0</v>
      </c>
      <c r="C67" s="12">
        <v>0.5279</v>
      </c>
      <c r="D67" s="2">
        <v>0.0015972222222222223</v>
      </c>
      <c r="E67" s="12">
        <v>1.08</v>
      </c>
      <c r="F67" s="12">
        <v>5.7</v>
      </c>
      <c r="G67" s="11">
        <v>11247.0</v>
      </c>
      <c r="H67" s="11">
        <v>1972.0</v>
      </c>
    </row>
    <row r="68">
      <c r="A68" s="10">
        <v>42436.0</v>
      </c>
      <c r="B68" s="11">
        <v>2166.0</v>
      </c>
      <c r="C68" s="12">
        <v>0.4142</v>
      </c>
      <c r="D68" s="2">
        <v>0.0019444444444444444</v>
      </c>
      <c r="E68" s="12">
        <v>1.16</v>
      </c>
      <c r="F68" s="12">
        <v>8.33</v>
      </c>
      <c r="G68" s="11">
        <v>20939.0</v>
      </c>
      <c r="H68" s="11">
        <v>2513.0</v>
      </c>
    </row>
    <row r="69">
      <c r="A69" s="10">
        <v>42437.0</v>
      </c>
      <c r="B69" s="11">
        <v>2152.0</v>
      </c>
      <c r="C69" s="12">
        <v>0.4854</v>
      </c>
      <c r="D69" s="2">
        <v>0.0019097222222222222</v>
      </c>
      <c r="E69" s="12">
        <v>1.12</v>
      </c>
      <c r="F69" s="12">
        <v>6.77</v>
      </c>
      <c r="G69" s="11">
        <v>16260.0</v>
      </c>
      <c r="H69" s="11">
        <v>2402.0</v>
      </c>
    </row>
    <row r="70">
      <c r="A70" s="10">
        <v>42438.0</v>
      </c>
      <c r="B70" s="11">
        <v>2041.0</v>
      </c>
      <c r="C70" s="12">
        <v>0.4685</v>
      </c>
      <c r="D70" s="2">
        <v>0.0017592592592592592</v>
      </c>
      <c r="E70" s="12">
        <v>1.09</v>
      </c>
      <c r="F70" s="12">
        <v>5.91</v>
      </c>
      <c r="G70" s="11">
        <v>13136.0</v>
      </c>
      <c r="H70" s="11">
        <v>2222.0</v>
      </c>
    </row>
    <row r="71">
      <c r="A71" s="10">
        <v>42439.0</v>
      </c>
      <c r="B71" s="11">
        <v>2263.0</v>
      </c>
      <c r="C71" s="12">
        <v>0.4438</v>
      </c>
      <c r="D71" s="2">
        <v>0.0013541666666666667</v>
      </c>
      <c r="E71" s="12">
        <v>1.09</v>
      </c>
      <c r="F71" s="12">
        <v>6.12</v>
      </c>
      <c r="G71" s="11">
        <v>15135.0</v>
      </c>
      <c r="H71" s="11">
        <v>2472.0</v>
      </c>
    </row>
    <row r="72">
      <c r="A72" s="10">
        <v>42440.0</v>
      </c>
      <c r="B72" s="11">
        <v>2027.0</v>
      </c>
      <c r="C72" s="12">
        <v>0.4941</v>
      </c>
      <c r="D72" s="2">
        <v>0.0020486111111111113</v>
      </c>
      <c r="E72" s="12">
        <v>1.14</v>
      </c>
      <c r="F72" s="12">
        <v>7.68</v>
      </c>
      <c r="G72" s="11">
        <v>17704.0</v>
      </c>
      <c r="H72" s="11">
        <v>2305.0</v>
      </c>
    </row>
    <row r="73">
      <c r="A73" s="10">
        <v>42441.0</v>
      </c>
      <c r="B73" s="11">
        <v>1514.0</v>
      </c>
      <c r="C73" s="12">
        <v>0.4872</v>
      </c>
      <c r="D73" s="2">
        <v>0.0022685185185185187</v>
      </c>
      <c r="E73" s="12">
        <v>1.05</v>
      </c>
      <c r="F73" s="12">
        <v>9.03</v>
      </c>
      <c r="G73" s="11">
        <v>14413.0</v>
      </c>
      <c r="H73" s="11">
        <v>1597.0</v>
      </c>
    </row>
    <row r="74">
      <c r="A74" s="10">
        <v>42442.0</v>
      </c>
      <c r="B74" s="11">
        <v>1763.0</v>
      </c>
      <c r="C74" s="12">
        <v>0.4635</v>
      </c>
      <c r="D74" s="2">
        <v>0.001724537037037037</v>
      </c>
      <c r="E74" s="12">
        <v>1.07</v>
      </c>
      <c r="F74" s="12">
        <v>7.28</v>
      </c>
      <c r="G74" s="11">
        <v>13747.0</v>
      </c>
      <c r="H74" s="11">
        <v>1888.0</v>
      </c>
    </row>
    <row r="75">
      <c r="A75" s="10">
        <v>42443.0</v>
      </c>
      <c r="B75" s="11">
        <v>1902.0</v>
      </c>
      <c r="C75" s="12">
        <v>0.5349</v>
      </c>
      <c r="D75" s="2">
        <v>0.001724537037037037</v>
      </c>
      <c r="E75" s="12">
        <v>1.15</v>
      </c>
      <c r="F75" s="12">
        <v>6.92</v>
      </c>
      <c r="G75" s="11">
        <v>15093.0</v>
      </c>
      <c r="H75" s="11">
        <v>2180.0</v>
      </c>
    </row>
    <row r="76">
      <c r="A76" s="10">
        <v>42444.0</v>
      </c>
      <c r="B76" s="11">
        <v>2138.0</v>
      </c>
      <c r="C76" s="12">
        <v>0.4971</v>
      </c>
      <c r="D76" s="2">
        <v>0.0020601851851851853</v>
      </c>
      <c r="E76" s="12">
        <v>1.11</v>
      </c>
      <c r="F76" s="12">
        <v>6.93</v>
      </c>
      <c r="G76" s="11">
        <v>16440.0</v>
      </c>
      <c r="H76" s="11">
        <v>2374.0</v>
      </c>
    </row>
    <row r="77">
      <c r="A77" s="10">
        <v>42445.0</v>
      </c>
      <c r="B77" s="11">
        <v>1875.0</v>
      </c>
      <c r="C77" s="12">
        <v>0.4197</v>
      </c>
      <c r="D77" s="2">
        <v>0.002025462962962963</v>
      </c>
      <c r="E77" s="12">
        <v>1.2</v>
      </c>
      <c r="F77" s="12">
        <v>6.69</v>
      </c>
      <c r="G77" s="11">
        <v>15038.0</v>
      </c>
      <c r="H77" s="11">
        <v>2249.0</v>
      </c>
    </row>
    <row r="78">
      <c r="A78" s="10">
        <v>42446.0</v>
      </c>
      <c r="B78" s="11">
        <v>2166.0</v>
      </c>
      <c r="C78" s="12">
        <v>0.5113</v>
      </c>
      <c r="D78" s="2">
        <v>0.0016319444444444445</v>
      </c>
      <c r="E78" s="12">
        <v>1.14</v>
      </c>
      <c r="F78" s="12">
        <v>5.94</v>
      </c>
      <c r="G78" s="11">
        <v>14691.0</v>
      </c>
      <c r="H78" s="11">
        <v>2472.0</v>
      </c>
    </row>
    <row r="79">
      <c r="A79" s="10">
        <v>42447.0</v>
      </c>
      <c r="B79" s="11">
        <v>2083.0</v>
      </c>
      <c r="C79" s="12">
        <v>0.5235</v>
      </c>
      <c r="D79" s="2">
        <v>0.0020717592592592593</v>
      </c>
      <c r="E79" s="12">
        <v>1.13</v>
      </c>
      <c r="F79" s="12">
        <v>7.46</v>
      </c>
      <c r="G79" s="11">
        <v>17607.0</v>
      </c>
      <c r="H79" s="11">
        <v>2361.0</v>
      </c>
    </row>
    <row r="80">
      <c r="A80" s="10">
        <v>42448.0</v>
      </c>
      <c r="B80" s="11">
        <v>1694.0</v>
      </c>
      <c r="C80" s="12">
        <v>0.5988</v>
      </c>
      <c r="D80" s="2">
        <v>0.0014930555555555556</v>
      </c>
      <c r="E80" s="12">
        <v>1.12</v>
      </c>
      <c r="F80" s="12">
        <v>4.62</v>
      </c>
      <c r="G80" s="11">
        <v>8789.0</v>
      </c>
      <c r="H80" s="11">
        <v>1902.0</v>
      </c>
    </row>
    <row r="81">
      <c r="A81" s="10">
        <v>42449.0</v>
      </c>
      <c r="B81" s="11">
        <v>1805.0</v>
      </c>
      <c r="C81" s="12">
        <v>0.5388</v>
      </c>
      <c r="D81" s="2">
        <v>0.0016435185185185185</v>
      </c>
      <c r="E81" s="12">
        <v>1.08</v>
      </c>
      <c r="F81" s="12">
        <v>5.54</v>
      </c>
      <c r="G81" s="11">
        <v>10844.0</v>
      </c>
      <c r="H81" s="11">
        <v>1958.0</v>
      </c>
    </row>
    <row r="82">
      <c r="A82" s="10">
        <v>42450.0</v>
      </c>
      <c r="B82" s="11">
        <v>2527.0</v>
      </c>
      <c r="C82" s="12">
        <v>0.5388</v>
      </c>
      <c r="D82" s="2">
        <v>0.0011342592592592593</v>
      </c>
      <c r="E82" s="12">
        <v>1.06</v>
      </c>
      <c r="F82" s="12">
        <v>4.97</v>
      </c>
      <c r="G82" s="11">
        <v>13330.0</v>
      </c>
      <c r="H82" s="11">
        <v>2680.0</v>
      </c>
    </row>
    <row r="83">
      <c r="A83" s="10">
        <v>42451.0</v>
      </c>
      <c r="B83" s="11">
        <v>3638.0</v>
      </c>
      <c r="C83" s="12">
        <v>0.4928</v>
      </c>
      <c r="D83" s="2">
        <v>9.722222222222222E-4</v>
      </c>
      <c r="E83" s="12">
        <v>1.05</v>
      </c>
      <c r="F83" s="12">
        <v>3.77</v>
      </c>
      <c r="G83" s="11">
        <v>14357.0</v>
      </c>
      <c r="H83" s="11">
        <v>3805.0</v>
      </c>
    </row>
    <row r="84">
      <c r="A84" s="10">
        <v>42452.0</v>
      </c>
      <c r="B84" s="11">
        <v>5221.0</v>
      </c>
      <c r="C84" s="12">
        <v>0.495</v>
      </c>
      <c r="D84" s="2">
        <v>0.001261574074074074</v>
      </c>
      <c r="E84" s="12">
        <v>1.05</v>
      </c>
      <c r="F84" s="12">
        <v>4.65</v>
      </c>
      <c r="G84" s="11">
        <v>25438.0</v>
      </c>
      <c r="H84" s="11">
        <v>5471.0</v>
      </c>
    </row>
    <row r="85">
      <c r="A85" s="10">
        <v>42453.0</v>
      </c>
      <c r="B85" s="11">
        <v>5151.0</v>
      </c>
      <c r="C85" s="12">
        <v>0.5201</v>
      </c>
      <c r="D85" s="2">
        <v>0.0011111111111111111</v>
      </c>
      <c r="E85" s="12">
        <v>1.07</v>
      </c>
      <c r="F85" s="12">
        <v>3.52</v>
      </c>
      <c r="G85" s="11">
        <v>19342.0</v>
      </c>
      <c r="H85" s="11">
        <v>5499.0</v>
      </c>
    </row>
    <row r="86">
      <c r="A86" s="10">
        <v>42454.0</v>
      </c>
      <c r="B86" s="11">
        <v>4846.0</v>
      </c>
      <c r="C86" s="12">
        <v>0.4852</v>
      </c>
      <c r="D86" s="2">
        <v>0.0011805555555555556</v>
      </c>
      <c r="E86" s="12">
        <v>1.07</v>
      </c>
      <c r="F86" s="12">
        <v>4.3</v>
      </c>
      <c r="G86" s="11">
        <v>22272.0</v>
      </c>
      <c r="H86" s="11">
        <v>5179.0</v>
      </c>
    </row>
    <row r="87">
      <c r="A87" s="10">
        <v>42455.0</v>
      </c>
      <c r="B87" s="11">
        <v>4513.0</v>
      </c>
      <c r="C87" s="12">
        <v>0.5545</v>
      </c>
      <c r="D87" s="2">
        <v>9.953703703703704E-4</v>
      </c>
      <c r="E87" s="12">
        <v>1.04</v>
      </c>
      <c r="F87" s="12">
        <v>3.49</v>
      </c>
      <c r="G87" s="11">
        <v>16426.0</v>
      </c>
      <c r="H87" s="11">
        <v>4707.0</v>
      </c>
    </row>
    <row r="88">
      <c r="A88" s="10">
        <v>42456.0</v>
      </c>
      <c r="B88" s="11">
        <v>3971.0</v>
      </c>
      <c r="C88" s="12">
        <v>0.5166</v>
      </c>
      <c r="D88" s="2">
        <v>9.25925925925926E-4</v>
      </c>
      <c r="E88" s="12">
        <v>1.06</v>
      </c>
      <c r="F88" s="12">
        <v>3.14</v>
      </c>
      <c r="G88" s="11">
        <v>13163.0</v>
      </c>
      <c r="H88" s="11">
        <v>4193.0</v>
      </c>
    </row>
    <row r="89">
      <c r="A89" s="10">
        <v>42457.0</v>
      </c>
      <c r="B89" s="11">
        <v>4624.0</v>
      </c>
      <c r="C89" s="12">
        <v>0.4705</v>
      </c>
      <c r="D89" s="2">
        <v>0.0011805555555555556</v>
      </c>
      <c r="E89" s="12">
        <v>1.07</v>
      </c>
      <c r="F89" s="12">
        <v>4.12</v>
      </c>
      <c r="G89" s="11">
        <v>20287.0</v>
      </c>
      <c r="H89" s="11">
        <v>4929.0</v>
      </c>
    </row>
    <row r="90">
      <c r="A90" s="10">
        <v>42458.0</v>
      </c>
      <c r="B90" s="11">
        <v>4999.0</v>
      </c>
      <c r="C90" s="12">
        <v>0.4833</v>
      </c>
      <c r="D90" s="2">
        <v>0.0013773148148148147</v>
      </c>
      <c r="E90" s="12">
        <v>1.08</v>
      </c>
      <c r="F90" s="12">
        <v>4.34</v>
      </c>
      <c r="G90" s="11">
        <v>23327.0</v>
      </c>
      <c r="H90" s="11">
        <v>5374.0</v>
      </c>
    </row>
    <row r="91">
      <c r="A91" s="10">
        <v>42459.0</v>
      </c>
      <c r="B91" s="11">
        <v>4846.0</v>
      </c>
      <c r="C91" s="12">
        <v>0.3926</v>
      </c>
      <c r="D91" s="2">
        <v>0.0017939814814814815</v>
      </c>
      <c r="E91" s="12">
        <v>1.08</v>
      </c>
      <c r="F91" s="12">
        <v>5.47</v>
      </c>
      <c r="G91" s="11">
        <v>28646.0</v>
      </c>
      <c r="H91" s="11">
        <v>5235.0</v>
      </c>
    </row>
    <row r="92">
      <c r="A92" s="10">
        <v>42460.0</v>
      </c>
      <c r="B92" s="11">
        <v>4499.0</v>
      </c>
      <c r="C92" s="12">
        <v>0.4013</v>
      </c>
      <c r="D92" s="2">
        <v>0.001736111111111111</v>
      </c>
      <c r="E92" s="12">
        <v>1.03</v>
      </c>
      <c r="F92" s="12">
        <v>4.64</v>
      </c>
      <c r="G92" s="11">
        <v>21536.0</v>
      </c>
      <c r="H92" s="11">
        <v>4638.0</v>
      </c>
    </row>
    <row r="93">
      <c r="A93" s="10">
        <v>42461.0</v>
      </c>
      <c r="B93" s="11">
        <v>4082.0</v>
      </c>
      <c r="C93" s="12">
        <v>0.439</v>
      </c>
      <c r="D93" s="2">
        <v>0.0013310185185185185</v>
      </c>
      <c r="E93" s="12">
        <v>1.03</v>
      </c>
      <c r="F93" s="12">
        <v>4.67</v>
      </c>
      <c r="G93" s="11">
        <v>19634.0</v>
      </c>
      <c r="H93" s="11">
        <v>4207.0</v>
      </c>
    </row>
    <row r="94">
      <c r="A94" s="10">
        <v>42462.0</v>
      </c>
      <c r="B94" s="11">
        <v>3374.0</v>
      </c>
      <c r="C94" s="12">
        <v>0.4822</v>
      </c>
      <c r="D94" s="2">
        <v>0.001412037037037037</v>
      </c>
      <c r="E94" s="12">
        <v>1.04</v>
      </c>
      <c r="F94" s="12">
        <v>4.23</v>
      </c>
      <c r="G94" s="11">
        <v>14857.0</v>
      </c>
      <c r="H94" s="11">
        <v>3513.0</v>
      </c>
    </row>
    <row r="95">
      <c r="A95" s="10">
        <v>42463.0</v>
      </c>
      <c r="B95" s="11">
        <v>3235.0</v>
      </c>
      <c r="C95" s="12">
        <v>0.4309</v>
      </c>
      <c r="D95" s="2">
        <v>0.0013657407407407407</v>
      </c>
      <c r="E95" s="12">
        <v>1.06</v>
      </c>
      <c r="F95" s="12">
        <v>4.75</v>
      </c>
      <c r="G95" s="11">
        <v>16218.0</v>
      </c>
      <c r="H95" s="11">
        <v>3416.0</v>
      </c>
    </row>
    <row r="96">
      <c r="A96" s="10">
        <v>42464.0</v>
      </c>
      <c r="B96" s="11">
        <v>3985.0</v>
      </c>
      <c r="C96" s="12">
        <v>0.4618</v>
      </c>
      <c r="D96" s="2">
        <v>0.0015625</v>
      </c>
      <c r="E96" s="12">
        <v>1.05</v>
      </c>
      <c r="F96" s="12">
        <v>5.62</v>
      </c>
      <c r="G96" s="11">
        <v>23480.0</v>
      </c>
      <c r="H96" s="11">
        <v>4179.0</v>
      </c>
    </row>
    <row r="97">
      <c r="A97" s="10">
        <v>42465.0</v>
      </c>
      <c r="B97" s="11">
        <v>3832.0</v>
      </c>
      <c r="C97" s="12">
        <v>0.3675</v>
      </c>
      <c r="D97" s="2">
        <v>0.0016087962962962963</v>
      </c>
      <c r="E97" s="12">
        <v>1.07</v>
      </c>
      <c r="F97" s="12">
        <v>5.09</v>
      </c>
      <c r="G97" s="11">
        <v>20759.0</v>
      </c>
      <c r="H97" s="11">
        <v>4082.0</v>
      </c>
    </row>
    <row r="98">
      <c r="A98" s="10">
        <v>42466.0</v>
      </c>
      <c r="B98" s="11">
        <v>3680.0</v>
      </c>
      <c r="C98" s="12">
        <v>0.4219</v>
      </c>
      <c r="D98" s="2">
        <v>0.001400462962962963</v>
      </c>
      <c r="E98" s="12">
        <v>1.06</v>
      </c>
      <c r="F98" s="12">
        <v>4.45</v>
      </c>
      <c r="G98" s="11">
        <v>17412.0</v>
      </c>
      <c r="H98" s="11">
        <v>3916.0</v>
      </c>
    </row>
    <row r="99">
      <c r="A99" s="10">
        <v>42467.0</v>
      </c>
      <c r="B99" s="11">
        <v>3666.0</v>
      </c>
      <c r="C99" s="12">
        <v>0.4779</v>
      </c>
      <c r="D99" s="2">
        <v>0.0010416666666666667</v>
      </c>
      <c r="E99" s="12">
        <v>1.03</v>
      </c>
      <c r="F99" s="12">
        <v>4.32</v>
      </c>
      <c r="G99" s="11">
        <v>16329.0</v>
      </c>
      <c r="H99" s="11">
        <v>3777.0</v>
      </c>
    </row>
    <row r="100">
      <c r="A100" s="10">
        <v>42468.0</v>
      </c>
      <c r="B100" s="11">
        <v>3485.0</v>
      </c>
      <c r="C100" s="12">
        <v>0.4677</v>
      </c>
      <c r="D100" s="2">
        <v>0.001412037037037037</v>
      </c>
      <c r="E100" s="12">
        <v>1.05</v>
      </c>
      <c r="F100" s="12">
        <v>4.31</v>
      </c>
      <c r="G100" s="11">
        <v>15746.0</v>
      </c>
      <c r="H100" s="11">
        <v>3652.0</v>
      </c>
    </row>
    <row r="101">
      <c r="A101" s="10">
        <v>42469.0</v>
      </c>
      <c r="B101" s="11">
        <v>3235.0</v>
      </c>
      <c r="C101" s="12">
        <v>0.4334</v>
      </c>
      <c r="D101" s="2">
        <v>0.0010879629629629629</v>
      </c>
      <c r="E101" s="12">
        <v>1.03</v>
      </c>
      <c r="F101" s="12">
        <v>4.18</v>
      </c>
      <c r="G101" s="11">
        <v>13913.0</v>
      </c>
      <c r="H101" s="11">
        <v>3332.0</v>
      </c>
    </row>
    <row r="102">
      <c r="A102" s="10">
        <v>42470.0</v>
      </c>
      <c r="B102" s="11">
        <v>3777.0</v>
      </c>
      <c r="C102" s="12">
        <v>0.511</v>
      </c>
      <c r="D102" s="2">
        <v>0.0013425925925925925</v>
      </c>
      <c r="E102" s="12">
        <v>1.01</v>
      </c>
      <c r="F102" s="12">
        <v>5.76</v>
      </c>
      <c r="G102" s="11">
        <v>22078.0</v>
      </c>
      <c r="H102" s="11">
        <v>3832.0</v>
      </c>
    </row>
    <row r="103">
      <c r="A103" s="10">
        <v>42471.0</v>
      </c>
      <c r="B103" s="11">
        <v>3666.0</v>
      </c>
      <c r="C103" s="12">
        <v>0.4071</v>
      </c>
      <c r="D103" s="2">
        <v>0.0018402777777777777</v>
      </c>
      <c r="E103" s="12">
        <v>1.08</v>
      </c>
      <c r="F103" s="12">
        <v>4.97</v>
      </c>
      <c r="G103" s="11">
        <v>19662.0</v>
      </c>
      <c r="H103" s="11">
        <v>3957.0</v>
      </c>
    </row>
    <row r="104">
      <c r="A104" s="10">
        <v>42472.0</v>
      </c>
      <c r="B104" s="11">
        <v>3971.0</v>
      </c>
      <c r="C104" s="12">
        <v>0.4711</v>
      </c>
      <c r="D104" s="2">
        <v>0.0017476851851851852</v>
      </c>
      <c r="E104" s="12">
        <v>1.09</v>
      </c>
      <c r="F104" s="12">
        <v>4.63</v>
      </c>
      <c r="G104" s="11">
        <v>20050.0</v>
      </c>
      <c r="H104" s="11">
        <v>4332.0</v>
      </c>
    </row>
    <row r="105">
      <c r="A105" s="10">
        <v>42473.0</v>
      </c>
      <c r="B105" s="11">
        <v>3721.0</v>
      </c>
      <c r="C105" s="12">
        <v>0.429</v>
      </c>
      <c r="D105" s="2">
        <v>0.0018402777777777777</v>
      </c>
      <c r="E105" s="12">
        <v>1.05</v>
      </c>
      <c r="F105" s="12">
        <v>5.27</v>
      </c>
      <c r="G105" s="11">
        <v>20634.0</v>
      </c>
      <c r="H105" s="11">
        <v>3916.0</v>
      </c>
    </row>
    <row r="106">
      <c r="A106" s="10">
        <v>42474.0</v>
      </c>
      <c r="B106" s="11">
        <v>3444.0</v>
      </c>
      <c r="C106" s="12">
        <v>0.459</v>
      </c>
      <c r="D106" s="2">
        <v>0.0013194444444444445</v>
      </c>
      <c r="E106" s="12">
        <v>1.04</v>
      </c>
      <c r="F106" s="12">
        <v>4.87</v>
      </c>
      <c r="G106" s="11">
        <v>17384.0</v>
      </c>
      <c r="H106" s="11">
        <v>3569.0</v>
      </c>
    </row>
    <row r="107">
      <c r="A107" s="10">
        <v>42475.0</v>
      </c>
      <c r="B107" s="11">
        <v>3319.0</v>
      </c>
      <c r="C107" s="12">
        <v>0.4054</v>
      </c>
      <c r="D107" s="2">
        <v>0.001585648148148148</v>
      </c>
      <c r="E107" s="12">
        <v>1.06</v>
      </c>
      <c r="F107" s="12">
        <v>5.27</v>
      </c>
      <c r="G107" s="11">
        <v>18579.0</v>
      </c>
      <c r="H107" s="11">
        <v>3527.0</v>
      </c>
    </row>
    <row r="108">
      <c r="A108" s="10">
        <v>42476.0</v>
      </c>
      <c r="B108" s="11">
        <v>2749.0</v>
      </c>
      <c r="C108" s="12">
        <v>0.535</v>
      </c>
      <c r="D108" s="2">
        <v>0.0010300925925925926</v>
      </c>
      <c r="E108" s="12">
        <v>1.09</v>
      </c>
      <c r="F108" s="12">
        <v>3.56</v>
      </c>
      <c r="G108" s="11">
        <v>10636.0</v>
      </c>
      <c r="H108" s="11">
        <v>2985.0</v>
      </c>
    </row>
    <row r="109">
      <c r="A109" s="10">
        <v>42477.0</v>
      </c>
      <c r="B109" s="11">
        <v>2874.0</v>
      </c>
      <c r="C109" s="12">
        <v>0.481</v>
      </c>
      <c r="D109" s="2">
        <v>0.0011805555555555556</v>
      </c>
      <c r="E109" s="12">
        <v>1.02</v>
      </c>
      <c r="F109" s="12">
        <v>3.96</v>
      </c>
      <c r="G109" s="11">
        <v>11650.0</v>
      </c>
      <c r="H109" s="11">
        <v>2944.0</v>
      </c>
    </row>
    <row r="110">
      <c r="A110" s="10">
        <v>42478.0</v>
      </c>
      <c r="B110" s="11">
        <v>3860.0</v>
      </c>
      <c r="C110" s="12">
        <v>0.4019</v>
      </c>
      <c r="D110" s="2">
        <v>0.001238425925925926</v>
      </c>
      <c r="E110" s="12">
        <v>1.06</v>
      </c>
      <c r="F110" s="12">
        <v>3.86</v>
      </c>
      <c r="G110" s="11">
        <v>15885.0</v>
      </c>
      <c r="H110" s="11">
        <v>4110.0</v>
      </c>
    </row>
    <row r="111">
      <c r="A111" s="10">
        <v>42479.0</v>
      </c>
      <c r="B111" s="11">
        <v>5082.0</v>
      </c>
      <c r="C111" s="12">
        <v>0.4104</v>
      </c>
      <c r="D111" s="2">
        <v>0.0013657407407407407</v>
      </c>
      <c r="E111" s="12">
        <v>1.05</v>
      </c>
      <c r="F111" s="12">
        <v>4.47</v>
      </c>
      <c r="G111" s="11">
        <v>23897.0</v>
      </c>
      <c r="H111" s="11">
        <v>5346.0</v>
      </c>
    </row>
    <row r="112">
      <c r="A112" s="10">
        <v>42480.0</v>
      </c>
      <c r="B112" s="11">
        <v>4943.0</v>
      </c>
      <c r="C112" s="12">
        <v>0.4309</v>
      </c>
      <c r="D112" s="2">
        <v>0.0011689814814814816</v>
      </c>
      <c r="E112" s="12">
        <v>1.04</v>
      </c>
      <c r="F112" s="12">
        <v>4.87</v>
      </c>
      <c r="G112" s="11">
        <v>24938.0</v>
      </c>
      <c r="H112" s="11">
        <v>5124.0</v>
      </c>
    </row>
    <row r="113">
      <c r="A113" s="10">
        <v>42481.0</v>
      </c>
      <c r="B113" s="11">
        <v>4360.0</v>
      </c>
      <c r="C113" s="12">
        <v>0.4168</v>
      </c>
      <c r="D113" s="2">
        <v>0.0012847222222222223</v>
      </c>
      <c r="E113" s="12">
        <v>1.03</v>
      </c>
      <c r="F113" s="12">
        <v>4.07</v>
      </c>
      <c r="G113" s="11">
        <v>18329.0</v>
      </c>
      <c r="H113" s="11">
        <v>4499.0</v>
      </c>
    </row>
    <row r="114">
      <c r="A114" s="10">
        <v>42482.0</v>
      </c>
      <c r="B114" s="11">
        <v>4360.0</v>
      </c>
      <c r="C114" s="12">
        <v>0.4149</v>
      </c>
      <c r="D114" s="2">
        <v>0.0015162037037037036</v>
      </c>
      <c r="E114" s="12">
        <v>1.03</v>
      </c>
      <c r="F114" s="12">
        <v>4.62</v>
      </c>
      <c r="G114" s="11">
        <v>20703.0</v>
      </c>
      <c r="H114" s="11">
        <v>4485.0</v>
      </c>
    </row>
    <row r="115">
      <c r="A115" s="10">
        <v>42483.0</v>
      </c>
      <c r="B115" s="11">
        <v>3791.0</v>
      </c>
      <c r="C115" s="12">
        <v>0.4651</v>
      </c>
      <c r="D115" s="2">
        <v>0.0010416666666666667</v>
      </c>
      <c r="E115" s="12">
        <v>1.05</v>
      </c>
      <c r="F115" s="12">
        <v>3.36</v>
      </c>
      <c r="G115" s="11">
        <v>13358.0</v>
      </c>
      <c r="H115" s="11">
        <v>3971.0</v>
      </c>
    </row>
    <row r="116">
      <c r="A116" s="10">
        <v>42484.0</v>
      </c>
      <c r="B116" s="11">
        <v>3832.0</v>
      </c>
      <c r="C116" s="12">
        <v>0.4754</v>
      </c>
      <c r="D116" s="2">
        <v>0.0015972222222222223</v>
      </c>
      <c r="E116" s="12">
        <v>1.04</v>
      </c>
      <c r="F116" s="12">
        <v>4.58</v>
      </c>
      <c r="G116" s="11">
        <v>18204.0</v>
      </c>
      <c r="H116" s="11">
        <v>3971.0</v>
      </c>
    </row>
    <row r="117">
      <c r="A117" s="10">
        <v>42485.0</v>
      </c>
      <c r="B117" s="11">
        <v>4443.0</v>
      </c>
      <c r="C117" s="12">
        <v>0.4252</v>
      </c>
      <c r="D117" s="2">
        <v>0.001574074074074074</v>
      </c>
      <c r="E117" s="12">
        <v>1.04</v>
      </c>
      <c r="F117" s="12">
        <v>5.03</v>
      </c>
      <c r="G117" s="11">
        <v>23341.0</v>
      </c>
      <c r="H117" s="11">
        <v>4638.0</v>
      </c>
    </row>
    <row r="118">
      <c r="A118" s="10">
        <v>42486.0</v>
      </c>
      <c r="B118" s="11">
        <v>4027.0</v>
      </c>
      <c r="C118" s="12">
        <v>0.3901</v>
      </c>
      <c r="D118" s="2">
        <v>0.0015509259259259259</v>
      </c>
      <c r="E118" s="12">
        <v>1.05</v>
      </c>
      <c r="F118" s="12">
        <v>4.82</v>
      </c>
      <c r="G118" s="11">
        <v>20412.0</v>
      </c>
      <c r="H118" s="11">
        <v>4235.0</v>
      </c>
    </row>
    <row r="119">
      <c r="A119" s="10">
        <v>42487.0</v>
      </c>
      <c r="B119" s="11">
        <v>4055.0</v>
      </c>
      <c r="C119" s="12">
        <v>0.438</v>
      </c>
      <c r="D119" s="2">
        <v>0.001585648148148148</v>
      </c>
      <c r="E119" s="12">
        <v>1.05</v>
      </c>
      <c r="F119" s="12">
        <v>5.07</v>
      </c>
      <c r="G119" s="11">
        <v>21536.0</v>
      </c>
      <c r="H119" s="11">
        <v>4249.0</v>
      </c>
    </row>
    <row r="120">
      <c r="A120" s="10">
        <v>42488.0</v>
      </c>
      <c r="B120" s="11">
        <v>4110.0</v>
      </c>
      <c r="C120" s="12">
        <v>0.4696</v>
      </c>
      <c r="D120" s="2">
        <v>0.00125</v>
      </c>
      <c r="E120" s="12">
        <v>1.06</v>
      </c>
      <c r="F120" s="12">
        <v>4.09</v>
      </c>
      <c r="G120" s="11">
        <v>17773.0</v>
      </c>
      <c r="H120" s="11">
        <v>4346.0</v>
      </c>
    </row>
    <row r="121">
      <c r="A121" s="10">
        <v>42489.0</v>
      </c>
      <c r="B121" s="11">
        <v>3902.0</v>
      </c>
      <c r="C121" s="12">
        <v>0.4479</v>
      </c>
      <c r="D121" s="2">
        <v>0.0011921296296296296</v>
      </c>
      <c r="E121" s="12">
        <v>1.06</v>
      </c>
      <c r="F121" s="12">
        <v>4.01</v>
      </c>
      <c r="G121" s="11">
        <v>16537.0</v>
      </c>
      <c r="H121" s="11">
        <v>4124.0</v>
      </c>
    </row>
    <row r="122">
      <c r="A122" s="10">
        <v>42490.0</v>
      </c>
      <c r="B122" s="11">
        <v>3069.0</v>
      </c>
      <c r="C122" s="12">
        <v>0.4409</v>
      </c>
      <c r="D122" s="2">
        <v>0.0011921296296296296</v>
      </c>
      <c r="E122" s="12">
        <v>1.04</v>
      </c>
      <c r="F122" s="12">
        <v>4.11</v>
      </c>
      <c r="G122" s="11">
        <v>13080.0</v>
      </c>
      <c r="H122" s="11">
        <v>3180.0</v>
      </c>
    </row>
    <row r="123">
      <c r="A123" s="10">
        <v>42491.0</v>
      </c>
      <c r="B123" s="11">
        <v>3013.0</v>
      </c>
      <c r="C123" s="12">
        <v>0.4638</v>
      </c>
      <c r="D123" s="2">
        <v>0.0012731481481481483</v>
      </c>
      <c r="E123" s="12">
        <v>1.02</v>
      </c>
      <c r="F123" s="12">
        <v>4.11</v>
      </c>
      <c r="G123" s="11">
        <v>12663.0</v>
      </c>
      <c r="H123" s="11">
        <v>3083.0</v>
      </c>
    </row>
    <row r="124">
      <c r="A124" s="10">
        <v>42492.0</v>
      </c>
      <c r="B124" s="11">
        <v>3943.0</v>
      </c>
      <c r="C124" s="12">
        <v>0.3624</v>
      </c>
      <c r="D124" s="2">
        <v>0.0019444444444444444</v>
      </c>
      <c r="E124" s="12">
        <v>1.09</v>
      </c>
      <c r="F124" s="12">
        <v>5.89</v>
      </c>
      <c r="G124" s="11">
        <v>25285.0</v>
      </c>
      <c r="H124" s="11">
        <v>4291.0</v>
      </c>
    </row>
    <row r="125">
      <c r="A125" s="10">
        <v>42493.0</v>
      </c>
      <c r="B125" s="11">
        <v>4665.0</v>
      </c>
      <c r="C125" s="12">
        <v>0.4561</v>
      </c>
      <c r="D125" s="2">
        <v>0.0013425925925925925</v>
      </c>
      <c r="E125" s="12">
        <v>1.05</v>
      </c>
      <c r="F125" s="12">
        <v>4.54</v>
      </c>
      <c r="G125" s="11">
        <v>22272.0</v>
      </c>
      <c r="H125" s="11">
        <v>4902.0</v>
      </c>
    </row>
    <row r="126">
      <c r="A126" s="10">
        <v>42494.0</v>
      </c>
      <c r="B126" s="11">
        <v>4249.0</v>
      </c>
      <c r="C126" s="12">
        <v>0.4366</v>
      </c>
      <c r="D126" s="2">
        <v>0.0017939814814814815</v>
      </c>
      <c r="E126" s="12">
        <v>1.03</v>
      </c>
      <c r="F126" s="12">
        <v>4.52</v>
      </c>
      <c r="G126" s="11">
        <v>19828.0</v>
      </c>
      <c r="H126" s="11">
        <v>4388.0</v>
      </c>
    </row>
    <row r="127">
      <c r="A127" s="10">
        <v>42495.0</v>
      </c>
      <c r="B127" s="11">
        <v>3721.0</v>
      </c>
      <c r="C127" s="12">
        <v>0.418</v>
      </c>
      <c r="D127" s="2">
        <v>0.0017708333333333332</v>
      </c>
      <c r="E127" s="12">
        <v>1.04</v>
      </c>
      <c r="F127" s="12">
        <v>6.16</v>
      </c>
      <c r="G127" s="11">
        <v>23966.0</v>
      </c>
      <c r="H127" s="11">
        <v>3888.0</v>
      </c>
    </row>
    <row r="128">
      <c r="A128" s="10">
        <v>42496.0</v>
      </c>
      <c r="B128" s="11">
        <v>3263.0</v>
      </c>
      <c r="C128" s="12">
        <v>0.4681</v>
      </c>
      <c r="D128" s="2">
        <v>0.0010763888888888889</v>
      </c>
      <c r="E128" s="12">
        <v>1.07</v>
      </c>
      <c r="F128" s="12">
        <v>4.41</v>
      </c>
      <c r="G128" s="11">
        <v>15441.0</v>
      </c>
      <c r="H128" s="11">
        <v>3499.0</v>
      </c>
    </row>
    <row r="129">
      <c r="A129" s="10">
        <v>42497.0</v>
      </c>
      <c r="B129" s="11">
        <v>2763.0</v>
      </c>
      <c r="C129" s="12">
        <v>0.4675</v>
      </c>
      <c r="D129" s="2">
        <v>0.0013194444444444445</v>
      </c>
      <c r="E129" s="12">
        <v>1.08</v>
      </c>
      <c r="F129" s="12">
        <v>4.3</v>
      </c>
      <c r="G129" s="11">
        <v>12775.0</v>
      </c>
      <c r="H129" s="11">
        <v>2971.0</v>
      </c>
    </row>
    <row r="130">
      <c r="A130" s="10">
        <v>42498.0</v>
      </c>
      <c r="B130" s="11">
        <v>2791.0</v>
      </c>
      <c r="C130" s="12">
        <v>0.4881</v>
      </c>
      <c r="D130" s="2">
        <v>0.0010069444444444444</v>
      </c>
      <c r="E130" s="12">
        <v>1.05</v>
      </c>
      <c r="F130" s="12">
        <v>3.43</v>
      </c>
      <c r="G130" s="11">
        <v>10053.0</v>
      </c>
      <c r="H130" s="11">
        <v>2930.0</v>
      </c>
    </row>
    <row r="131">
      <c r="A131" s="10">
        <v>42499.0</v>
      </c>
      <c r="B131" s="11">
        <v>3680.0</v>
      </c>
      <c r="C131" s="12">
        <v>0.4321</v>
      </c>
      <c r="D131" s="2">
        <v>0.0013541666666666667</v>
      </c>
      <c r="E131" s="12">
        <v>1.06</v>
      </c>
      <c r="F131" s="12">
        <v>4.86</v>
      </c>
      <c r="G131" s="11">
        <v>18884.0</v>
      </c>
      <c r="H131" s="11">
        <v>3888.0</v>
      </c>
    </row>
    <row r="132">
      <c r="A132" s="10">
        <v>42500.0</v>
      </c>
      <c r="B132" s="11">
        <v>3763.0</v>
      </c>
      <c r="C132" s="12">
        <v>0.3958</v>
      </c>
      <c r="D132" s="2">
        <v>0.0014930555555555556</v>
      </c>
      <c r="E132" s="12">
        <v>1.06</v>
      </c>
      <c r="F132" s="12">
        <v>5.27</v>
      </c>
      <c r="G132" s="11">
        <v>21064.0</v>
      </c>
      <c r="H132" s="11">
        <v>3999.0</v>
      </c>
    </row>
    <row r="133">
      <c r="A133" s="10">
        <v>42501.0</v>
      </c>
      <c r="B133" s="11">
        <v>3916.0</v>
      </c>
      <c r="C133" s="12">
        <v>0.4304</v>
      </c>
      <c r="D133" s="2">
        <v>0.0016319444444444445</v>
      </c>
      <c r="E133" s="12">
        <v>1.05</v>
      </c>
      <c r="F133" s="12">
        <v>4.75</v>
      </c>
      <c r="G133" s="11">
        <v>19453.0</v>
      </c>
      <c r="H133" s="11">
        <v>4096.0</v>
      </c>
    </row>
    <row r="134">
      <c r="A134" s="10">
        <v>42502.0</v>
      </c>
      <c r="B134" s="11">
        <v>3735.0</v>
      </c>
      <c r="C134" s="12">
        <v>0.429</v>
      </c>
      <c r="D134" s="2">
        <v>0.0019328703703703704</v>
      </c>
      <c r="E134" s="12">
        <v>1.1</v>
      </c>
      <c r="F134" s="12">
        <v>7.08</v>
      </c>
      <c r="G134" s="11">
        <v>29104.0</v>
      </c>
      <c r="H134" s="11">
        <v>4110.0</v>
      </c>
    </row>
    <row r="135">
      <c r="A135" s="10">
        <v>42503.0</v>
      </c>
      <c r="B135" s="11">
        <v>4055.0</v>
      </c>
      <c r="C135" s="12">
        <v>0.4333</v>
      </c>
      <c r="D135" s="2">
        <v>0.0015972222222222223</v>
      </c>
      <c r="E135" s="12">
        <v>1.05</v>
      </c>
      <c r="F135" s="12">
        <v>4.21</v>
      </c>
      <c r="G135" s="11">
        <v>17940.0</v>
      </c>
      <c r="H135" s="11">
        <v>4263.0</v>
      </c>
    </row>
    <row r="136">
      <c r="A136" s="10">
        <v>42504.0</v>
      </c>
      <c r="B136" s="11">
        <v>3041.0</v>
      </c>
      <c r="C136" s="12">
        <v>0.4581</v>
      </c>
      <c r="D136" s="2">
        <v>0.0015393518518518519</v>
      </c>
      <c r="E136" s="12">
        <v>1.04</v>
      </c>
      <c r="F136" s="12">
        <v>3.9</v>
      </c>
      <c r="G136" s="11">
        <v>12289.0</v>
      </c>
      <c r="H136" s="11">
        <v>3152.0</v>
      </c>
    </row>
    <row r="137">
      <c r="A137" s="10">
        <v>42505.0</v>
      </c>
      <c r="B137" s="11">
        <v>2985.0</v>
      </c>
      <c r="C137" s="12">
        <v>0.448</v>
      </c>
      <c r="D137" s="2">
        <v>0.0016782407407407408</v>
      </c>
      <c r="E137" s="12">
        <v>1.03</v>
      </c>
      <c r="F137" s="12">
        <v>4.25</v>
      </c>
      <c r="G137" s="11">
        <v>13052.0</v>
      </c>
      <c r="H137" s="11">
        <v>3069.0</v>
      </c>
    </row>
    <row r="138">
      <c r="A138" s="10">
        <v>42506.0</v>
      </c>
      <c r="B138" s="11">
        <v>5304.0</v>
      </c>
      <c r="C138" s="12">
        <v>0.3926</v>
      </c>
      <c r="D138" s="2">
        <v>0.001979166666666667</v>
      </c>
      <c r="E138" s="12">
        <v>1.06</v>
      </c>
      <c r="F138" s="12">
        <v>5.21</v>
      </c>
      <c r="G138" s="11">
        <v>29326.0</v>
      </c>
      <c r="H138" s="11">
        <v>5624.0</v>
      </c>
    </row>
    <row r="139">
      <c r="A139" s="10">
        <v>42507.0</v>
      </c>
      <c r="B139" s="11">
        <v>3930.0</v>
      </c>
      <c r="C139" s="12">
        <v>0.4869</v>
      </c>
      <c r="D139" s="2">
        <v>0.0012268518518518518</v>
      </c>
      <c r="E139" s="12">
        <v>1.07</v>
      </c>
      <c r="F139" s="12">
        <v>4.72</v>
      </c>
      <c r="G139" s="11">
        <v>19939.0</v>
      </c>
      <c r="H139" s="11">
        <v>4221.0</v>
      </c>
    </row>
    <row r="140">
      <c r="A140" s="10">
        <v>42508.0</v>
      </c>
      <c r="B140" s="11">
        <v>3735.0</v>
      </c>
      <c r="C140" s="12">
        <v>0.4022</v>
      </c>
      <c r="D140" s="2">
        <v>0.0015972222222222223</v>
      </c>
      <c r="E140" s="12">
        <v>1.06</v>
      </c>
      <c r="F140" s="12">
        <v>4.88</v>
      </c>
      <c r="G140" s="11">
        <v>19384.0</v>
      </c>
      <c r="H140" s="11">
        <v>3971.0</v>
      </c>
    </row>
    <row r="141">
      <c r="A141" s="10">
        <v>42509.0</v>
      </c>
      <c r="B141" s="11">
        <v>3805.0</v>
      </c>
      <c r="C141" s="12">
        <v>0.4758</v>
      </c>
      <c r="D141" s="2">
        <v>0.0010763888888888889</v>
      </c>
      <c r="E141" s="12">
        <v>1.06</v>
      </c>
      <c r="F141" s="12">
        <v>4.76</v>
      </c>
      <c r="G141" s="11">
        <v>19162.0</v>
      </c>
      <c r="H141" s="11">
        <v>4027.0</v>
      </c>
    </row>
    <row r="142">
      <c r="A142" s="10">
        <v>42510.0</v>
      </c>
      <c r="B142" s="11">
        <v>3624.0</v>
      </c>
      <c r="C142" s="12">
        <v>0.4514</v>
      </c>
      <c r="D142" s="2">
        <v>0.0016319444444444445</v>
      </c>
      <c r="E142" s="12">
        <v>1.06</v>
      </c>
      <c r="F142" s="12">
        <v>5.4</v>
      </c>
      <c r="G142" s="11">
        <v>20759.0</v>
      </c>
      <c r="H142" s="11">
        <v>3846.0</v>
      </c>
    </row>
    <row r="143">
      <c r="A143" s="10">
        <v>42511.0</v>
      </c>
      <c r="B143" s="11">
        <v>2888.0</v>
      </c>
      <c r="C143" s="12">
        <v>0.4351</v>
      </c>
      <c r="D143" s="2">
        <v>0.0012152777777777778</v>
      </c>
      <c r="E143" s="12">
        <v>1.04</v>
      </c>
      <c r="F143" s="12">
        <v>5.12</v>
      </c>
      <c r="G143" s="11">
        <v>15343.0</v>
      </c>
      <c r="H143" s="11">
        <v>2999.0</v>
      </c>
    </row>
    <row r="144">
      <c r="A144" s="10">
        <v>42512.0</v>
      </c>
      <c r="B144" s="11">
        <v>2888.0</v>
      </c>
      <c r="C144" s="12">
        <v>0.5207</v>
      </c>
      <c r="D144" s="2">
        <v>0.0012037037037037038</v>
      </c>
      <c r="E144" s="12">
        <v>1.04</v>
      </c>
      <c r="F144" s="12">
        <v>4.64</v>
      </c>
      <c r="G144" s="11">
        <v>13983.0</v>
      </c>
      <c r="H144" s="11">
        <v>3013.0</v>
      </c>
    </row>
    <row r="145">
      <c r="A145" s="10">
        <v>42513.0</v>
      </c>
      <c r="B145" s="11">
        <v>3721.0</v>
      </c>
      <c r="C145" s="12">
        <v>0.4662</v>
      </c>
      <c r="D145" s="2">
        <v>0.0015046296296296296</v>
      </c>
      <c r="E145" s="12">
        <v>1.05</v>
      </c>
      <c r="F145" s="12">
        <v>5.54</v>
      </c>
      <c r="G145" s="11">
        <v>21620.0</v>
      </c>
      <c r="H145" s="11">
        <v>3902.0</v>
      </c>
    </row>
    <row r="146">
      <c r="A146" s="10">
        <v>42514.0</v>
      </c>
      <c r="B146" s="11">
        <v>3680.0</v>
      </c>
      <c r="C146" s="12">
        <v>0.4501</v>
      </c>
      <c r="D146" s="2">
        <v>0.0012962962962962963</v>
      </c>
      <c r="E146" s="12">
        <v>1.06</v>
      </c>
      <c r="F146" s="12">
        <v>5.27</v>
      </c>
      <c r="G146" s="11">
        <v>20495.0</v>
      </c>
      <c r="H146" s="11">
        <v>3888.0</v>
      </c>
    </row>
    <row r="147">
      <c r="A147" s="10">
        <v>42515.0</v>
      </c>
      <c r="B147" s="11">
        <v>3513.0</v>
      </c>
      <c r="C147" s="12">
        <v>0.4281</v>
      </c>
      <c r="D147" s="2">
        <v>0.0019444444444444444</v>
      </c>
      <c r="E147" s="12">
        <v>1.07</v>
      </c>
      <c r="F147" s="12">
        <v>6.94</v>
      </c>
      <c r="G147" s="11">
        <v>26118.0</v>
      </c>
      <c r="H147" s="11">
        <v>3763.0</v>
      </c>
    </row>
    <row r="148">
      <c r="A148" s="10">
        <v>42516.0</v>
      </c>
      <c r="B148" s="11">
        <v>3291.0</v>
      </c>
      <c r="C148" s="12">
        <v>0.4803</v>
      </c>
      <c r="D148" s="2">
        <v>0.0011226851851851851</v>
      </c>
      <c r="E148" s="12">
        <v>1.07</v>
      </c>
      <c r="F148" s="12">
        <v>4.41</v>
      </c>
      <c r="G148" s="11">
        <v>15552.0</v>
      </c>
      <c r="H148" s="11">
        <v>3527.0</v>
      </c>
    </row>
    <row r="149">
      <c r="A149" s="10">
        <v>42517.0</v>
      </c>
      <c r="B149" s="11">
        <v>3069.0</v>
      </c>
      <c r="C149" s="12">
        <v>0.3974</v>
      </c>
      <c r="D149" s="2">
        <v>0.001736111111111111</v>
      </c>
      <c r="E149" s="12">
        <v>1.06</v>
      </c>
      <c r="F149" s="12">
        <v>6.15</v>
      </c>
      <c r="G149" s="11">
        <v>19981.0</v>
      </c>
      <c r="H149" s="11">
        <v>3249.0</v>
      </c>
    </row>
    <row r="150">
      <c r="A150" s="10">
        <v>42518.0</v>
      </c>
      <c r="B150" s="11">
        <v>2430.0</v>
      </c>
      <c r="C150" s="12">
        <v>0.4623</v>
      </c>
      <c r="D150" s="2">
        <v>0.0018287037037037037</v>
      </c>
      <c r="E150" s="12">
        <v>1.06</v>
      </c>
      <c r="F150" s="12">
        <v>4.66</v>
      </c>
      <c r="G150" s="11">
        <v>12025.0</v>
      </c>
      <c r="H150" s="11">
        <v>2583.0</v>
      </c>
    </row>
    <row r="151">
      <c r="A151" s="10">
        <v>42519.0</v>
      </c>
      <c r="B151" s="11">
        <v>2708.0</v>
      </c>
      <c r="C151" s="12">
        <v>0.5073</v>
      </c>
      <c r="D151" s="2">
        <v>8.217592592592593E-4</v>
      </c>
      <c r="E151" s="12">
        <v>1.03</v>
      </c>
      <c r="F151" s="12">
        <v>3.39</v>
      </c>
      <c r="G151" s="11">
        <v>9470.0</v>
      </c>
      <c r="H151" s="11">
        <v>2791.0</v>
      </c>
    </row>
    <row r="152">
      <c r="A152" s="10">
        <v>42520.0</v>
      </c>
      <c r="B152" s="11">
        <v>3013.0</v>
      </c>
      <c r="C152" s="12">
        <v>0.482</v>
      </c>
      <c r="D152" s="2">
        <v>0.0013657407407407407</v>
      </c>
      <c r="E152" s="12">
        <v>1.02</v>
      </c>
      <c r="F152" s="12">
        <v>4.73</v>
      </c>
      <c r="G152" s="11">
        <v>14594.0</v>
      </c>
      <c r="H152" s="11">
        <v>3083.0</v>
      </c>
    </row>
    <row r="153">
      <c r="A153" s="10">
        <v>42521.0</v>
      </c>
      <c r="B153" s="11">
        <v>3430.0</v>
      </c>
      <c r="C153" s="12">
        <v>0.4752</v>
      </c>
      <c r="D153" s="2">
        <v>9.953703703703704E-4</v>
      </c>
      <c r="E153" s="12">
        <v>1.06</v>
      </c>
      <c r="F153" s="12">
        <v>4.36</v>
      </c>
      <c r="G153" s="11">
        <v>15788.0</v>
      </c>
      <c r="H153" s="11">
        <v>3624.0</v>
      </c>
    </row>
    <row r="154">
      <c r="A154" s="10">
        <v>42522.0</v>
      </c>
      <c r="B154" s="11">
        <v>3360.0</v>
      </c>
      <c r="C154" s="12">
        <v>0.4693</v>
      </c>
      <c r="D154" s="2">
        <v>0.0012731481481481483</v>
      </c>
      <c r="E154" s="12">
        <v>1.07</v>
      </c>
      <c r="F154" s="12">
        <v>5.0</v>
      </c>
      <c r="G154" s="11">
        <v>18037.0</v>
      </c>
      <c r="H154" s="11">
        <v>3610.0</v>
      </c>
    </row>
    <row r="155">
      <c r="A155" s="10">
        <v>42523.0</v>
      </c>
      <c r="B155" s="11">
        <v>3277.0</v>
      </c>
      <c r="C155" s="12">
        <v>0.383</v>
      </c>
      <c r="D155" s="2">
        <v>0.0016666666666666668</v>
      </c>
      <c r="E155" s="12">
        <v>1.05</v>
      </c>
      <c r="F155" s="12">
        <v>6.35</v>
      </c>
      <c r="G155" s="11">
        <v>21869.0</v>
      </c>
      <c r="H155" s="11">
        <v>3444.0</v>
      </c>
    </row>
    <row r="156">
      <c r="A156" s="10">
        <v>42524.0</v>
      </c>
      <c r="B156" s="11">
        <v>3235.0</v>
      </c>
      <c r="C156" s="12">
        <v>0.447</v>
      </c>
      <c r="D156" s="2">
        <v>0.001238425925925926</v>
      </c>
      <c r="E156" s="12">
        <v>1.09</v>
      </c>
      <c r="F156" s="12">
        <v>4.67</v>
      </c>
      <c r="G156" s="11">
        <v>16551.0</v>
      </c>
      <c r="H156" s="11">
        <v>3541.0</v>
      </c>
    </row>
    <row r="157">
      <c r="A157" s="10">
        <v>42525.0</v>
      </c>
      <c r="B157" s="11">
        <v>2999.0</v>
      </c>
      <c r="C157" s="12">
        <v>0.4912</v>
      </c>
      <c r="D157" s="2">
        <v>0.0010185185185185184</v>
      </c>
      <c r="E157" s="12">
        <v>1.07</v>
      </c>
      <c r="F157" s="12">
        <v>4.29</v>
      </c>
      <c r="G157" s="11">
        <v>13691.0</v>
      </c>
      <c r="H157" s="11">
        <v>3194.0</v>
      </c>
    </row>
    <row r="158">
      <c r="A158" s="10">
        <v>42526.0</v>
      </c>
      <c r="B158" s="11">
        <v>2833.0</v>
      </c>
      <c r="C158" s="12">
        <v>0.4785</v>
      </c>
      <c r="D158" s="2">
        <v>0.0012268518518518518</v>
      </c>
      <c r="E158" s="12">
        <v>1.03</v>
      </c>
      <c r="F158" s="12">
        <v>5.37</v>
      </c>
      <c r="G158" s="11">
        <v>15746.0</v>
      </c>
      <c r="H158" s="11">
        <v>2930.0</v>
      </c>
    </row>
    <row r="159">
      <c r="A159" s="10">
        <v>42527.0</v>
      </c>
      <c r="B159" s="11">
        <v>3388.0</v>
      </c>
      <c r="C159" s="12">
        <v>0.4803</v>
      </c>
      <c r="D159" s="2">
        <v>9.837962962962962E-4</v>
      </c>
      <c r="E159" s="12">
        <v>1.04</v>
      </c>
      <c r="F159" s="12">
        <v>4.52</v>
      </c>
      <c r="G159" s="11">
        <v>15954.0</v>
      </c>
      <c r="H159" s="11">
        <v>3527.0</v>
      </c>
    </row>
    <row r="160">
      <c r="A160" s="10">
        <v>42528.0</v>
      </c>
      <c r="B160" s="11">
        <v>3485.0</v>
      </c>
      <c r="C160" s="12">
        <v>0.3901</v>
      </c>
      <c r="D160" s="2">
        <v>0.0013310185185185185</v>
      </c>
      <c r="E160" s="12">
        <v>1.05</v>
      </c>
      <c r="F160" s="12">
        <v>5.51</v>
      </c>
      <c r="G160" s="11">
        <v>20203.0</v>
      </c>
      <c r="H160" s="11">
        <v>3666.0</v>
      </c>
    </row>
    <row r="161">
      <c r="A161" s="10">
        <v>42529.0</v>
      </c>
      <c r="B161" s="11">
        <v>3457.0</v>
      </c>
      <c r="C161" s="12">
        <v>0.4213</v>
      </c>
      <c r="D161" s="2">
        <v>0.0012847222222222223</v>
      </c>
      <c r="E161" s="12">
        <v>1.12</v>
      </c>
      <c r="F161" s="12">
        <v>4.86</v>
      </c>
      <c r="G161" s="11">
        <v>18912.0</v>
      </c>
      <c r="H161" s="11">
        <v>3888.0</v>
      </c>
    </row>
    <row r="162">
      <c r="A162" s="10">
        <v>42530.0</v>
      </c>
      <c r="B162" s="11">
        <v>3569.0</v>
      </c>
      <c r="C162" s="12">
        <v>0.4021</v>
      </c>
      <c r="D162" s="2">
        <v>0.0015972222222222223</v>
      </c>
      <c r="E162" s="12">
        <v>1.07</v>
      </c>
      <c r="F162" s="12">
        <v>5.57</v>
      </c>
      <c r="G162" s="11">
        <v>21328.0</v>
      </c>
      <c r="H162" s="11">
        <v>3832.0</v>
      </c>
    </row>
    <row r="163">
      <c r="A163" s="10">
        <v>42531.0</v>
      </c>
      <c r="B163" s="11">
        <v>3319.0</v>
      </c>
      <c r="C163" s="12">
        <v>0.4218</v>
      </c>
      <c r="D163" s="2">
        <v>0.0015393518518518519</v>
      </c>
      <c r="E163" s="12">
        <v>1.04</v>
      </c>
      <c r="F163" s="12">
        <v>5.08</v>
      </c>
      <c r="G163" s="11">
        <v>17551.0</v>
      </c>
      <c r="H163" s="11">
        <v>3457.0</v>
      </c>
    </row>
    <row r="164">
      <c r="A164" s="10">
        <v>42532.0</v>
      </c>
      <c r="B164" s="11">
        <v>2555.0</v>
      </c>
      <c r="C164" s="12">
        <v>0.4148</v>
      </c>
      <c r="D164" s="2">
        <v>0.0011458333333333333</v>
      </c>
      <c r="E164" s="12">
        <v>1.09</v>
      </c>
      <c r="F164" s="12">
        <v>4.48</v>
      </c>
      <c r="G164" s="11">
        <v>12441.0</v>
      </c>
      <c r="H164" s="11">
        <v>2777.0</v>
      </c>
    </row>
    <row r="165">
      <c r="A165" s="10">
        <v>42533.0</v>
      </c>
      <c r="B165" s="11">
        <v>2624.0</v>
      </c>
      <c r="C165" s="12">
        <v>0.4826</v>
      </c>
      <c r="D165" s="2">
        <v>0.0012037037037037038</v>
      </c>
      <c r="E165" s="12">
        <v>1.06</v>
      </c>
      <c r="F165" s="12">
        <v>4.48</v>
      </c>
      <c r="G165" s="11">
        <v>12511.0</v>
      </c>
      <c r="H165" s="11">
        <v>2791.0</v>
      </c>
    </row>
    <row r="166">
      <c r="A166" s="10">
        <v>42534.0</v>
      </c>
      <c r="B166" s="11">
        <v>3416.0</v>
      </c>
      <c r="C166" s="12">
        <v>0.4544</v>
      </c>
      <c r="D166" s="2">
        <v>0.00125</v>
      </c>
      <c r="E166" s="12">
        <v>1.07</v>
      </c>
      <c r="F166" s="12">
        <v>5.18</v>
      </c>
      <c r="G166" s="11">
        <v>18981.0</v>
      </c>
      <c r="H166" s="11">
        <v>3666.0</v>
      </c>
    </row>
    <row r="167">
      <c r="A167" s="10">
        <v>42535.0</v>
      </c>
      <c r="B167" s="11">
        <v>3332.0</v>
      </c>
      <c r="C167" s="12">
        <v>0.4786</v>
      </c>
      <c r="D167" s="2">
        <v>0.001585648148148148</v>
      </c>
      <c r="E167" s="12">
        <v>1.07</v>
      </c>
      <c r="F167" s="12">
        <v>5.36</v>
      </c>
      <c r="G167" s="11">
        <v>19134.0</v>
      </c>
      <c r="H167" s="11">
        <v>3569.0</v>
      </c>
    </row>
    <row r="168">
      <c r="A168" s="10">
        <v>42536.0</v>
      </c>
      <c r="B168" s="11">
        <v>3402.0</v>
      </c>
      <c r="C168" s="12">
        <v>0.4463</v>
      </c>
      <c r="D168" s="2">
        <v>0.0013194444444444445</v>
      </c>
      <c r="E168" s="12">
        <v>1.06</v>
      </c>
      <c r="F168" s="12">
        <v>5.53</v>
      </c>
      <c r="G168" s="11">
        <v>19967.0</v>
      </c>
      <c r="H168" s="11">
        <v>3610.0</v>
      </c>
    </row>
    <row r="169">
      <c r="A169" s="10">
        <v>42537.0</v>
      </c>
      <c r="B169" s="11">
        <v>2999.0</v>
      </c>
      <c r="C169" s="12">
        <v>0.4136</v>
      </c>
      <c r="D169" s="2">
        <v>0.0014814814814814814</v>
      </c>
      <c r="E169" s="12">
        <v>1.1</v>
      </c>
      <c r="F169" s="12">
        <v>4.89</v>
      </c>
      <c r="G169" s="11">
        <v>16107.0</v>
      </c>
      <c r="H169" s="11">
        <v>3291.0</v>
      </c>
    </row>
    <row r="170">
      <c r="A170" s="10">
        <v>42538.0</v>
      </c>
      <c r="B170" s="11">
        <v>3013.0</v>
      </c>
      <c r="C170" s="12">
        <v>0.4594</v>
      </c>
      <c r="D170" s="2">
        <v>0.0014583333333333334</v>
      </c>
      <c r="E170" s="12">
        <v>1.07</v>
      </c>
      <c r="F170" s="12">
        <v>6.44</v>
      </c>
      <c r="G170" s="11">
        <v>20842.0</v>
      </c>
      <c r="H170" s="11">
        <v>3235.0</v>
      </c>
    </row>
    <row r="171">
      <c r="A171" s="10">
        <v>42539.0</v>
      </c>
      <c r="B171" s="11">
        <v>2541.0</v>
      </c>
      <c r="C171" s="12">
        <v>0.5794</v>
      </c>
      <c r="D171" s="2">
        <v>9.606481481481482E-4</v>
      </c>
      <c r="E171" s="12">
        <v>1.07</v>
      </c>
      <c r="F171" s="12">
        <v>3.45</v>
      </c>
      <c r="G171" s="11">
        <v>9331.0</v>
      </c>
      <c r="H171" s="11">
        <v>2708.0</v>
      </c>
    </row>
    <row r="172">
      <c r="A172" s="10">
        <v>42540.0</v>
      </c>
      <c r="B172" s="11">
        <v>2402.0</v>
      </c>
      <c r="C172" s="12">
        <v>0.5252</v>
      </c>
      <c r="D172" s="2">
        <v>0.0013657407407407407</v>
      </c>
      <c r="E172" s="12">
        <v>1.03</v>
      </c>
      <c r="F172" s="12">
        <v>4.1</v>
      </c>
      <c r="G172" s="11">
        <v>10178.0</v>
      </c>
      <c r="H172" s="11">
        <v>2485.0</v>
      </c>
    </row>
    <row r="173">
      <c r="A173" s="10">
        <v>42541.0</v>
      </c>
      <c r="B173" s="11">
        <v>2999.0</v>
      </c>
      <c r="C173" s="12">
        <v>0.5106</v>
      </c>
      <c r="D173" s="2">
        <v>0.0017013888888888888</v>
      </c>
      <c r="E173" s="12">
        <v>1.07</v>
      </c>
      <c r="F173" s="12">
        <v>5.52</v>
      </c>
      <c r="G173" s="11">
        <v>17718.0</v>
      </c>
      <c r="H173" s="11">
        <v>3208.0</v>
      </c>
    </row>
    <row r="174">
      <c r="A174" s="10">
        <v>42542.0</v>
      </c>
      <c r="B174" s="11">
        <v>2985.0</v>
      </c>
      <c r="C174" s="12">
        <v>0.468</v>
      </c>
      <c r="D174" s="2">
        <v>0.0013078703703703703</v>
      </c>
      <c r="E174" s="12">
        <v>1.09</v>
      </c>
      <c r="F174" s="12">
        <v>5.72</v>
      </c>
      <c r="G174" s="11">
        <v>18662.0</v>
      </c>
      <c r="H174" s="11">
        <v>3263.0</v>
      </c>
    </row>
    <row r="175">
      <c r="A175" s="10">
        <v>42543.0</v>
      </c>
      <c r="B175" s="11">
        <v>3110.0</v>
      </c>
      <c r="C175" s="12">
        <v>0.4644</v>
      </c>
      <c r="D175" s="2">
        <v>0.0015046296296296296</v>
      </c>
      <c r="E175" s="12">
        <v>1.13</v>
      </c>
      <c r="F175" s="12">
        <v>6.04</v>
      </c>
      <c r="G175" s="11">
        <v>21286.0</v>
      </c>
      <c r="H175" s="11">
        <v>3527.0</v>
      </c>
    </row>
    <row r="176">
      <c r="A176" s="10">
        <v>42544.0</v>
      </c>
      <c r="B176" s="11">
        <v>2930.0</v>
      </c>
      <c r="C176" s="12">
        <v>0.4622</v>
      </c>
      <c r="D176" s="2">
        <v>0.0011342592592592593</v>
      </c>
      <c r="E176" s="12">
        <v>1.07</v>
      </c>
      <c r="F176" s="12">
        <v>4.42</v>
      </c>
      <c r="G176" s="11">
        <v>13802.0</v>
      </c>
      <c r="H176" s="11">
        <v>3124.0</v>
      </c>
    </row>
    <row r="177">
      <c r="A177" s="10">
        <v>42545.0</v>
      </c>
      <c r="B177" s="11">
        <v>2499.0</v>
      </c>
      <c r="C177" s="12">
        <v>0.48</v>
      </c>
      <c r="D177" s="2">
        <v>0.001261574074074074</v>
      </c>
      <c r="E177" s="12">
        <v>1.11</v>
      </c>
      <c r="F177" s="12">
        <v>5.48</v>
      </c>
      <c r="G177" s="11">
        <v>15218.0</v>
      </c>
      <c r="H177" s="11">
        <v>2777.0</v>
      </c>
    </row>
    <row r="178">
      <c r="A178" s="10">
        <v>42546.0</v>
      </c>
      <c r="B178" s="11">
        <v>2138.0</v>
      </c>
      <c r="C178" s="12">
        <v>0.5936</v>
      </c>
      <c r="D178" s="2">
        <v>0.0010185185185185184</v>
      </c>
      <c r="E178" s="12">
        <v>1.04</v>
      </c>
      <c r="F178" s="12">
        <v>3.96</v>
      </c>
      <c r="G178" s="11">
        <v>8803.0</v>
      </c>
      <c r="H178" s="11">
        <v>2222.0</v>
      </c>
    </row>
    <row r="179">
      <c r="A179" s="10">
        <v>42547.0</v>
      </c>
      <c r="B179" s="11">
        <v>2180.0</v>
      </c>
      <c r="C179" s="12">
        <v>0.5517</v>
      </c>
      <c r="D179" s="2">
        <v>9.027777777777777E-4</v>
      </c>
      <c r="E179" s="12">
        <v>1.05</v>
      </c>
      <c r="F179" s="12">
        <v>4.52</v>
      </c>
      <c r="G179" s="11">
        <v>10358.0</v>
      </c>
      <c r="H179" s="11">
        <v>2291.0</v>
      </c>
    </row>
    <row r="180">
      <c r="A180" s="10">
        <v>42548.0</v>
      </c>
      <c r="B180" s="11">
        <v>3055.0</v>
      </c>
      <c r="C180" s="12">
        <v>0.4937</v>
      </c>
      <c r="D180" s="2">
        <v>0.0015046296296296296</v>
      </c>
      <c r="E180" s="12">
        <v>1.06</v>
      </c>
      <c r="F180" s="12">
        <v>6.27</v>
      </c>
      <c r="G180" s="11">
        <v>20273.0</v>
      </c>
      <c r="H180" s="11">
        <v>3235.0</v>
      </c>
    </row>
    <row r="181">
      <c r="A181" s="10">
        <v>42549.0</v>
      </c>
      <c r="B181" s="11">
        <v>2569.0</v>
      </c>
      <c r="C181" s="12">
        <v>0.4519</v>
      </c>
      <c r="D181" s="2">
        <v>0.001388888888888889</v>
      </c>
      <c r="E181" s="12">
        <v>1.06</v>
      </c>
      <c r="F181" s="12">
        <v>4.91</v>
      </c>
      <c r="G181" s="11">
        <v>13427.0</v>
      </c>
      <c r="H181" s="11">
        <v>2735.0</v>
      </c>
    </row>
    <row r="182">
      <c r="A182" s="10">
        <v>42550.0</v>
      </c>
      <c r="B182" s="11">
        <v>1069.0</v>
      </c>
      <c r="C182" s="12">
        <v>0.0</v>
      </c>
      <c r="D182" s="2">
        <v>0.002789351851851852</v>
      </c>
      <c r="E182" s="12">
        <v>0.7</v>
      </c>
      <c r="F182" s="12">
        <v>0.43</v>
      </c>
      <c r="G182" s="11">
        <v>319.0</v>
      </c>
      <c r="H182" s="11">
        <v>750.0</v>
      </c>
    </row>
    <row r="183">
      <c r="A183" s="10">
        <v>42551.0</v>
      </c>
      <c r="B183" s="11">
        <v>1514.0</v>
      </c>
      <c r="C183" s="12">
        <v>0.2451</v>
      </c>
      <c r="D183" s="2">
        <v>0.001412037037037037</v>
      </c>
      <c r="E183" s="12">
        <v>0.94</v>
      </c>
      <c r="F183" s="12">
        <v>3.87</v>
      </c>
      <c r="G183" s="11">
        <v>5485.0</v>
      </c>
      <c r="H183" s="11">
        <v>1416.0</v>
      </c>
    </row>
    <row r="184">
      <c r="A184" s="10">
        <v>42552.0</v>
      </c>
      <c r="B184" s="11">
        <v>2249.0</v>
      </c>
      <c r="C184" s="12">
        <v>0.4706</v>
      </c>
      <c r="D184" s="2">
        <v>0.0015393518518518519</v>
      </c>
      <c r="E184" s="12">
        <v>1.05</v>
      </c>
      <c r="F184" s="12">
        <v>4.72</v>
      </c>
      <c r="G184" s="11">
        <v>11136.0</v>
      </c>
      <c r="H184" s="11">
        <v>2361.0</v>
      </c>
    </row>
    <row r="185">
      <c r="A185" s="10">
        <v>42553.0</v>
      </c>
      <c r="B185" s="11">
        <v>597.0</v>
      </c>
      <c r="C185" s="12">
        <v>0.3471</v>
      </c>
      <c r="D185" s="2">
        <v>0.0014930555555555556</v>
      </c>
      <c r="E185" s="12">
        <v>1.14</v>
      </c>
      <c r="F185" s="12">
        <v>3.78</v>
      </c>
      <c r="G185" s="11">
        <v>2569.0</v>
      </c>
      <c r="H185" s="11">
        <v>680.0</v>
      </c>
    </row>
    <row r="186">
      <c r="A186" s="10">
        <v>42554.0</v>
      </c>
      <c r="B186" s="11">
        <v>1361.0</v>
      </c>
      <c r="C186" s="12">
        <v>0.4568</v>
      </c>
      <c r="D186" s="2">
        <v>0.0015277777777777779</v>
      </c>
      <c r="E186" s="12">
        <v>1.07</v>
      </c>
      <c r="F186" s="12">
        <v>3.69</v>
      </c>
      <c r="G186" s="11">
        <v>5374.0</v>
      </c>
      <c r="H186" s="11">
        <v>1458.0</v>
      </c>
    </row>
    <row r="187">
      <c r="A187" s="10">
        <v>42555.0</v>
      </c>
      <c r="B187" s="11">
        <v>1333.0</v>
      </c>
      <c r="C187" s="12">
        <v>0.3829</v>
      </c>
      <c r="D187" s="2">
        <v>0.0017476851851851852</v>
      </c>
      <c r="E187" s="12">
        <v>1.11</v>
      </c>
      <c r="F187" s="12">
        <v>3.53</v>
      </c>
      <c r="G187" s="11">
        <v>5249.0</v>
      </c>
      <c r="H187" s="11">
        <v>1486.0</v>
      </c>
    </row>
    <row r="188">
      <c r="A188" s="10">
        <v>42556.0</v>
      </c>
      <c r="B188" s="11">
        <v>1583.0</v>
      </c>
      <c r="C188" s="12">
        <v>0.0323</v>
      </c>
      <c r="D188" s="2">
        <v>0.0016782407407407408</v>
      </c>
      <c r="E188" s="12">
        <v>1.1</v>
      </c>
      <c r="F188" s="12">
        <v>6.81</v>
      </c>
      <c r="G188" s="11">
        <v>11816.0</v>
      </c>
      <c r="H188" s="11">
        <v>1736.0</v>
      </c>
    </row>
    <row r="189">
      <c r="A189" s="10">
        <v>42557.0</v>
      </c>
      <c r="B189" s="11">
        <v>1805.0</v>
      </c>
      <c r="C189" s="12">
        <v>0.0134</v>
      </c>
      <c r="D189" s="2">
        <v>0.0018981481481481482</v>
      </c>
      <c r="E189" s="12">
        <v>1.15</v>
      </c>
      <c r="F189" s="12">
        <v>9.03</v>
      </c>
      <c r="G189" s="11">
        <v>18801.0</v>
      </c>
      <c r="H189" s="11">
        <v>2083.0</v>
      </c>
    </row>
    <row r="190">
      <c r="A190" s="10">
        <v>42558.0</v>
      </c>
      <c r="B190" s="11">
        <v>1708.0</v>
      </c>
      <c r="C190" s="12">
        <v>0.2241</v>
      </c>
      <c r="D190" s="2">
        <v>0.0014351851851851852</v>
      </c>
      <c r="E190" s="12">
        <v>1.09</v>
      </c>
      <c r="F190" s="12">
        <v>6.61</v>
      </c>
      <c r="G190" s="11">
        <v>12302.0</v>
      </c>
      <c r="H190" s="11">
        <v>1861.0</v>
      </c>
    </row>
    <row r="191">
      <c r="A191" s="10">
        <v>42559.0</v>
      </c>
      <c r="B191" s="11">
        <v>1500.0</v>
      </c>
      <c r="C191" s="12">
        <v>0.3771</v>
      </c>
      <c r="D191" s="2">
        <v>0.0016435185185185185</v>
      </c>
      <c r="E191" s="12">
        <v>1.06</v>
      </c>
      <c r="F191" s="12">
        <v>4.02</v>
      </c>
      <c r="G191" s="11">
        <v>6360.0</v>
      </c>
      <c r="H191" s="11">
        <v>1583.0</v>
      </c>
    </row>
    <row r="192">
      <c r="A192" s="10">
        <v>42560.0</v>
      </c>
      <c r="B192" s="11">
        <v>847.0</v>
      </c>
      <c r="C192" s="12">
        <v>0.3528</v>
      </c>
      <c r="D192" s="2">
        <v>0.0019560185185185184</v>
      </c>
      <c r="E192" s="12">
        <v>1.11</v>
      </c>
      <c r="F192" s="12">
        <v>5.21</v>
      </c>
      <c r="G192" s="11">
        <v>4915.0</v>
      </c>
      <c r="H192" s="11">
        <v>944.0</v>
      </c>
    </row>
    <row r="193">
      <c r="A193" s="10">
        <v>42561.0</v>
      </c>
      <c r="B193" s="11">
        <v>1250.0</v>
      </c>
      <c r="C193" s="12">
        <v>0.4198</v>
      </c>
      <c r="D193" s="2">
        <v>0.0017824074074074075</v>
      </c>
      <c r="E193" s="12">
        <v>1.03</v>
      </c>
      <c r="F193" s="12">
        <v>3.85</v>
      </c>
      <c r="G193" s="11">
        <v>4971.0</v>
      </c>
      <c r="H193" s="11">
        <v>1291.0</v>
      </c>
    </row>
    <row r="194">
      <c r="A194" s="10">
        <v>42562.0</v>
      </c>
      <c r="B194" s="11">
        <v>1680.0</v>
      </c>
      <c r="C194" s="12">
        <v>0.375</v>
      </c>
      <c r="D194" s="2">
        <v>0.0015393518518518519</v>
      </c>
      <c r="E194" s="12">
        <v>1.12</v>
      </c>
      <c r="F194" s="12">
        <v>4.29</v>
      </c>
      <c r="G194" s="11">
        <v>8095.0</v>
      </c>
      <c r="H194" s="11">
        <v>1888.0</v>
      </c>
    </row>
    <row r="195">
      <c r="A195" s="10">
        <v>42563.0</v>
      </c>
      <c r="B195" s="11">
        <v>1694.0</v>
      </c>
      <c r="C195" s="12">
        <v>0.3757</v>
      </c>
      <c r="D195" s="2">
        <v>0.0023148148148148147</v>
      </c>
      <c r="E195" s="12">
        <v>1.09</v>
      </c>
      <c r="F195" s="12">
        <v>4.76</v>
      </c>
      <c r="G195" s="11">
        <v>8789.0</v>
      </c>
      <c r="H195" s="11">
        <v>1847.0</v>
      </c>
    </row>
    <row r="196">
      <c r="A196" s="10">
        <v>42564.0</v>
      </c>
      <c r="B196" s="11">
        <v>1819.0</v>
      </c>
      <c r="C196" s="12">
        <v>0.3422</v>
      </c>
      <c r="D196" s="2">
        <v>0.0022569444444444442</v>
      </c>
      <c r="E196" s="12">
        <v>1.14</v>
      </c>
      <c r="F196" s="12">
        <v>4.46</v>
      </c>
      <c r="G196" s="11">
        <v>9234.0</v>
      </c>
      <c r="H196" s="11">
        <v>2069.0</v>
      </c>
    </row>
    <row r="197">
      <c r="A197" s="10">
        <v>42565.0</v>
      </c>
      <c r="B197" s="11">
        <v>2055.0</v>
      </c>
      <c r="C197" s="12">
        <v>0.443</v>
      </c>
      <c r="D197" s="2">
        <v>0.002013888888888889</v>
      </c>
      <c r="E197" s="12">
        <v>1.07</v>
      </c>
      <c r="F197" s="12">
        <v>4.54</v>
      </c>
      <c r="G197" s="11">
        <v>9956.0</v>
      </c>
      <c r="H197" s="11">
        <v>2194.0</v>
      </c>
    </row>
    <row r="198">
      <c r="A198" s="10">
        <v>42566.0</v>
      </c>
      <c r="B198" s="11">
        <v>1777.0</v>
      </c>
      <c r="C198" s="12">
        <v>0.4401</v>
      </c>
      <c r="D198" s="2">
        <v>0.001412037037037037</v>
      </c>
      <c r="E198" s="12">
        <v>1.05</v>
      </c>
      <c r="F198" s="12">
        <v>3.18</v>
      </c>
      <c r="G198" s="11">
        <v>5915.0</v>
      </c>
      <c r="H198" s="11">
        <v>1861.0</v>
      </c>
    </row>
    <row r="199">
      <c r="A199" s="10">
        <v>42567.0</v>
      </c>
      <c r="B199" s="11">
        <v>1180.0</v>
      </c>
      <c r="C199" s="12">
        <v>0.5368</v>
      </c>
      <c r="D199" s="2">
        <v>9.143518518518518E-4</v>
      </c>
      <c r="E199" s="12">
        <v>1.12</v>
      </c>
      <c r="F199" s="12">
        <v>3.07</v>
      </c>
      <c r="G199" s="11">
        <v>4055.0</v>
      </c>
      <c r="H199" s="11">
        <v>1319.0</v>
      </c>
    </row>
    <row r="200">
      <c r="A200" s="10">
        <v>42568.0</v>
      </c>
      <c r="B200" s="11">
        <v>1166.0</v>
      </c>
      <c r="C200" s="12">
        <v>0.5474</v>
      </c>
      <c r="D200" s="2">
        <v>0.0017592592592592592</v>
      </c>
      <c r="E200" s="12">
        <v>1.13</v>
      </c>
      <c r="F200" s="12">
        <v>3.54</v>
      </c>
      <c r="G200" s="11">
        <v>4665.0</v>
      </c>
      <c r="H200" s="11">
        <v>1319.0</v>
      </c>
    </row>
    <row r="201">
      <c r="A201" s="10">
        <v>42569.0</v>
      </c>
      <c r="B201" s="11">
        <v>1694.0</v>
      </c>
      <c r="C201" s="12">
        <v>0.4787</v>
      </c>
      <c r="D201" s="2">
        <v>0.0021412037037037038</v>
      </c>
      <c r="E201" s="12">
        <v>1.16</v>
      </c>
      <c r="F201" s="12">
        <v>4.03</v>
      </c>
      <c r="G201" s="11">
        <v>7942.0</v>
      </c>
      <c r="H201" s="11">
        <v>1972.0</v>
      </c>
    </row>
    <row r="202">
      <c r="A202" s="10">
        <v>42570.0</v>
      </c>
      <c r="B202" s="11">
        <v>1694.0</v>
      </c>
      <c r="C202" s="12">
        <v>0.4069</v>
      </c>
      <c r="D202" s="2">
        <v>0.0023032407407407407</v>
      </c>
      <c r="E202" s="12">
        <v>1.19</v>
      </c>
      <c r="F202" s="12">
        <v>4.71</v>
      </c>
      <c r="G202" s="11">
        <v>9484.0</v>
      </c>
      <c r="H202" s="11">
        <v>2013.0</v>
      </c>
    </row>
    <row r="203">
      <c r="A203" s="10">
        <v>42571.0</v>
      </c>
      <c r="B203" s="11">
        <v>1708.0</v>
      </c>
      <c r="C203" s="12">
        <v>0.3886</v>
      </c>
      <c r="D203" s="2">
        <v>0.002650462962962963</v>
      </c>
      <c r="E203" s="12">
        <v>1.13</v>
      </c>
      <c r="F203" s="12">
        <v>5.37</v>
      </c>
      <c r="G203" s="11">
        <v>10372.0</v>
      </c>
      <c r="H203" s="11">
        <v>1930.0</v>
      </c>
    </row>
    <row r="204">
      <c r="A204" s="10">
        <v>42572.0</v>
      </c>
      <c r="B204" s="11">
        <v>1819.0</v>
      </c>
      <c r="C204" s="12">
        <v>0.4265</v>
      </c>
      <c r="D204" s="2">
        <v>0.0018171296296296297</v>
      </c>
      <c r="E204" s="12">
        <v>1.09</v>
      </c>
      <c r="F204" s="12">
        <v>4.33</v>
      </c>
      <c r="G204" s="11">
        <v>8595.0</v>
      </c>
      <c r="H204" s="11">
        <v>1986.0</v>
      </c>
    </row>
    <row r="205">
      <c r="A205" s="10">
        <v>42573.0</v>
      </c>
      <c r="B205" s="11">
        <v>1541.0</v>
      </c>
      <c r="C205" s="12">
        <v>0.4848</v>
      </c>
      <c r="D205" s="2">
        <v>0.0013773148148148147</v>
      </c>
      <c r="E205" s="12">
        <v>1.17</v>
      </c>
      <c r="F205" s="12">
        <v>3.94</v>
      </c>
      <c r="G205" s="11">
        <v>7109.0</v>
      </c>
      <c r="H205" s="11">
        <v>1805.0</v>
      </c>
    </row>
    <row r="206">
      <c r="A206" s="10">
        <v>42574.0</v>
      </c>
      <c r="B206" s="11">
        <v>1264.0</v>
      </c>
      <c r="C206" s="12">
        <v>0.5556</v>
      </c>
      <c r="D206" s="2">
        <v>0.001388888888888889</v>
      </c>
      <c r="E206" s="12">
        <v>1.09</v>
      </c>
      <c r="F206" s="12">
        <v>3.5</v>
      </c>
      <c r="G206" s="11">
        <v>4818.0</v>
      </c>
      <c r="H206" s="11">
        <v>1375.0</v>
      </c>
    </row>
    <row r="207">
      <c r="A207" s="10">
        <v>42575.0</v>
      </c>
      <c r="B207" s="11">
        <v>1236.0</v>
      </c>
      <c r="C207" s="12">
        <v>0.2083</v>
      </c>
      <c r="D207" s="2">
        <v>0.0017824074074074075</v>
      </c>
      <c r="E207" s="12">
        <v>1.13</v>
      </c>
      <c r="F207" s="12">
        <v>4.28</v>
      </c>
      <c r="G207" s="11">
        <v>5998.0</v>
      </c>
      <c r="H207" s="11">
        <v>1402.0</v>
      </c>
    </row>
    <row r="208">
      <c r="A208" s="10">
        <v>42576.0</v>
      </c>
      <c r="B208" s="11">
        <v>2013.0</v>
      </c>
      <c r="C208" s="12">
        <v>0.2762</v>
      </c>
      <c r="D208" s="2">
        <v>0.0021064814814814813</v>
      </c>
      <c r="E208" s="12">
        <v>1.12</v>
      </c>
      <c r="F208" s="12">
        <v>4.76</v>
      </c>
      <c r="G208" s="11">
        <v>10775.0</v>
      </c>
      <c r="H208" s="11">
        <v>2263.0</v>
      </c>
    </row>
    <row r="209">
      <c r="A209" s="10">
        <v>42577.0</v>
      </c>
      <c r="B209" s="11">
        <v>1833.0</v>
      </c>
      <c r="C209" s="12">
        <v>0.3093</v>
      </c>
      <c r="D209" s="2">
        <v>0.0024305555555555556</v>
      </c>
      <c r="E209" s="12">
        <v>1.15</v>
      </c>
      <c r="F209" s="12">
        <v>6.1</v>
      </c>
      <c r="G209" s="11">
        <v>12872.0</v>
      </c>
      <c r="H209" s="11">
        <v>2111.0</v>
      </c>
    </row>
    <row r="210">
      <c r="A210" s="10">
        <v>42578.0</v>
      </c>
      <c r="B210" s="11">
        <v>1652.0</v>
      </c>
      <c r="C210" s="12">
        <v>0.3925</v>
      </c>
      <c r="D210" s="2">
        <v>0.002013888888888889</v>
      </c>
      <c r="E210" s="12">
        <v>1.13</v>
      </c>
      <c r="F210" s="12">
        <v>6.38</v>
      </c>
      <c r="G210" s="11">
        <v>11955.0</v>
      </c>
      <c r="H210" s="11">
        <v>1875.0</v>
      </c>
    </row>
    <row r="211">
      <c r="A211" s="10">
        <v>42579.0</v>
      </c>
      <c r="B211" s="11">
        <v>1694.0</v>
      </c>
      <c r="C211" s="12">
        <v>0.4136</v>
      </c>
      <c r="D211" s="2">
        <v>0.0021412037037037038</v>
      </c>
      <c r="E211" s="12">
        <v>1.09</v>
      </c>
      <c r="F211" s="12">
        <v>7.56</v>
      </c>
      <c r="G211" s="11">
        <v>13969.0</v>
      </c>
      <c r="H211" s="11">
        <v>1847.0</v>
      </c>
    </row>
    <row r="212">
      <c r="A212" s="10">
        <v>42580.0</v>
      </c>
      <c r="B212" s="11">
        <v>1555.0</v>
      </c>
      <c r="C212" s="12">
        <v>0.4573</v>
      </c>
      <c r="D212" s="2">
        <v>0.002372685185185185</v>
      </c>
      <c r="E212" s="12">
        <v>1.15</v>
      </c>
      <c r="F212" s="12">
        <v>6.99</v>
      </c>
      <c r="G212" s="11">
        <v>12511.0</v>
      </c>
      <c r="H212" s="11">
        <v>1791.0</v>
      </c>
    </row>
    <row r="213">
      <c r="A213" s="10">
        <v>42581.0</v>
      </c>
      <c r="B213" s="11">
        <v>1125.0</v>
      </c>
      <c r="C213" s="12">
        <v>0.5318</v>
      </c>
      <c r="D213" s="2">
        <v>0.0013541666666666667</v>
      </c>
      <c r="E213" s="12">
        <v>1.16</v>
      </c>
      <c r="F213" s="12">
        <v>3.97</v>
      </c>
      <c r="G213" s="11">
        <v>5179.0</v>
      </c>
      <c r="H213" s="11">
        <v>1305.0</v>
      </c>
    </row>
    <row r="214">
      <c r="A214" s="10">
        <v>42582.0</v>
      </c>
      <c r="B214" s="11">
        <v>1097.0</v>
      </c>
      <c r="C214" s="12">
        <v>0.5629</v>
      </c>
      <c r="D214" s="2">
        <v>0.0015046296296296296</v>
      </c>
      <c r="E214" s="12">
        <v>1.1</v>
      </c>
      <c r="F214" s="12">
        <v>4.03</v>
      </c>
      <c r="G214" s="11">
        <v>4874.0</v>
      </c>
      <c r="H214" s="11">
        <v>1208.0</v>
      </c>
    </row>
    <row r="215">
      <c r="A215" s="10">
        <v>42583.0</v>
      </c>
      <c r="B215" s="11">
        <v>1611.0</v>
      </c>
      <c r="C215" s="12">
        <v>0.4518</v>
      </c>
      <c r="D215" s="2">
        <v>0.0022569444444444442</v>
      </c>
      <c r="E215" s="12">
        <v>1.07</v>
      </c>
      <c r="F215" s="12">
        <v>8.29</v>
      </c>
      <c r="G215" s="11">
        <v>14274.0</v>
      </c>
      <c r="H215" s="11">
        <v>1722.0</v>
      </c>
    </row>
    <row r="216">
      <c r="A216" s="10">
        <v>42584.0</v>
      </c>
      <c r="B216" s="11">
        <v>2013.0</v>
      </c>
      <c r="C216" s="12">
        <v>0.4093</v>
      </c>
      <c r="D216" s="2">
        <v>0.0014814814814814814</v>
      </c>
      <c r="E216" s="12">
        <v>1.06</v>
      </c>
      <c r="F216" s="12">
        <v>5.03</v>
      </c>
      <c r="G216" s="11">
        <v>10747.0</v>
      </c>
      <c r="H216" s="11">
        <v>2138.0</v>
      </c>
    </row>
    <row r="217">
      <c r="A217" s="10">
        <v>42585.0</v>
      </c>
      <c r="B217" s="11">
        <v>2652.0</v>
      </c>
      <c r="C217" s="12">
        <v>0.4356</v>
      </c>
      <c r="D217" s="2">
        <v>0.0018055555555555555</v>
      </c>
      <c r="E217" s="12">
        <v>1.09</v>
      </c>
      <c r="F217" s="12">
        <v>4.88</v>
      </c>
      <c r="G217" s="11">
        <v>14163.0</v>
      </c>
      <c r="H217" s="11">
        <v>2902.0</v>
      </c>
    </row>
    <row r="218">
      <c r="A218" s="10">
        <v>42586.0</v>
      </c>
      <c r="B218" s="11">
        <v>2958.0</v>
      </c>
      <c r="C218" s="12">
        <v>0.4933</v>
      </c>
      <c r="D218" s="2">
        <v>0.0014814814814814814</v>
      </c>
      <c r="E218" s="12">
        <v>1.07</v>
      </c>
      <c r="F218" s="12">
        <v>3.67</v>
      </c>
      <c r="G218" s="11">
        <v>11580.0</v>
      </c>
      <c r="H218" s="11">
        <v>3152.0</v>
      </c>
    </row>
    <row r="219">
      <c r="A219" s="10">
        <v>42587.0</v>
      </c>
      <c r="B219" s="11">
        <v>2541.0</v>
      </c>
      <c r="C219" s="12">
        <v>0.5202</v>
      </c>
      <c r="D219" s="2">
        <v>0.001238425925925926</v>
      </c>
      <c r="E219" s="12">
        <v>1.07</v>
      </c>
      <c r="F219" s="12">
        <v>4.75</v>
      </c>
      <c r="G219" s="11">
        <v>12941.0</v>
      </c>
      <c r="H219" s="11">
        <v>2722.0</v>
      </c>
    </row>
    <row r="220">
      <c r="A220" s="10">
        <v>42588.0</v>
      </c>
      <c r="B220" s="11">
        <v>1514.0</v>
      </c>
      <c r="C220" s="12">
        <v>0.5298</v>
      </c>
      <c r="D220" s="2">
        <v>0.0010648148148148149</v>
      </c>
      <c r="E220" s="12">
        <v>1.07</v>
      </c>
      <c r="F220" s="12">
        <v>4.23</v>
      </c>
      <c r="G220" s="11">
        <v>6873.0</v>
      </c>
      <c r="H220" s="11">
        <v>1625.0</v>
      </c>
    </row>
    <row r="221">
      <c r="A221" s="10">
        <v>42589.0</v>
      </c>
      <c r="B221" s="11">
        <v>1541.0</v>
      </c>
      <c r="C221" s="12">
        <v>0.5616</v>
      </c>
      <c r="D221" s="2">
        <v>0.0013657407407407407</v>
      </c>
      <c r="E221" s="12">
        <v>1.03</v>
      </c>
      <c r="F221" s="12">
        <v>4.82</v>
      </c>
      <c r="G221" s="11">
        <v>7637.0</v>
      </c>
      <c r="H221" s="11">
        <v>1583.0</v>
      </c>
    </row>
    <row r="222">
      <c r="A222" s="10">
        <v>42590.0</v>
      </c>
      <c r="B222" s="11">
        <v>2583.0</v>
      </c>
      <c r="C222" s="12">
        <v>0.4679</v>
      </c>
      <c r="D222" s="2">
        <v>9.490740740740741E-4</v>
      </c>
      <c r="E222" s="12">
        <v>1.09</v>
      </c>
      <c r="F222" s="12">
        <v>3.97</v>
      </c>
      <c r="G222" s="11">
        <v>11178.0</v>
      </c>
      <c r="H222" s="11">
        <v>2819.0</v>
      </c>
    </row>
    <row r="223">
      <c r="A223" s="10">
        <v>42591.0</v>
      </c>
      <c r="B223" s="11">
        <v>2638.0</v>
      </c>
      <c r="C223" s="12">
        <v>0.4761</v>
      </c>
      <c r="D223" s="2">
        <v>0.0014583333333333334</v>
      </c>
      <c r="E223" s="12">
        <v>1.09</v>
      </c>
      <c r="F223" s="12">
        <v>4.25</v>
      </c>
      <c r="G223" s="11">
        <v>12261.0</v>
      </c>
      <c r="H223" s="11">
        <v>2888.0</v>
      </c>
    </row>
    <row r="224">
      <c r="A224" s="10">
        <v>42592.0</v>
      </c>
      <c r="B224" s="11">
        <v>2472.0</v>
      </c>
      <c r="C224" s="12">
        <v>0.4644</v>
      </c>
      <c r="D224" s="2">
        <v>0.0017592592592592592</v>
      </c>
      <c r="E224" s="12">
        <v>1.1</v>
      </c>
      <c r="F224" s="12">
        <v>5.48</v>
      </c>
      <c r="G224" s="11">
        <v>14927.0</v>
      </c>
      <c r="H224" s="11">
        <v>2722.0</v>
      </c>
    </row>
    <row r="225">
      <c r="A225" s="10">
        <v>42593.0</v>
      </c>
      <c r="B225" s="11">
        <v>2485.0</v>
      </c>
      <c r="C225" s="12">
        <v>0.4766</v>
      </c>
      <c r="D225" s="2">
        <v>0.001724537037037037</v>
      </c>
      <c r="E225" s="12">
        <v>1.07</v>
      </c>
      <c r="F225" s="12">
        <v>5.31</v>
      </c>
      <c r="G225" s="11">
        <v>14094.0</v>
      </c>
      <c r="H225" s="11">
        <v>2652.0</v>
      </c>
    </row>
    <row r="226">
      <c r="A226" s="10">
        <v>42594.0</v>
      </c>
      <c r="B226" s="11">
        <v>2402.0</v>
      </c>
      <c r="C226" s="12">
        <v>0.4364</v>
      </c>
      <c r="D226" s="2">
        <v>0.002002314814814815</v>
      </c>
      <c r="E226" s="12">
        <v>1.09</v>
      </c>
      <c r="F226" s="12">
        <v>5.96</v>
      </c>
      <c r="G226" s="11">
        <v>15552.0</v>
      </c>
      <c r="H226" s="11">
        <v>2610.0</v>
      </c>
    </row>
    <row r="227">
      <c r="A227" s="10">
        <v>42595.0</v>
      </c>
      <c r="B227" s="11">
        <v>1527.0</v>
      </c>
      <c r="C227" s="12">
        <v>0.5258</v>
      </c>
      <c r="D227" s="2">
        <v>0.0011805555555555556</v>
      </c>
      <c r="E227" s="12">
        <v>1.06</v>
      </c>
      <c r="F227" s="12">
        <v>3.65</v>
      </c>
      <c r="G227" s="11">
        <v>5887.0</v>
      </c>
      <c r="H227" s="11">
        <v>1611.0</v>
      </c>
    </row>
    <row r="228">
      <c r="A228" s="10">
        <v>42596.0</v>
      </c>
      <c r="B228" s="11">
        <v>1638.0</v>
      </c>
      <c r="C228" s="12">
        <v>0.5391</v>
      </c>
      <c r="D228" s="2">
        <v>0.0010879629629629629</v>
      </c>
      <c r="E228" s="12">
        <v>1.08</v>
      </c>
      <c r="F228" s="12">
        <v>3.34</v>
      </c>
      <c r="G228" s="11">
        <v>5943.0</v>
      </c>
      <c r="H228" s="11">
        <v>1777.0</v>
      </c>
    </row>
    <row r="229">
      <c r="A229" s="10">
        <v>42597.0</v>
      </c>
      <c r="B229" s="11">
        <v>2666.0</v>
      </c>
      <c r="C229" s="12">
        <v>0.3989</v>
      </c>
      <c r="D229" s="2">
        <v>0.0018055555555555555</v>
      </c>
      <c r="E229" s="12">
        <v>1.11</v>
      </c>
      <c r="F229" s="12">
        <v>4.59</v>
      </c>
      <c r="G229" s="11">
        <v>13566.0</v>
      </c>
      <c r="H229" s="11">
        <v>2958.0</v>
      </c>
    </row>
    <row r="230">
      <c r="A230" s="10">
        <v>42598.0</v>
      </c>
      <c r="B230" s="11">
        <v>2624.0</v>
      </c>
      <c r="C230" s="12">
        <v>0.453</v>
      </c>
      <c r="D230" s="2">
        <v>0.0023032407407407407</v>
      </c>
      <c r="E230" s="12">
        <v>1.07</v>
      </c>
      <c r="F230" s="12">
        <v>6.24</v>
      </c>
      <c r="G230" s="11">
        <v>17579.0</v>
      </c>
      <c r="H230" s="11">
        <v>2819.0</v>
      </c>
    </row>
    <row r="231">
      <c r="A231" s="10">
        <v>42599.0</v>
      </c>
      <c r="B231" s="11">
        <v>2555.0</v>
      </c>
      <c r="C231" s="12">
        <v>0.5374</v>
      </c>
      <c r="D231" s="2">
        <v>0.0015046296296296296</v>
      </c>
      <c r="E231" s="12">
        <v>1.09</v>
      </c>
      <c r="F231" s="12">
        <v>4.77</v>
      </c>
      <c r="G231" s="11">
        <v>13302.0</v>
      </c>
      <c r="H231" s="11">
        <v>2791.0</v>
      </c>
    </row>
    <row r="232">
      <c r="A232" s="10">
        <v>42600.0</v>
      </c>
      <c r="B232" s="11">
        <v>2569.0</v>
      </c>
      <c r="C232" s="12">
        <v>0.4669</v>
      </c>
      <c r="D232" s="2">
        <v>0.0019444444444444444</v>
      </c>
      <c r="E232" s="12">
        <v>1.06</v>
      </c>
      <c r="F232" s="12">
        <v>5.16</v>
      </c>
      <c r="G232" s="11">
        <v>14108.0</v>
      </c>
      <c r="H232" s="11">
        <v>2735.0</v>
      </c>
    </row>
    <row r="233">
      <c r="A233" s="10">
        <v>42601.0</v>
      </c>
      <c r="B233" s="11">
        <v>2111.0</v>
      </c>
      <c r="C233" s="12">
        <v>0.4912</v>
      </c>
      <c r="D233" s="2">
        <v>0.0017592592592592592</v>
      </c>
      <c r="E233" s="12">
        <v>1.1</v>
      </c>
      <c r="F233" s="12">
        <v>5.35</v>
      </c>
      <c r="G233" s="11">
        <v>12400.0</v>
      </c>
      <c r="H233" s="11">
        <v>2319.0</v>
      </c>
    </row>
    <row r="234">
      <c r="A234" s="10">
        <v>42602.0</v>
      </c>
      <c r="B234" s="11">
        <v>1555.0</v>
      </c>
      <c r="C234" s="12">
        <v>0.5714</v>
      </c>
      <c r="D234" s="2">
        <v>0.0011574074074074073</v>
      </c>
      <c r="E234" s="12">
        <v>1.06</v>
      </c>
      <c r="F234" s="12">
        <v>4.08</v>
      </c>
      <c r="G234" s="11">
        <v>6748.0</v>
      </c>
      <c r="H234" s="11">
        <v>1652.0</v>
      </c>
    </row>
    <row r="235">
      <c r="A235" s="10">
        <v>42603.0</v>
      </c>
      <c r="B235" s="11">
        <v>1722.0</v>
      </c>
      <c r="C235" s="12">
        <v>0.5276</v>
      </c>
      <c r="D235" s="2">
        <v>0.0012731481481481483</v>
      </c>
      <c r="E235" s="12">
        <v>1.01</v>
      </c>
      <c r="F235" s="12">
        <v>3.92</v>
      </c>
      <c r="G235" s="11">
        <v>6804.0</v>
      </c>
      <c r="H235" s="11">
        <v>1736.0</v>
      </c>
    </row>
    <row r="236">
      <c r="A236" s="10">
        <v>42604.0</v>
      </c>
      <c r="B236" s="11">
        <v>2430.0</v>
      </c>
      <c r="C236" s="12">
        <v>0.4866</v>
      </c>
      <c r="D236" s="2">
        <v>0.0011805555555555556</v>
      </c>
      <c r="E236" s="12">
        <v>1.06</v>
      </c>
      <c r="F236" s="12">
        <v>3.9</v>
      </c>
      <c r="G236" s="11">
        <v>10011.0</v>
      </c>
      <c r="H236" s="11">
        <v>2569.0</v>
      </c>
    </row>
    <row r="237">
      <c r="A237" s="10">
        <v>42605.0</v>
      </c>
      <c r="B237" s="11">
        <v>2597.0</v>
      </c>
      <c r="C237" s="12">
        <v>0.5027</v>
      </c>
      <c r="D237" s="2">
        <v>0.001574074074074074</v>
      </c>
      <c r="E237" s="12">
        <v>1.06</v>
      </c>
      <c r="F237" s="12">
        <v>3.71</v>
      </c>
      <c r="G237" s="11">
        <v>10247.0</v>
      </c>
      <c r="H237" s="11">
        <v>2763.0</v>
      </c>
    </row>
    <row r="238">
      <c r="A238" s="10">
        <v>42606.0</v>
      </c>
      <c r="B238" s="11">
        <v>2388.0</v>
      </c>
      <c r="C238" s="12">
        <v>0.4579</v>
      </c>
      <c r="D238" s="2">
        <v>0.001875</v>
      </c>
      <c r="E238" s="12">
        <v>1.1</v>
      </c>
      <c r="F238" s="12">
        <v>5.47</v>
      </c>
      <c r="G238" s="11">
        <v>14427.0</v>
      </c>
      <c r="H238" s="11">
        <v>2638.0</v>
      </c>
    </row>
    <row r="239">
      <c r="A239" s="10">
        <v>42607.0</v>
      </c>
      <c r="B239" s="11">
        <v>2319.0</v>
      </c>
      <c r="C239" s="12">
        <v>0.4097</v>
      </c>
      <c r="D239" s="2">
        <v>0.0016782407407407408</v>
      </c>
      <c r="E239" s="12">
        <v>1.1</v>
      </c>
      <c r="F239" s="12">
        <v>5.18</v>
      </c>
      <c r="G239" s="11">
        <v>13163.0</v>
      </c>
      <c r="H239" s="11">
        <v>2541.0</v>
      </c>
    </row>
    <row r="240">
      <c r="A240" s="10">
        <v>42608.0</v>
      </c>
      <c r="B240" s="11">
        <v>2166.0</v>
      </c>
      <c r="C240" s="12">
        <v>0.3691</v>
      </c>
      <c r="D240" s="2">
        <v>0.0021643518518518518</v>
      </c>
      <c r="E240" s="12">
        <v>1.08</v>
      </c>
      <c r="F240" s="12">
        <v>7.94</v>
      </c>
      <c r="G240" s="11">
        <v>18523.0</v>
      </c>
      <c r="H240" s="11">
        <v>2333.0</v>
      </c>
    </row>
    <row r="241">
      <c r="A241" s="10">
        <v>42609.0</v>
      </c>
      <c r="B241" s="11">
        <v>1583.0</v>
      </c>
      <c r="C241" s="12">
        <v>0.5918</v>
      </c>
      <c r="D241" s="2">
        <v>0.0013194444444444445</v>
      </c>
      <c r="E241" s="12">
        <v>1.05</v>
      </c>
      <c r="F241" s="12">
        <v>4.15</v>
      </c>
      <c r="G241" s="11">
        <v>6915.0</v>
      </c>
      <c r="H241" s="11">
        <v>1666.0</v>
      </c>
    </row>
    <row r="242">
      <c r="A242" s="10">
        <v>42610.0</v>
      </c>
      <c r="B242" s="11">
        <v>1583.0</v>
      </c>
      <c r="C242" s="12">
        <v>0.5513</v>
      </c>
      <c r="D242" s="2">
        <v>0.001851851851851852</v>
      </c>
      <c r="E242" s="12">
        <v>1.03</v>
      </c>
      <c r="F242" s="12">
        <v>4.55</v>
      </c>
      <c r="G242" s="11">
        <v>7456.0</v>
      </c>
      <c r="H242" s="11">
        <v>1638.0</v>
      </c>
    </row>
    <row r="243">
      <c r="A243" s="10">
        <v>42611.0</v>
      </c>
      <c r="B243" s="11">
        <v>2347.0</v>
      </c>
      <c r="C243" s="12">
        <v>0.5172</v>
      </c>
      <c r="D243" s="2">
        <v>0.0018287037037037037</v>
      </c>
      <c r="E243" s="12">
        <v>1.04</v>
      </c>
      <c r="F243" s="12">
        <v>5.44</v>
      </c>
      <c r="G243" s="11">
        <v>13302.0</v>
      </c>
      <c r="H243" s="11">
        <v>2444.0</v>
      </c>
    </row>
    <row r="244">
      <c r="A244" s="10">
        <v>42612.0</v>
      </c>
      <c r="B244" s="11">
        <v>2541.0</v>
      </c>
      <c r="C244" s="12">
        <v>0.4685</v>
      </c>
      <c r="D244" s="2">
        <v>0.0019444444444444444</v>
      </c>
      <c r="E244" s="12">
        <v>1.04</v>
      </c>
      <c r="F244" s="12">
        <v>4.42</v>
      </c>
      <c r="G244" s="11">
        <v>11664.0</v>
      </c>
      <c r="H244" s="11">
        <v>2638.0</v>
      </c>
    </row>
    <row r="245">
      <c r="A245" s="10">
        <v>42613.0</v>
      </c>
      <c r="B245" s="11">
        <v>3041.0</v>
      </c>
      <c r="C245" s="12">
        <v>0.47</v>
      </c>
      <c r="D245" s="2">
        <v>0.0013541666666666667</v>
      </c>
      <c r="E245" s="12">
        <v>1.07</v>
      </c>
      <c r="F245" s="12">
        <v>4.1</v>
      </c>
      <c r="G245" s="11">
        <v>13316.0</v>
      </c>
      <c r="H245" s="11">
        <v>3249.0</v>
      </c>
    </row>
    <row r="246">
      <c r="A246" s="10">
        <v>42614.0</v>
      </c>
      <c r="B246" s="11">
        <v>2485.0</v>
      </c>
      <c r="C246" s="12">
        <v>0.4409</v>
      </c>
      <c r="D246" s="2">
        <v>0.001712962962962963</v>
      </c>
      <c r="E246" s="12">
        <v>1.09</v>
      </c>
      <c r="F246" s="12">
        <v>4.93</v>
      </c>
      <c r="G246" s="11">
        <v>13344.0</v>
      </c>
      <c r="H246" s="11">
        <v>2708.0</v>
      </c>
    </row>
    <row r="247">
      <c r="A247" s="10">
        <v>42615.0</v>
      </c>
      <c r="B247" s="11">
        <v>2444.0</v>
      </c>
      <c r="C247" s="12">
        <v>0.5966</v>
      </c>
      <c r="D247" s="2">
        <v>8.680555555555555E-4</v>
      </c>
      <c r="E247" s="12">
        <v>1.06</v>
      </c>
      <c r="F247" s="12">
        <v>3.2</v>
      </c>
      <c r="G247" s="11">
        <v>8262.0</v>
      </c>
      <c r="H247" s="11">
        <v>2583.0</v>
      </c>
    </row>
    <row r="248">
      <c r="A248" s="10">
        <v>42616.0</v>
      </c>
      <c r="B248" s="11">
        <v>1694.0</v>
      </c>
      <c r="C248" s="12">
        <v>0.5634</v>
      </c>
      <c r="D248" s="2">
        <v>9.490740740740741E-4</v>
      </c>
      <c r="E248" s="12">
        <v>1.03</v>
      </c>
      <c r="F248" s="12">
        <v>4.24</v>
      </c>
      <c r="G248" s="11">
        <v>7415.0</v>
      </c>
      <c r="H248" s="11">
        <v>1750.0</v>
      </c>
    </row>
    <row r="249">
      <c r="A249" s="10">
        <v>42617.0</v>
      </c>
      <c r="B249" s="11">
        <v>1638.0</v>
      </c>
      <c r="C249" s="12">
        <v>0.4959</v>
      </c>
      <c r="D249" s="2">
        <v>0.001574074074074074</v>
      </c>
      <c r="E249" s="12">
        <v>1.04</v>
      </c>
      <c r="F249" s="12">
        <v>4.34</v>
      </c>
      <c r="G249" s="11">
        <v>7415.0</v>
      </c>
      <c r="H249" s="11">
        <v>1708.0</v>
      </c>
    </row>
    <row r="250">
      <c r="A250" s="10">
        <v>42618.0</v>
      </c>
      <c r="B250" s="11">
        <v>1999.0</v>
      </c>
      <c r="C250" s="12">
        <v>0.5694</v>
      </c>
      <c r="D250" s="2">
        <v>0.0015509259259259259</v>
      </c>
      <c r="E250" s="12">
        <v>1.05</v>
      </c>
      <c r="F250" s="12">
        <v>3.82</v>
      </c>
      <c r="G250" s="11">
        <v>8012.0</v>
      </c>
      <c r="H250" s="11">
        <v>2097.0</v>
      </c>
    </row>
    <row r="251">
      <c r="A251" s="10">
        <v>42619.0</v>
      </c>
      <c r="B251" s="11">
        <v>2388.0</v>
      </c>
      <c r="C251" s="12">
        <v>0.5246</v>
      </c>
      <c r="D251" s="2">
        <v>0.001412037037037037</v>
      </c>
      <c r="E251" s="12">
        <v>1.06</v>
      </c>
      <c r="F251" s="12">
        <v>3.98</v>
      </c>
      <c r="G251" s="11">
        <v>10122.0</v>
      </c>
      <c r="H251" s="11">
        <v>2541.0</v>
      </c>
    </row>
    <row r="252">
      <c r="A252" s="10">
        <v>42620.0</v>
      </c>
      <c r="B252" s="11">
        <v>2485.0</v>
      </c>
      <c r="C252" s="12">
        <v>0.5052</v>
      </c>
      <c r="D252" s="2">
        <v>0.0012962962962962963</v>
      </c>
      <c r="E252" s="12">
        <v>1.04</v>
      </c>
      <c r="F252" s="12">
        <v>3.63</v>
      </c>
      <c r="G252" s="11">
        <v>9387.0</v>
      </c>
      <c r="H252" s="11">
        <v>2583.0</v>
      </c>
    </row>
    <row r="253">
      <c r="A253" s="10">
        <v>42621.0</v>
      </c>
      <c r="B253" s="11">
        <v>2458.0</v>
      </c>
      <c r="C253" s="12">
        <v>0.4189</v>
      </c>
      <c r="D253" s="2">
        <v>0.0019675925925925924</v>
      </c>
      <c r="E253" s="12">
        <v>1.08</v>
      </c>
      <c r="F253" s="12">
        <v>6.45</v>
      </c>
      <c r="G253" s="11">
        <v>17107.0</v>
      </c>
      <c r="H253" s="11">
        <v>2652.0</v>
      </c>
    </row>
    <row r="254">
      <c r="A254" s="10">
        <v>42622.0</v>
      </c>
      <c r="B254" s="11">
        <v>2361.0</v>
      </c>
      <c r="C254" s="12">
        <v>0.5189</v>
      </c>
      <c r="D254" s="2">
        <v>8.564814814814815E-4</v>
      </c>
      <c r="E254" s="12">
        <v>1.09</v>
      </c>
      <c r="F254" s="12">
        <v>3.77</v>
      </c>
      <c r="G254" s="11">
        <v>9678.0</v>
      </c>
      <c r="H254" s="11">
        <v>2569.0</v>
      </c>
    </row>
    <row r="255">
      <c r="A255" s="10">
        <v>42623.0</v>
      </c>
      <c r="B255" s="11">
        <v>1611.0</v>
      </c>
      <c r="C255" s="12">
        <v>0.5042</v>
      </c>
      <c r="D255" s="2">
        <v>0.0011921296296296296</v>
      </c>
      <c r="E255" s="12">
        <v>1.04</v>
      </c>
      <c r="F255" s="12">
        <v>3.76</v>
      </c>
      <c r="G255" s="11">
        <v>6318.0</v>
      </c>
      <c r="H255" s="11">
        <v>1680.0</v>
      </c>
    </row>
    <row r="256">
      <c r="A256" s="10">
        <v>42624.0</v>
      </c>
      <c r="B256" s="11">
        <v>1625.0</v>
      </c>
      <c r="C256" s="12">
        <v>0.5573</v>
      </c>
      <c r="D256" s="2">
        <v>8.449074074074074E-4</v>
      </c>
      <c r="E256" s="12">
        <v>1.04</v>
      </c>
      <c r="F256" s="12">
        <v>3.46</v>
      </c>
      <c r="G256" s="11">
        <v>5860.0</v>
      </c>
      <c r="H256" s="11">
        <v>1694.0</v>
      </c>
    </row>
    <row r="257">
      <c r="A257" s="10">
        <v>42625.0</v>
      </c>
      <c r="B257" s="11">
        <v>2319.0</v>
      </c>
      <c r="C257" s="12">
        <v>0.503</v>
      </c>
      <c r="D257" s="2">
        <v>0.0011226851851851851</v>
      </c>
      <c r="E257" s="12">
        <v>1.07</v>
      </c>
      <c r="F257" s="12">
        <v>3.84</v>
      </c>
      <c r="G257" s="11">
        <v>9539.0</v>
      </c>
      <c r="H257" s="11">
        <v>2485.0</v>
      </c>
    </row>
    <row r="258">
      <c r="A258" s="10">
        <v>42626.0</v>
      </c>
      <c r="B258" s="11">
        <v>2222.0</v>
      </c>
      <c r="C258" s="12">
        <v>0.4562</v>
      </c>
      <c r="D258" s="2">
        <v>0.0015277777777777779</v>
      </c>
      <c r="E258" s="12">
        <v>1.07</v>
      </c>
      <c r="F258" s="12">
        <v>4.08</v>
      </c>
      <c r="G258" s="11">
        <v>9678.0</v>
      </c>
      <c r="H258" s="11">
        <v>2374.0</v>
      </c>
    </row>
    <row r="259">
      <c r="A259" s="10">
        <v>42627.0</v>
      </c>
      <c r="B259" s="11">
        <v>2374.0</v>
      </c>
      <c r="C259" s="12">
        <v>0.4579</v>
      </c>
      <c r="D259" s="2">
        <v>0.0019097222222222222</v>
      </c>
      <c r="E259" s="12">
        <v>1.11</v>
      </c>
      <c r="F259" s="12">
        <v>5.21</v>
      </c>
      <c r="G259" s="11">
        <v>13733.0</v>
      </c>
      <c r="H259" s="11">
        <v>2638.0</v>
      </c>
    </row>
    <row r="260">
      <c r="A260" s="10">
        <v>42628.0</v>
      </c>
      <c r="B260" s="11">
        <v>2722.0</v>
      </c>
      <c r="C260" s="12">
        <v>0.4207</v>
      </c>
      <c r="D260" s="2">
        <v>0.002476851851851852</v>
      </c>
      <c r="E260" s="12">
        <v>1.09</v>
      </c>
      <c r="F260" s="12">
        <v>4.9</v>
      </c>
      <c r="G260" s="11">
        <v>14566.0</v>
      </c>
      <c r="H260" s="11">
        <v>2971.0</v>
      </c>
    </row>
    <row r="261">
      <c r="A261" s="10">
        <v>42629.0</v>
      </c>
      <c r="B261" s="11">
        <v>2499.0</v>
      </c>
      <c r="C261" s="12">
        <v>0.471</v>
      </c>
      <c r="D261" s="2">
        <v>0.0016435185185185185</v>
      </c>
      <c r="E261" s="12">
        <v>1.05</v>
      </c>
      <c r="F261" s="12">
        <v>4.38</v>
      </c>
      <c r="G261" s="11">
        <v>11483.0</v>
      </c>
      <c r="H261" s="11">
        <v>2624.0</v>
      </c>
    </row>
    <row r="262">
      <c r="A262" s="10">
        <v>42630.0</v>
      </c>
      <c r="B262" s="11">
        <v>1680.0</v>
      </c>
      <c r="C262" s="12">
        <v>0.4885</v>
      </c>
      <c r="D262" s="2">
        <v>0.0027199074074074074</v>
      </c>
      <c r="E262" s="12">
        <v>1.12</v>
      </c>
      <c r="F262" s="12">
        <v>5.1</v>
      </c>
      <c r="G262" s="11">
        <v>9567.0</v>
      </c>
      <c r="H262" s="11">
        <v>1875.0</v>
      </c>
    </row>
    <row r="263">
      <c r="A263" s="10">
        <v>42631.0</v>
      </c>
      <c r="B263" s="11">
        <v>1694.0</v>
      </c>
      <c r="C263" s="12">
        <v>0.5187</v>
      </c>
      <c r="D263" s="2">
        <v>0.0022222222222222222</v>
      </c>
      <c r="E263" s="12">
        <v>1.09</v>
      </c>
      <c r="F263" s="12">
        <v>4.11</v>
      </c>
      <c r="G263" s="11">
        <v>7595.0</v>
      </c>
      <c r="H263" s="11">
        <v>1847.0</v>
      </c>
    </row>
    <row r="264">
      <c r="A264" s="10">
        <v>42632.0</v>
      </c>
      <c r="B264" s="11">
        <v>2527.0</v>
      </c>
      <c r="C264" s="12">
        <v>0.5</v>
      </c>
      <c r="D264" s="2">
        <v>0.0010648148148148149</v>
      </c>
      <c r="E264" s="12">
        <v>1.07</v>
      </c>
      <c r="F264" s="12">
        <v>3.48</v>
      </c>
      <c r="G264" s="11">
        <v>9373.0</v>
      </c>
      <c r="H264" s="11">
        <v>2694.0</v>
      </c>
    </row>
    <row r="265">
      <c r="A265" s="10">
        <v>42633.0</v>
      </c>
      <c r="B265" s="11">
        <v>2444.0</v>
      </c>
      <c r="C265" s="12">
        <v>0.4951</v>
      </c>
      <c r="D265" s="2">
        <v>0.0021527777777777778</v>
      </c>
      <c r="E265" s="12">
        <v>1.12</v>
      </c>
      <c r="F265" s="12">
        <v>5.37</v>
      </c>
      <c r="G265" s="11">
        <v>14774.0</v>
      </c>
      <c r="H265" s="11">
        <v>2749.0</v>
      </c>
    </row>
    <row r="266">
      <c r="A266" s="10">
        <v>42634.0</v>
      </c>
      <c r="B266" s="11">
        <v>2444.0</v>
      </c>
      <c r="C266" s="12">
        <v>0.4644</v>
      </c>
      <c r="D266" s="2">
        <v>0.0018402777777777777</v>
      </c>
      <c r="E266" s="12">
        <v>1.11</v>
      </c>
      <c r="F266" s="12">
        <v>5.33</v>
      </c>
      <c r="G266" s="11">
        <v>14510.0</v>
      </c>
      <c r="H266" s="11">
        <v>2722.0</v>
      </c>
    </row>
    <row r="267">
      <c r="A267" s="10">
        <v>42635.0</v>
      </c>
      <c r="B267" s="11">
        <v>2458.0</v>
      </c>
      <c r="C267" s="12">
        <v>0.4843</v>
      </c>
      <c r="D267" s="2">
        <v>0.0014699074074074074</v>
      </c>
      <c r="E267" s="12">
        <v>1.06</v>
      </c>
      <c r="F267" s="12">
        <v>4.15</v>
      </c>
      <c r="G267" s="11">
        <v>10831.0</v>
      </c>
      <c r="H267" s="11">
        <v>2610.0</v>
      </c>
    </row>
    <row r="268">
      <c r="A268" s="10">
        <v>42636.0</v>
      </c>
      <c r="B268" s="11">
        <v>2263.0</v>
      </c>
      <c r="C268" s="12">
        <v>0.5406</v>
      </c>
      <c r="D268" s="2">
        <v>8.912037037037037E-4</v>
      </c>
      <c r="E268" s="12">
        <v>1.06</v>
      </c>
      <c r="F268" s="12">
        <v>3.0</v>
      </c>
      <c r="G268" s="11">
        <v>7165.0</v>
      </c>
      <c r="H268" s="11">
        <v>2388.0</v>
      </c>
    </row>
    <row r="269">
      <c r="A269" s="10">
        <v>42637.0</v>
      </c>
      <c r="B269" s="11">
        <v>1819.0</v>
      </c>
      <c r="C269" s="12">
        <v>0.5414</v>
      </c>
      <c r="D269" s="2">
        <v>0.0013425925925925925</v>
      </c>
      <c r="E269" s="12">
        <v>1.02</v>
      </c>
      <c r="F269" s="12">
        <v>3.86</v>
      </c>
      <c r="G269" s="11">
        <v>7137.0</v>
      </c>
      <c r="H269" s="11">
        <v>1847.0</v>
      </c>
    </row>
    <row r="270">
      <c r="A270" s="10">
        <v>42638.0</v>
      </c>
      <c r="B270" s="11">
        <v>1805.0</v>
      </c>
      <c r="C270" s="12">
        <v>0.5258</v>
      </c>
      <c r="D270" s="2">
        <v>9.953703703703704E-4</v>
      </c>
      <c r="E270" s="12">
        <v>1.05</v>
      </c>
      <c r="F270" s="12">
        <v>3.63</v>
      </c>
      <c r="G270" s="11">
        <v>6901.0</v>
      </c>
      <c r="H270" s="11">
        <v>1902.0</v>
      </c>
    </row>
    <row r="271">
      <c r="A271" s="10">
        <v>42639.0</v>
      </c>
      <c r="B271" s="11">
        <v>2485.0</v>
      </c>
      <c r="C271" s="12">
        <v>0.5002</v>
      </c>
      <c r="D271" s="2">
        <v>0.0019328703703703704</v>
      </c>
      <c r="E271" s="12">
        <v>1.12</v>
      </c>
      <c r="F271" s="12">
        <v>5.05</v>
      </c>
      <c r="G271" s="11">
        <v>14010.0</v>
      </c>
      <c r="H271" s="11">
        <v>2777.0</v>
      </c>
    </row>
    <row r="272">
      <c r="A272" s="10">
        <v>42640.0</v>
      </c>
      <c r="B272" s="11">
        <v>2541.0</v>
      </c>
      <c r="C272" s="12">
        <v>0.4489</v>
      </c>
      <c r="D272" s="2">
        <v>0.0022916666666666667</v>
      </c>
      <c r="E272" s="12">
        <v>1.07</v>
      </c>
      <c r="F272" s="12">
        <v>4.81</v>
      </c>
      <c r="G272" s="11">
        <v>13080.0</v>
      </c>
      <c r="H272" s="11">
        <v>2722.0</v>
      </c>
    </row>
    <row r="273">
      <c r="A273" s="10">
        <v>42641.0</v>
      </c>
      <c r="B273" s="11">
        <v>2236.0</v>
      </c>
      <c r="C273" s="12">
        <v>0.4589</v>
      </c>
      <c r="D273" s="2">
        <v>0.002638888888888889</v>
      </c>
      <c r="E273" s="12">
        <v>1.14</v>
      </c>
      <c r="F273" s="12">
        <v>5.49</v>
      </c>
      <c r="G273" s="11">
        <v>13941.0</v>
      </c>
      <c r="H273" s="11">
        <v>2541.0</v>
      </c>
    </row>
    <row r="274">
      <c r="A274" s="10">
        <v>42642.0</v>
      </c>
      <c r="B274" s="11">
        <v>2485.0</v>
      </c>
      <c r="C274" s="12">
        <v>0.4657</v>
      </c>
      <c r="D274" s="2">
        <v>0.0017013888888888888</v>
      </c>
      <c r="E274" s="12">
        <v>1.06</v>
      </c>
      <c r="F274" s="12">
        <v>5.51</v>
      </c>
      <c r="G274" s="11">
        <v>14469.0</v>
      </c>
      <c r="H274" s="11">
        <v>2624.0</v>
      </c>
    </row>
    <row r="275">
      <c r="A275" s="10">
        <v>42643.0</v>
      </c>
      <c r="B275" s="11">
        <v>2194.0</v>
      </c>
      <c r="C275" s="12">
        <v>0.4941</v>
      </c>
      <c r="D275" s="2">
        <v>0.0015509259259259259</v>
      </c>
      <c r="E275" s="12">
        <v>1.05</v>
      </c>
      <c r="F275" s="12">
        <v>4.54</v>
      </c>
      <c r="G275" s="11">
        <v>10470.0</v>
      </c>
      <c r="H275" s="11">
        <v>2305.0</v>
      </c>
    </row>
    <row r="276">
      <c r="A276" s="10">
        <v>42644.0</v>
      </c>
      <c r="B276" s="11">
        <v>1514.0</v>
      </c>
      <c r="C276" s="12">
        <v>0.386</v>
      </c>
      <c r="D276" s="2">
        <v>0.0019212962962962964</v>
      </c>
      <c r="E276" s="12">
        <v>1.05</v>
      </c>
      <c r="F276" s="12">
        <v>4.02</v>
      </c>
      <c r="G276" s="11">
        <v>6360.0</v>
      </c>
      <c r="H276" s="11">
        <v>1583.0</v>
      </c>
    </row>
    <row r="277">
      <c r="A277" s="10">
        <v>42645.0</v>
      </c>
      <c r="B277" s="11">
        <v>1583.0</v>
      </c>
      <c r="C277" s="12">
        <v>0.504</v>
      </c>
      <c r="D277" s="2">
        <v>0.002002314814814815</v>
      </c>
      <c r="E277" s="12">
        <v>1.1</v>
      </c>
      <c r="F277" s="12">
        <v>3.85</v>
      </c>
      <c r="G277" s="11">
        <v>6679.0</v>
      </c>
      <c r="H277" s="11">
        <v>1736.0</v>
      </c>
    </row>
    <row r="278">
      <c r="A278" s="10">
        <v>42646.0</v>
      </c>
      <c r="B278" s="11">
        <v>2291.0</v>
      </c>
      <c r="C278" s="12">
        <v>0.4584</v>
      </c>
      <c r="D278" s="2">
        <v>0.0019560185185185184</v>
      </c>
      <c r="E278" s="12">
        <v>1.1</v>
      </c>
      <c r="F278" s="12">
        <v>4.62</v>
      </c>
      <c r="G278" s="11">
        <v>11608.0</v>
      </c>
      <c r="H278" s="11">
        <v>2513.0</v>
      </c>
    </row>
    <row r="279">
      <c r="A279" s="10">
        <v>42647.0</v>
      </c>
      <c r="B279" s="11">
        <v>3985.0</v>
      </c>
      <c r="C279" s="12">
        <v>0.4376</v>
      </c>
      <c r="D279" s="2">
        <v>0.0018402777777777777</v>
      </c>
      <c r="E279" s="12">
        <v>1.09</v>
      </c>
      <c r="F279" s="12">
        <v>4.28</v>
      </c>
      <c r="G279" s="11">
        <v>18593.0</v>
      </c>
      <c r="H279" s="11">
        <v>4346.0</v>
      </c>
    </row>
    <row r="280">
      <c r="A280" s="10">
        <v>42648.0</v>
      </c>
      <c r="B280" s="11">
        <v>3582.0</v>
      </c>
      <c r="C280" s="12">
        <v>0.4633</v>
      </c>
      <c r="D280" s="2">
        <v>0.0013657407407407407</v>
      </c>
      <c r="E280" s="12">
        <v>1.05</v>
      </c>
      <c r="F280" s="12">
        <v>4.18</v>
      </c>
      <c r="G280" s="11">
        <v>15774.0</v>
      </c>
      <c r="H280" s="11">
        <v>3777.0</v>
      </c>
    </row>
    <row r="281">
      <c r="A281" s="10">
        <v>42649.0</v>
      </c>
      <c r="B281" s="11">
        <v>2791.0</v>
      </c>
      <c r="C281" s="12">
        <v>0.4476</v>
      </c>
      <c r="D281" s="2">
        <v>0.0022916666666666667</v>
      </c>
      <c r="E281" s="12">
        <v>1.09</v>
      </c>
      <c r="F281" s="12">
        <v>5.5</v>
      </c>
      <c r="G281" s="11">
        <v>16718.0</v>
      </c>
      <c r="H281" s="11">
        <v>3041.0</v>
      </c>
    </row>
    <row r="282">
      <c r="A282" s="10">
        <v>42650.0</v>
      </c>
      <c r="B282" s="11">
        <v>2749.0</v>
      </c>
      <c r="C282" s="12">
        <v>0.4785</v>
      </c>
      <c r="D282" s="2">
        <v>0.0018402777777777777</v>
      </c>
      <c r="E282" s="12">
        <v>1.07</v>
      </c>
      <c r="F282" s="12">
        <v>3.99</v>
      </c>
      <c r="G282" s="11">
        <v>11705.0</v>
      </c>
      <c r="H282" s="11">
        <v>2930.0</v>
      </c>
    </row>
    <row r="283">
      <c r="A283" s="10">
        <v>42651.0</v>
      </c>
      <c r="B283" s="11">
        <v>1930.0</v>
      </c>
      <c r="C283" s="12">
        <v>0.5064</v>
      </c>
      <c r="D283" s="2">
        <v>0.0014236111111111112</v>
      </c>
      <c r="E283" s="12">
        <v>1.09</v>
      </c>
      <c r="F283" s="12">
        <v>3.31</v>
      </c>
      <c r="G283" s="11">
        <v>6984.0</v>
      </c>
      <c r="H283" s="11">
        <v>2111.0</v>
      </c>
    </row>
    <row r="284">
      <c r="A284" s="10">
        <v>42652.0</v>
      </c>
      <c r="B284" s="11">
        <v>2083.0</v>
      </c>
      <c r="C284" s="12">
        <v>0.5131</v>
      </c>
      <c r="D284" s="2">
        <v>0.0013078703703703703</v>
      </c>
      <c r="E284" s="12">
        <v>1.03</v>
      </c>
      <c r="F284" s="12">
        <v>3.64</v>
      </c>
      <c r="G284" s="11">
        <v>7790.0</v>
      </c>
      <c r="H284" s="11">
        <v>2138.0</v>
      </c>
    </row>
    <row r="285">
      <c r="A285" s="10">
        <v>42653.0</v>
      </c>
      <c r="B285" s="11">
        <v>2888.0</v>
      </c>
      <c r="C285" s="12">
        <v>0.445</v>
      </c>
      <c r="D285" s="2">
        <v>0.001712962962962963</v>
      </c>
      <c r="E285" s="12">
        <v>1.05</v>
      </c>
      <c r="F285" s="12">
        <v>4.62</v>
      </c>
      <c r="G285" s="11">
        <v>13996.0</v>
      </c>
      <c r="H285" s="11">
        <v>3027.0</v>
      </c>
    </row>
    <row r="286">
      <c r="A286" s="10">
        <v>42654.0</v>
      </c>
      <c r="B286" s="11">
        <v>2819.0</v>
      </c>
      <c r="C286" s="12">
        <v>0.4476</v>
      </c>
      <c r="D286" s="2">
        <v>0.0018402777777777777</v>
      </c>
      <c r="E286" s="12">
        <v>1.08</v>
      </c>
      <c r="F286" s="12">
        <v>4.52</v>
      </c>
      <c r="G286" s="11">
        <v>13760.0</v>
      </c>
      <c r="H286" s="11">
        <v>3041.0</v>
      </c>
    </row>
    <row r="287">
      <c r="A287" s="10">
        <v>42655.0</v>
      </c>
      <c r="B287" s="11">
        <v>2847.0</v>
      </c>
      <c r="C287" s="12">
        <v>0.4009</v>
      </c>
      <c r="D287" s="2">
        <v>0.0018402777777777777</v>
      </c>
      <c r="E287" s="12">
        <v>1.06</v>
      </c>
      <c r="F287" s="12">
        <v>4.96</v>
      </c>
      <c r="G287" s="11">
        <v>14941.0</v>
      </c>
      <c r="H287" s="11">
        <v>3013.0</v>
      </c>
    </row>
    <row r="288">
      <c r="A288" s="10">
        <v>42656.0</v>
      </c>
      <c r="B288" s="11">
        <v>2874.0</v>
      </c>
      <c r="C288" s="12">
        <v>0.5225</v>
      </c>
      <c r="D288" s="2">
        <v>0.0020486111111111113</v>
      </c>
      <c r="E288" s="12">
        <v>1.08</v>
      </c>
      <c r="F288" s="12">
        <v>5.09</v>
      </c>
      <c r="G288" s="11">
        <v>15829.0</v>
      </c>
      <c r="H288" s="11">
        <v>3110.0</v>
      </c>
    </row>
    <row r="289">
      <c r="A289" s="10">
        <v>42657.0</v>
      </c>
      <c r="B289" s="11">
        <v>2833.0</v>
      </c>
      <c r="C289" s="12">
        <v>0.5422</v>
      </c>
      <c r="D289" s="2">
        <v>0.0014351851851851852</v>
      </c>
      <c r="E289" s="12">
        <v>1.05</v>
      </c>
      <c r="F289" s="12">
        <v>3.87</v>
      </c>
      <c r="G289" s="11">
        <v>11511.0</v>
      </c>
      <c r="H289" s="11">
        <v>2971.0</v>
      </c>
    </row>
    <row r="290">
      <c r="A290" s="10">
        <v>42658.0</v>
      </c>
      <c r="B290" s="11">
        <v>2458.0</v>
      </c>
      <c r="C290" s="12">
        <v>0.5699</v>
      </c>
      <c r="D290" s="2">
        <v>8.912037037037037E-4</v>
      </c>
      <c r="E290" s="12">
        <v>1.05</v>
      </c>
      <c r="F290" s="12">
        <v>3.07</v>
      </c>
      <c r="G290" s="11">
        <v>7929.0</v>
      </c>
      <c r="H290" s="11">
        <v>2583.0</v>
      </c>
    </row>
    <row r="291">
      <c r="A291" s="10">
        <v>42659.0</v>
      </c>
      <c r="B291" s="11">
        <v>2638.0</v>
      </c>
      <c r="C291" s="12">
        <v>0.6009</v>
      </c>
      <c r="D291" s="2">
        <v>0.0012962962962962963</v>
      </c>
      <c r="E291" s="12">
        <v>1.04</v>
      </c>
      <c r="F291" s="12">
        <v>3.22</v>
      </c>
      <c r="G291" s="11">
        <v>8859.0</v>
      </c>
      <c r="H291" s="11">
        <v>2749.0</v>
      </c>
    </row>
    <row r="292">
      <c r="A292" s="10">
        <v>42660.0</v>
      </c>
      <c r="B292" s="11">
        <v>3346.0</v>
      </c>
      <c r="C292" s="12">
        <v>0.5951</v>
      </c>
      <c r="D292" s="2">
        <v>0.0012847222222222223</v>
      </c>
      <c r="E292" s="12">
        <v>1.07</v>
      </c>
      <c r="F292" s="12">
        <v>3.31</v>
      </c>
      <c r="G292" s="11">
        <v>11816.0</v>
      </c>
      <c r="H292" s="11">
        <v>3569.0</v>
      </c>
    </row>
    <row r="293">
      <c r="A293" s="10">
        <v>42661.0</v>
      </c>
      <c r="B293" s="11">
        <v>3444.0</v>
      </c>
      <c r="C293" s="12">
        <v>0.5719</v>
      </c>
      <c r="D293" s="2">
        <v>0.002002314814814815</v>
      </c>
      <c r="E293" s="12">
        <v>1.09</v>
      </c>
      <c r="F293" s="12">
        <v>4.79</v>
      </c>
      <c r="G293" s="11">
        <v>18037.0</v>
      </c>
      <c r="H293" s="11">
        <v>3763.0</v>
      </c>
    </row>
    <row r="294">
      <c r="A294" s="10">
        <v>42662.0</v>
      </c>
      <c r="B294" s="11">
        <v>3430.0</v>
      </c>
      <c r="C294" s="12">
        <v>0.517</v>
      </c>
      <c r="D294" s="2">
        <v>0.0020949074074074073</v>
      </c>
      <c r="E294" s="12">
        <v>1.06</v>
      </c>
      <c r="F294" s="12">
        <v>4.12</v>
      </c>
      <c r="G294" s="11">
        <v>15052.0</v>
      </c>
      <c r="H294" s="11">
        <v>3652.0</v>
      </c>
    </row>
    <row r="295">
      <c r="A295" s="10">
        <v>42663.0</v>
      </c>
      <c r="B295" s="11">
        <v>3638.0</v>
      </c>
      <c r="C295" s="12">
        <v>0.5603</v>
      </c>
      <c r="D295" s="2">
        <v>0.001875</v>
      </c>
      <c r="E295" s="12">
        <v>1.08</v>
      </c>
      <c r="F295" s="12">
        <v>4.21</v>
      </c>
      <c r="G295" s="11">
        <v>16496.0</v>
      </c>
      <c r="H295" s="11">
        <v>3916.0</v>
      </c>
    </row>
    <row r="296">
      <c r="A296" s="10">
        <v>42664.0</v>
      </c>
      <c r="B296" s="11">
        <v>3360.0</v>
      </c>
      <c r="C296" s="12">
        <v>0.5329</v>
      </c>
      <c r="D296" s="2">
        <v>0.0016782407407407408</v>
      </c>
      <c r="E296" s="12">
        <v>1.06</v>
      </c>
      <c r="F296" s="12">
        <v>3.96</v>
      </c>
      <c r="G296" s="11">
        <v>14135.0</v>
      </c>
      <c r="H296" s="11">
        <v>3569.0</v>
      </c>
    </row>
    <row r="297">
      <c r="A297" s="10">
        <v>42665.0</v>
      </c>
      <c r="B297" s="11">
        <v>3027.0</v>
      </c>
      <c r="C297" s="12">
        <v>0.5823</v>
      </c>
      <c r="D297" s="2">
        <v>0.0010648148148148149</v>
      </c>
      <c r="E297" s="12">
        <v>1.03</v>
      </c>
      <c r="F297" s="12">
        <v>3.21</v>
      </c>
      <c r="G297" s="11">
        <v>10039.0</v>
      </c>
      <c r="H297" s="11">
        <v>3124.0</v>
      </c>
    </row>
    <row r="298">
      <c r="A298" s="10">
        <v>42666.0</v>
      </c>
      <c r="B298" s="11">
        <v>3013.0</v>
      </c>
      <c r="C298" s="12">
        <v>0.5358</v>
      </c>
      <c r="D298" s="2">
        <v>0.0011458333333333333</v>
      </c>
      <c r="E298" s="12">
        <v>1.02</v>
      </c>
      <c r="F298" s="12">
        <v>3.22</v>
      </c>
      <c r="G298" s="11">
        <v>9942.0</v>
      </c>
      <c r="H298" s="11">
        <v>3083.0</v>
      </c>
    </row>
    <row r="299">
      <c r="A299" s="10">
        <v>42667.0</v>
      </c>
      <c r="B299" s="11">
        <v>3943.0</v>
      </c>
      <c r="C299" s="12">
        <v>0.5346</v>
      </c>
      <c r="D299" s="2">
        <v>0.0010069444444444444</v>
      </c>
      <c r="E299" s="12">
        <v>1.07</v>
      </c>
      <c r="F299" s="12">
        <v>2.95</v>
      </c>
      <c r="G299" s="11">
        <v>12427.0</v>
      </c>
      <c r="H299" s="11">
        <v>4207.0</v>
      </c>
    </row>
    <row r="300">
      <c r="A300" s="10">
        <v>42668.0</v>
      </c>
      <c r="B300" s="11">
        <v>3916.0</v>
      </c>
      <c r="C300" s="12">
        <v>0.5556</v>
      </c>
      <c r="D300" s="2">
        <v>0.0020601851851851853</v>
      </c>
      <c r="E300" s="12">
        <v>1.02</v>
      </c>
      <c r="F300" s="12">
        <v>4.11</v>
      </c>
      <c r="G300" s="11">
        <v>16454.0</v>
      </c>
      <c r="H300" s="11">
        <v>3999.0</v>
      </c>
    </row>
    <row r="301">
      <c r="A301" s="10">
        <v>42669.0</v>
      </c>
      <c r="B301" s="11">
        <v>4332.0</v>
      </c>
      <c r="C301" s="12">
        <v>0.5778</v>
      </c>
      <c r="D301" s="2">
        <v>0.001261574074074074</v>
      </c>
      <c r="E301" s="12">
        <v>1.05</v>
      </c>
      <c r="F301" s="12">
        <v>3.31</v>
      </c>
      <c r="G301" s="11">
        <v>15038.0</v>
      </c>
      <c r="H301" s="11">
        <v>4541.0</v>
      </c>
    </row>
    <row r="302">
      <c r="A302" s="10">
        <v>42670.0</v>
      </c>
      <c r="B302" s="11">
        <v>4152.0</v>
      </c>
      <c r="C302" s="12">
        <v>0.575</v>
      </c>
      <c r="D302" s="2">
        <v>0.0014351851851851852</v>
      </c>
      <c r="E302" s="12">
        <v>1.05</v>
      </c>
      <c r="F302" s="12">
        <v>3.85</v>
      </c>
      <c r="G302" s="11">
        <v>16746.0</v>
      </c>
      <c r="H302" s="11">
        <v>4346.0</v>
      </c>
    </row>
    <row r="303">
      <c r="A303" s="10">
        <v>42671.0</v>
      </c>
      <c r="B303" s="11">
        <v>3818.0</v>
      </c>
      <c r="C303" s="12">
        <v>0.5946</v>
      </c>
      <c r="D303" s="2">
        <v>0.0013310185185185185</v>
      </c>
      <c r="E303" s="12">
        <v>1.04</v>
      </c>
      <c r="F303" s="12">
        <v>3.06</v>
      </c>
      <c r="G303" s="11">
        <v>12150.0</v>
      </c>
      <c r="H303" s="11">
        <v>3971.0</v>
      </c>
    </row>
    <row r="304">
      <c r="A304" s="10">
        <v>42672.0</v>
      </c>
      <c r="B304" s="11">
        <v>3013.0</v>
      </c>
      <c r="C304" s="12">
        <v>0.6529</v>
      </c>
      <c r="D304" s="2">
        <v>5.092592592592592E-4</v>
      </c>
      <c r="E304" s="12">
        <v>1.02</v>
      </c>
      <c r="F304" s="12">
        <v>2.18</v>
      </c>
      <c r="G304" s="11">
        <v>6734.0</v>
      </c>
      <c r="H304" s="11">
        <v>3083.0</v>
      </c>
    </row>
    <row r="305">
      <c r="A305" s="10">
        <v>42673.0</v>
      </c>
      <c r="B305" s="11">
        <v>3138.0</v>
      </c>
      <c r="C305" s="12">
        <v>0.6122</v>
      </c>
      <c r="D305" s="2">
        <v>0.0010416666666666667</v>
      </c>
      <c r="E305" s="12">
        <v>1.03</v>
      </c>
      <c r="F305" s="12">
        <v>3.22</v>
      </c>
      <c r="G305" s="11">
        <v>10358.0</v>
      </c>
      <c r="H305" s="11">
        <v>3221.0</v>
      </c>
    </row>
    <row r="306">
      <c r="A306" s="10">
        <v>42674.0</v>
      </c>
      <c r="B306" s="11">
        <v>3707.0</v>
      </c>
      <c r="C306" s="12">
        <v>0.6139</v>
      </c>
      <c r="D306" s="2">
        <v>0.001099537037037037</v>
      </c>
      <c r="E306" s="12">
        <v>1.09</v>
      </c>
      <c r="F306" s="12">
        <v>2.85</v>
      </c>
      <c r="G306" s="11">
        <v>11483.0</v>
      </c>
      <c r="H306" s="11">
        <v>4027.0</v>
      </c>
    </row>
    <row r="307">
      <c r="A307" s="10">
        <v>42675.0</v>
      </c>
      <c r="B307" s="11">
        <v>3832.0</v>
      </c>
      <c r="C307" s="12">
        <v>0.5999</v>
      </c>
      <c r="D307" s="2">
        <v>9.375E-4</v>
      </c>
      <c r="E307" s="12">
        <v>1.03</v>
      </c>
      <c r="F307" s="12">
        <v>2.98</v>
      </c>
      <c r="G307" s="11">
        <v>11789.0</v>
      </c>
      <c r="H307" s="11">
        <v>3957.0</v>
      </c>
    </row>
    <row r="308">
      <c r="A308" s="10">
        <v>42676.0</v>
      </c>
      <c r="B308" s="11">
        <v>3888.0</v>
      </c>
      <c r="C308" s="12">
        <v>0.5714</v>
      </c>
      <c r="D308" s="2">
        <v>0.0014814814814814814</v>
      </c>
      <c r="E308" s="12">
        <v>1.07</v>
      </c>
      <c r="F308" s="12">
        <v>3.72</v>
      </c>
      <c r="G308" s="11">
        <v>15552.0</v>
      </c>
      <c r="H308" s="11">
        <v>4179.0</v>
      </c>
    </row>
    <row r="309">
      <c r="A309" s="10">
        <v>42677.0</v>
      </c>
      <c r="B309" s="11">
        <v>4027.0</v>
      </c>
      <c r="C309" s="12">
        <v>0.5179</v>
      </c>
      <c r="D309" s="2">
        <v>0.0018171296296296297</v>
      </c>
      <c r="E309" s="12">
        <v>1.06</v>
      </c>
      <c r="F309" s="12">
        <v>3.96</v>
      </c>
      <c r="G309" s="11">
        <v>16899.0</v>
      </c>
      <c r="H309" s="11">
        <v>4263.0</v>
      </c>
    </row>
    <row r="310">
      <c r="A310" s="10">
        <v>42678.0</v>
      </c>
      <c r="B310" s="11">
        <v>3624.0</v>
      </c>
      <c r="C310" s="12">
        <v>0.5656</v>
      </c>
      <c r="D310" s="2">
        <v>0.0012037037037037038</v>
      </c>
      <c r="E310" s="12">
        <v>1.05</v>
      </c>
      <c r="F310" s="12">
        <v>3.78</v>
      </c>
      <c r="G310" s="11">
        <v>14399.0</v>
      </c>
      <c r="H310" s="11">
        <v>3805.0</v>
      </c>
    </row>
    <row r="311">
      <c r="A311" s="10">
        <v>42679.0</v>
      </c>
      <c r="B311" s="11">
        <v>3027.0</v>
      </c>
      <c r="C311" s="12">
        <v>0.613</v>
      </c>
      <c r="D311" s="2">
        <v>9.837962962962962E-4</v>
      </c>
      <c r="E311" s="12">
        <v>1.06</v>
      </c>
      <c r="F311" s="12">
        <v>2.61</v>
      </c>
      <c r="G311" s="11">
        <v>8331.0</v>
      </c>
      <c r="H311" s="11">
        <v>3194.0</v>
      </c>
    </row>
    <row r="312">
      <c r="A312" s="10">
        <v>42680.0</v>
      </c>
      <c r="B312" s="11">
        <v>3235.0</v>
      </c>
      <c r="C312" s="12">
        <v>0.5797</v>
      </c>
      <c r="D312" s="2">
        <v>0.0014583333333333334</v>
      </c>
      <c r="E312" s="12">
        <v>1.05</v>
      </c>
      <c r="F312" s="12">
        <v>3.02</v>
      </c>
      <c r="G312" s="11">
        <v>10261.0</v>
      </c>
      <c r="H312" s="11">
        <v>3402.0</v>
      </c>
    </row>
    <row r="313">
      <c r="A313" s="10">
        <v>42681.0</v>
      </c>
      <c r="B313" s="11">
        <v>3888.0</v>
      </c>
      <c r="C313" s="12">
        <v>0.5589</v>
      </c>
      <c r="D313" s="2">
        <v>0.0015046296296296296</v>
      </c>
      <c r="E313" s="12">
        <v>1.06</v>
      </c>
      <c r="F313" s="12">
        <v>4.25</v>
      </c>
      <c r="G313" s="11">
        <v>17523.0</v>
      </c>
      <c r="H313" s="11">
        <v>4124.0</v>
      </c>
    </row>
    <row r="314">
      <c r="A314" s="10">
        <v>42682.0</v>
      </c>
      <c r="B314" s="11">
        <v>3860.0</v>
      </c>
      <c r="C314" s="12">
        <v>0.6056</v>
      </c>
      <c r="D314" s="2">
        <v>9.25925925925926E-4</v>
      </c>
      <c r="E314" s="12">
        <v>1.06</v>
      </c>
      <c r="F314" s="12">
        <v>3.24</v>
      </c>
      <c r="G314" s="11">
        <v>13219.0</v>
      </c>
      <c r="H314" s="11">
        <v>4082.0</v>
      </c>
    </row>
    <row r="315">
      <c r="A315" s="10">
        <v>42683.0</v>
      </c>
      <c r="B315" s="11">
        <v>3791.0</v>
      </c>
      <c r="C315" s="12">
        <v>0.5992</v>
      </c>
      <c r="D315" s="2">
        <v>0.0011226851851851851</v>
      </c>
      <c r="E315" s="12">
        <v>1.05</v>
      </c>
      <c r="F315" s="12">
        <v>2.71</v>
      </c>
      <c r="G315" s="11">
        <v>10803.0</v>
      </c>
      <c r="H315" s="11">
        <v>3985.0</v>
      </c>
    </row>
    <row r="316">
      <c r="A316" s="10">
        <v>42684.0</v>
      </c>
      <c r="B316" s="11">
        <v>4166.0</v>
      </c>
      <c r="C316" s="12">
        <v>0.5276</v>
      </c>
      <c r="D316" s="2">
        <v>9.722222222222222E-4</v>
      </c>
      <c r="E316" s="12">
        <v>1.02</v>
      </c>
      <c r="F316" s="12">
        <v>3.2</v>
      </c>
      <c r="G316" s="11">
        <v>13635.0</v>
      </c>
      <c r="H316" s="11">
        <v>4263.0</v>
      </c>
    </row>
    <row r="317">
      <c r="A317" s="10">
        <v>42685.0</v>
      </c>
      <c r="B317" s="11">
        <v>3749.0</v>
      </c>
      <c r="C317" s="12">
        <v>0.4856</v>
      </c>
      <c r="D317" s="2">
        <v>0.0015046296296296296</v>
      </c>
      <c r="E317" s="12">
        <v>1.04</v>
      </c>
      <c r="F317" s="12">
        <v>3.78</v>
      </c>
      <c r="G317" s="11">
        <v>14691.0</v>
      </c>
      <c r="H317" s="11">
        <v>3888.0</v>
      </c>
    </row>
    <row r="318">
      <c r="A318" s="10">
        <v>42686.0</v>
      </c>
      <c r="B318" s="11">
        <v>3152.0</v>
      </c>
      <c r="C318" s="12">
        <v>0.4998</v>
      </c>
      <c r="D318" s="2">
        <v>8.449074074074074E-4</v>
      </c>
      <c r="E318" s="12">
        <v>1.04</v>
      </c>
      <c r="F318" s="12">
        <v>3.73</v>
      </c>
      <c r="G318" s="11">
        <v>12219.0</v>
      </c>
      <c r="H318" s="11">
        <v>3277.0</v>
      </c>
    </row>
    <row r="319">
      <c r="A319" s="10">
        <v>42687.0</v>
      </c>
      <c r="B319" s="11">
        <v>3083.0</v>
      </c>
      <c r="C319" s="12">
        <v>0.4321</v>
      </c>
      <c r="D319" s="2">
        <v>0.0011574074074074073</v>
      </c>
      <c r="E319" s="12">
        <v>1.06</v>
      </c>
      <c r="F319" s="12">
        <v>3.46</v>
      </c>
      <c r="G319" s="11">
        <v>11344.0</v>
      </c>
      <c r="H319" s="11">
        <v>3277.0</v>
      </c>
    </row>
    <row r="320">
      <c r="A320" s="10">
        <v>42688.0</v>
      </c>
      <c r="B320" s="11">
        <v>4388.0</v>
      </c>
      <c r="C320" s="12">
        <v>0.4161</v>
      </c>
      <c r="D320" s="2">
        <v>0.0015162037037037036</v>
      </c>
      <c r="E320" s="12">
        <v>1.09</v>
      </c>
      <c r="F320" s="12">
        <v>4.81</v>
      </c>
      <c r="G320" s="11">
        <v>23091.0</v>
      </c>
      <c r="H320" s="11">
        <v>4804.0</v>
      </c>
    </row>
    <row r="321">
      <c r="A321" s="10">
        <v>42689.0</v>
      </c>
      <c r="B321" s="11">
        <v>4638.0</v>
      </c>
      <c r="C321" s="12">
        <v>0.4512</v>
      </c>
      <c r="D321" s="2">
        <v>0.001238425925925926</v>
      </c>
      <c r="E321" s="12">
        <v>1.07</v>
      </c>
      <c r="F321" s="12">
        <v>3.4</v>
      </c>
      <c r="G321" s="11">
        <v>16940.0</v>
      </c>
      <c r="H321" s="11">
        <v>4985.0</v>
      </c>
    </row>
    <row r="322">
      <c r="A322" s="10">
        <v>42690.0</v>
      </c>
      <c r="B322" s="11">
        <v>4318.0</v>
      </c>
      <c r="C322" s="12">
        <v>0.4265</v>
      </c>
      <c r="D322" s="2">
        <v>0.0013078703703703703</v>
      </c>
      <c r="E322" s="12">
        <v>1.07</v>
      </c>
      <c r="F322" s="12">
        <v>3.64</v>
      </c>
      <c r="G322" s="11">
        <v>16815.0</v>
      </c>
      <c r="H322" s="11">
        <v>4624.0</v>
      </c>
    </row>
    <row r="323">
      <c r="A323" s="10">
        <v>42691.0</v>
      </c>
      <c r="B323" s="11">
        <v>4124.0</v>
      </c>
      <c r="C323" s="12">
        <v>0.4398</v>
      </c>
      <c r="D323" s="2">
        <v>0.0012962962962962963</v>
      </c>
      <c r="E323" s="12">
        <v>1.06</v>
      </c>
      <c r="F323" s="12">
        <v>3.31</v>
      </c>
      <c r="G323" s="11">
        <v>14538.0</v>
      </c>
      <c r="H323" s="11">
        <v>4388.0</v>
      </c>
    </row>
    <row r="324">
      <c r="A324" s="10">
        <v>42692.0</v>
      </c>
      <c r="B324" s="11">
        <v>3513.0</v>
      </c>
      <c r="C324" s="12">
        <v>0.4158</v>
      </c>
      <c r="D324" s="2">
        <v>0.0014814814814814814</v>
      </c>
      <c r="E324" s="12">
        <v>1.1</v>
      </c>
      <c r="F324" s="12">
        <v>3.93</v>
      </c>
      <c r="G324" s="11">
        <v>15232.0</v>
      </c>
      <c r="H324" s="11">
        <v>3874.0</v>
      </c>
    </row>
    <row r="325">
      <c r="A325" s="10">
        <v>42693.0</v>
      </c>
      <c r="B325" s="11">
        <v>2930.0</v>
      </c>
      <c r="C325" s="12">
        <v>0.4581</v>
      </c>
      <c r="D325" s="2">
        <v>0.0013310185185185185</v>
      </c>
      <c r="E325" s="12">
        <v>1.08</v>
      </c>
      <c r="F325" s="12">
        <v>3.71</v>
      </c>
      <c r="G325" s="11">
        <v>11691.0</v>
      </c>
      <c r="H325" s="11">
        <v>3152.0</v>
      </c>
    </row>
    <row r="326">
      <c r="A326" s="10">
        <v>42694.0</v>
      </c>
      <c r="B326" s="11">
        <v>3305.0</v>
      </c>
      <c r="C326" s="12">
        <v>0.412</v>
      </c>
      <c r="D326" s="2">
        <v>0.0014930555555555556</v>
      </c>
      <c r="E326" s="12">
        <v>1.05</v>
      </c>
      <c r="F326" s="12">
        <v>4.74</v>
      </c>
      <c r="G326" s="11">
        <v>16468.0</v>
      </c>
      <c r="H326" s="11">
        <v>3471.0</v>
      </c>
    </row>
    <row r="327">
      <c r="A327" s="10">
        <v>42695.0</v>
      </c>
      <c r="B327" s="11">
        <v>4179.0</v>
      </c>
      <c r="C327" s="12">
        <v>0.4768</v>
      </c>
      <c r="D327" s="2">
        <v>0.0012962962962962963</v>
      </c>
      <c r="E327" s="12">
        <v>1.08</v>
      </c>
      <c r="F327" s="12">
        <v>3.71</v>
      </c>
      <c r="G327" s="11">
        <v>16732.0</v>
      </c>
      <c r="H327" s="11">
        <v>4513.0</v>
      </c>
    </row>
    <row r="328">
      <c r="A328" s="10">
        <v>42696.0</v>
      </c>
      <c r="B328" s="11">
        <v>4068.0</v>
      </c>
      <c r="C328" s="12">
        <v>0.4365</v>
      </c>
      <c r="D328" s="2">
        <v>0.0010532407407407407</v>
      </c>
      <c r="E328" s="12">
        <v>1.05</v>
      </c>
      <c r="F328" s="12">
        <v>3.38</v>
      </c>
      <c r="G328" s="11">
        <v>14427.0</v>
      </c>
      <c r="H328" s="11">
        <v>4263.0</v>
      </c>
    </row>
    <row r="329">
      <c r="A329" s="10">
        <v>42697.0</v>
      </c>
      <c r="B329" s="11">
        <v>3846.0</v>
      </c>
      <c r="C329" s="12">
        <v>0.485</v>
      </c>
      <c r="D329" s="2">
        <v>0.0011689814814814816</v>
      </c>
      <c r="E329" s="12">
        <v>1.09</v>
      </c>
      <c r="F329" s="12">
        <v>3.13</v>
      </c>
      <c r="G329" s="11">
        <v>13066.0</v>
      </c>
      <c r="H329" s="11">
        <v>4179.0</v>
      </c>
    </row>
    <row r="330">
      <c r="A330" s="10">
        <v>42698.0</v>
      </c>
      <c r="B330" s="11">
        <v>3888.0</v>
      </c>
      <c r="C330" s="12">
        <v>0.4571</v>
      </c>
      <c r="D330" s="2">
        <v>0.0010532407407407407</v>
      </c>
      <c r="E330" s="12">
        <v>1.04</v>
      </c>
      <c r="F330" s="12">
        <v>3.17</v>
      </c>
      <c r="G330" s="11">
        <v>12816.0</v>
      </c>
      <c r="H330" s="11">
        <v>4041.0</v>
      </c>
    </row>
    <row r="331">
      <c r="A331" s="10">
        <v>42699.0</v>
      </c>
      <c r="B331" s="11">
        <v>3971.0</v>
      </c>
      <c r="C331" s="12">
        <v>0.3826</v>
      </c>
      <c r="D331" s="2">
        <v>0.0012268518518518518</v>
      </c>
      <c r="E331" s="12">
        <v>1.04</v>
      </c>
      <c r="F331" s="12">
        <v>3.72</v>
      </c>
      <c r="G331" s="11">
        <v>15399.0</v>
      </c>
      <c r="H331" s="11">
        <v>4138.0</v>
      </c>
    </row>
    <row r="332">
      <c r="A332" s="10">
        <v>42700.0</v>
      </c>
      <c r="B332" s="11">
        <v>3263.0</v>
      </c>
      <c r="C332" s="12">
        <v>0.4332</v>
      </c>
      <c r="D332" s="2">
        <v>0.0011921296296296296</v>
      </c>
      <c r="E332" s="12">
        <v>1.05</v>
      </c>
      <c r="F332" s="12">
        <v>4.01</v>
      </c>
      <c r="G332" s="11">
        <v>13747.0</v>
      </c>
      <c r="H332" s="11">
        <v>3430.0</v>
      </c>
    </row>
    <row r="333">
      <c r="A333" s="10">
        <v>42701.0</v>
      </c>
      <c r="B333" s="11">
        <v>3402.0</v>
      </c>
      <c r="C333" s="12">
        <v>0.4</v>
      </c>
      <c r="D333" s="2">
        <v>0.0016319444444444445</v>
      </c>
      <c r="E333" s="12">
        <v>1.08</v>
      </c>
      <c r="F333" s="12">
        <v>4.4</v>
      </c>
      <c r="G333" s="11">
        <v>16204.0</v>
      </c>
      <c r="H333" s="11">
        <v>3680.0</v>
      </c>
    </row>
    <row r="334">
      <c r="A334" s="10">
        <v>42702.0</v>
      </c>
      <c r="B334" s="11">
        <v>5165.0</v>
      </c>
      <c r="C334" s="12">
        <v>0.375</v>
      </c>
      <c r="D334" s="2">
        <v>0.001724537037037037</v>
      </c>
      <c r="E334" s="12">
        <v>1.05</v>
      </c>
      <c r="F334" s="12">
        <v>4.97</v>
      </c>
      <c r="G334" s="11">
        <v>27063.0</v>
      </c>
      <c r="H334" s="11">
        <v>5443.0</v>
      </c>
    </row>
    <row r="335">
      <c r="A335" s="10">
        <v>42703.0</v>
      </c>
      <c r="B335" s="11">
        <v>4499.0</v>
      </c>
      <c r="C335" s="12">
        <v>0.4044</v>
      </c>
      <c r="D335" s="2">
        <v>0.0013194444444444445</v>
      </c>
      <c r="E335" s="12">
        <v>1.1</v>
      </c>
      <c r="F335" s="12">
        <v>4.16</v>
      </c>
      <c r="G335" s="11">
        <v>20564.0</v>
      </c>
      <c r="H335" s="11">
        <v>4943.0</v>
      </c>
    </row>
    <row r="336">
      <c r="A336" s="10">
        <v>42704.0</v>
      </c>
      <c r="B336" s="11">
        <v>4610.0</v>
      </c>
      <c r="C336" s="12">
        <v>0.4763</v>
      </c>
      <c r="D336" s="2">
        <v>0.0014814814814814814</v>
      </c>
      <c r="E336" s="12">
        <v>1.08</v>
      </c>
      <c r="F336" s="12">
        <v>3.92</v>
      </c>
      <c r="G336" s="11">
        <v>19440.0</v>
      </c>
      <c r="H336" s="11">
        <v>4957.0</v>
      </c>
    </row>
    <row r="337">
      <c r="A337" s="10">
        <v>42705.0</v>
      </c>
      <c r="B337" s="11">
        <v>4263.0</v>
      </c>
      <c r="C337" s="12">
        <v>0.4397</v>
      </c>
      <c r="D337" s="2">
        <v>0.0016898148148148148</v>
      </c>
      <c r="E337" s="12">
        <v>1.05</v>
      </c>
      <c r="F337" s="12">
        <v>4.27</v>
      </c>
      <c r="G337" s="11">
        <v>19134.0</v>
      </c>
      <c r="H337" s="11">
        <v>4485.0</v>
      </c>
    </row>
    <row r="338">
      <c r="A338" s="10">
        <v>42706.0</v>
      </c>
      <c r="B338" s="11">
        <v>3694.0</v>
      </c>
      <c r="C338" s="12">
        <v>0.4121</v>
      </c>
      <c r="D338" s="2">
        <v>0.0016319444444444445</v>
      </c>
      <c r="E338" s="12">
        <v>1.07</v>
      </c>
      <c r="F338" s="12">
        <v>4.25</v>
      </c>
      <c r="G338" s="11">
        <v>16746.0</v>
      </c>
      <c r="H338" s="11">
        <v>3943.0</v>
      </c>
    </row>
    <row r="339">
      <c r="A339" s="10">
        <v>42707.0</v>
      </c>
      <c r="B339" s="11">
        <v>2971.0</v>
      </c>
      <c r="C339" s="12">
        <v>0.4312</v>
      </c>
      <c r="D339" s="2">
        <v>0.0016898148148148148</v>
      </c>
      <c r="E339" s="12">
        <v>1.08</v>
      </c>
      <c r="F339" s="12">
        <v>4.4</v>
      </c>
      <c r="G339" s="11">
        <v>14177.0</v>
      </c>
      <c r="H339" s="11">
        <v>3221.0</v>
      </c>
    </row>
    <row r="340">
      <c r="A340" s="10">
        <v>42708.0</v>
      </c>
      <c r="B340" s="11">
        <v>3166.0</v>
      </c>
      <c r="C340" s="12">
        <v>0.4487</v>
      </c>
      <c r="D340" s="2">
        <v>0.0012731481481481483</v>
      </c>
      <c r="E340" s="12">
        <v>1.07</v>
      </c>
      <c r="F340" s="12">
        <v>4.0</v>
      </c>
      <c r="G340" s="11">
        <v>13483.0</v>
      </c>
      <c r="H340" s="11">
        <v>3374.0</v>
      </c>
    </row>
    <row r="341">
      <c r="A341" s="10">
        <v>42709.0</v>
      </c>
      <c r="B341" s="11">
        <v>4263.0</v>
      </c>
      <c r="C341" s="12">
        <v>0.4151</v>
      </c>
      <c r="D341" s="2">
        <v>0.0016435185185185185</v>
      </c>
      <c r="E341" s="12">
        <v>1.07</v>
      </c>
      <c r="F341" s="12">
        <v>4.99</v>
      </c>
      <c r="G341" s="11">
        <v>22855.0</v>
      </c>
      <c r="H341" s="11">
        <v>4582.0</v>
      </c>
    </row>
    <row r="342">
      <c r="A342" s="10">
        <v>42710.0</v>
      </c>
      <c r="B342" s="11">
        <v>2985.0</v>
      </c>
      <c r="C342" s="12">
        <v>0.3942</v>
      </c>
      <c r="D342" s="2">
        <v>0.0024652777777777776</v>
      </c>
      <c r="E342" s="12">
        <v>1.12</v>
      </c>
      <c r="F342" s="12">
        <v>5.47</v>
      </c>
      <c r="G342" s="11">
        <v>18287.0</v>
      </c>
      <c r="H342" s="11">
        <v>3346.0</v>
      </c>
    </row>
    <row r="343">
      <c r="A343" s="10">
        <v>42711.0</v>
      </c>
      <c r="B343" s="11">
        <v>2860.0</v>
      </c>
      <c r="C343" s="12">
        <v>0.3794</v>
      </c>
      <c r="D343" s="2">
        <v>0.002476851851851852</v>
      </c>
      <c r="E343" s="12">
        <v>1.09</v>
      </c>
      <c r="F343" s="12">
        <v>5.75</v>
      </c>
      <c r="G343" s="11">
        <v>17870.0</v>
      </c>
      <c r="H343" s="11">
        <v>3110.0</v>
      </c>
    </row>
    <row r="344">
      <c r="A344" s="10">
        <v>42712.0</v>
      </c>
      <c r="B344" s="11">
        <v>3096.0</v>
      </c>
      <c r="C344" s="12">
        <v>0.4214</v>
      </c>
      <c r="D344" s="2">
        <v>0.002002314814814815</v>
      </c>
      <c r="E344" s="12">
        <v>1.09</v>
      </c>
      <c r="F344" s="12">
        <v>5.16</v>
      </c>
      <c r="G344" s="11">
        <v>17329.0</v>
      </c>
      <c r="H344" s="11">
        <v>3360.0</v>
      </c>
    </row>
    <row r="345">
      <c r="A345" s="10">
        <v>42713.0</v>
      </c>
      <c r="B345" s="11">
        <v>2749.0</v>
      </c>
      <c r="C345" s="12">
        <v>0.3891</v>
      </c>
      <c r="D345" s="2">
        <v>0.0021296296296296298</v>
      </c>
      <c r="E345" s="12">
        <v>1.12</v>
      </c>
      <c r="F345" s="12">
        <v>6.36</v>
      </c>
      <c r="G345" s="11">
        <v>19523.0</v>
      </c>
      <c r="H345" s="11">
        <v>3069.0</v>
      </c>
    </row>
    <row r="346">
      <c r="A346" s="10">
        <v>42714.0</v>
      </c>
      <c r="B346" s="11">
        <v>2055.0</v>
      </c>
      <c r="C346" s="12">
        <v>0.4346</v>
      </c>
      <c r="D346" s="2">
        <v>0.0023148148148148147</v>
      </c>
      <c r="E346" s="12">
        <v>1.14</v>
      </c>
      <c r="F346" s="12">
        <v>5.26</v>
      </c>
      <c r="G346" s="11">
        <v>12261.0</v>
      </c>
      <c r="H346" s="11">
        <v>2333.0</v>
      </c>
    </row>
    <row r="347">
      <c r="A347" s="10">
        <v>42715.0</v>
      </c>
      <c r="B347" s="11">
        <v>2166.0</v>
      </c>
      <c r="C347" s="12">
        <v>0.4381</v>
      </c>
      <c r="D347" s="2">
        <v>0.0022916666666666667</v>
      </c>
      <c r="E347" s="12">
        <v>1.14</v>
      </c>
      <c r="F347" s="12">
        <v>5.83</v>
      </c>
      <c r="G347" s="11">
        <v>14413.0</v>
      </c>
      <c r="H347" s="11">
        <v>2472.0</v>
      </c>
    </row>
    <row r="348">
      <c r="A348" s="10">
        <v>42716.0</v>
      </c>
      <c r="B348" s="11">
        <v>3374.0</v>
      </c>
      <c r="C348" s="12">
        <v>0.3416</v>
      </c>
      <c r="D348" s="2">
        <v>0.0028703703703703703</v>
      </c>
      <c r="E348" s="12">
        <v>1.16</v>
      </c>
      <c r="F348" s="12">
        <v>7.3</v>
      </c>
      <c r="G348" s="11">
        <v>28493.0</v>
      </c>
      <c r="H348" s="11">
        <v>3902.0</v>
      </c>
    </row>
    <row r="349">
      <c r="A349" s="10">
        <v>42717.0</v>
      </c>
      <c r="B349" s="11">
        <v>2985.0</v>
      </c>
      <c r="C349" s="12">
        <v>0.4015</v>
      </c>
      <c r="D349" s="2">
        <v>0.002372685185185185</v>
      </c>
      <c r="E349" s="12">
        <v>1.18</v>
      </c>
      <c r="F349" s="12">
        <v>5.29</v>
      </c>
      <c r="G349" s="11">
        <v>18648.0</v>
      </c>
      <c r="H349" s="11">
        <v>3527.0</v>
      </c>
    </row>
    <row r="350">
      <c r="A350" s="10">
        <v>42718.0</v>
      </c>
      <c r="B350" s="11">
        <v>2888.0</v>
      </c>
      <c r="C350" s="12">
        <v>0.4093</v>
      </c>
      <c r="D350" s="2">
        <v>0.001979166666666667</v>
      </c>
      <c r="E350" s="12">
        <v>1.14</v>
      </c>
      <c r="F350" s="12">
        <v>5.5</v>
      </c>
      <c r="G350" s="11">
        <v>18107.0</v>
      </c>
      <c r="H350" s="11">
        <v>3291.0</v>
      </c>
    </row>
    <row r="351">
      <c r="A351" s="10">
        <v>42719.0</v>
      </c>
      <c r="B351" s="11">
        <v>2944.0</v>
      </c>
      <c r="C351" s="12">
        <v>0.4488</v>
      </c>
      <c r="D351" s="2">
        <v>0.0021064814814814813</v>
      </c>
      <c r="E351" s="12">
        <v>1.1</v>
      </c>
      <c r="F351" s="12">
        <v>6.0</v>
      </c>
      <c r="G351" s="11">
        <v>19509.0</v>
      </c>
      <c r="H351" s="11">
        <v>3249.0</v>
      </c>
    </row>
    <row r="352">
      <c r="A352" s="10">
        <v>42720.0</v>
      </c>
      <c r="B352" s="11">
        <v>2874.0</v>
      </c>
      <c r="C352" s="12">
        <v>0.4052</v>
      </c>
      <c r="D352" s="2">
        <v>0.0018865740740740742</v>
      </c>
      <c r="E352" s="12">
        <v>1.12</v>
      </c>
      <c r="F352" s="12">
        <v>4.71</v>
      </c>
      <c r="G352" s="11">
        <v>15163.0</v>
      </c>
      <c r="H352" s="11">
        <v>3221.0</v>
      </c>
    </row>
    <row r="353">
      <c r="A353" s="10">
        <v>42721.0</v>
      </c>
      <c r="B353" s="11">
        <v>2347.0</v>
      </c>
      <c r="C353" s="12">
        <v>0.4023</v>
      </c>
      <c r="D353" s="2">
        <v>0.0019444444444444444</v>
      </c>
      <c r="E353" s="12">
        <v>1.09</v>
      </c>
      <c r="F353" s="12">
        <v>5.27</v>
      </c>
      <c r="G353" s="11">
        <v>13455.0</v>
      </c>
      <c r="H353" s="11">
        <v>2555.0</v>
      </c>
    </row>
    <row r="354">
      <c r="A354" s="10">
        <v>42722.0</v>
      </c>
      <c r="B354" s="11">
        <v>2111.0</v>
      </c>
      <c r="C354" s="12">
        <v>0.4058</v>
      </c>
      <c r="D354" s="2">
        <v>0.0019328703703703704</v>
      </c>
      <c r="E354" s="12">
        <v>1.12</v>
      </c>
      <c r="F354" s="12">
        <v>5.43</v>
      </c>
      <c r="G354" s="11">
        <v>12816.0</v>
      </c>
      <c r="H354" s="11">
        <v>2361.0</v>
      </c>
    </row>
    <row r="355">
      <c r="A355" s="10">
        <v>42723.0</v>
      </c>
      <c r="B355" s="11">
        <v>3263.0</v>
      </c>
      <c r="C355" s="12">
        <v>0.3854</v>
      </c>
      <c r="D355" s="2">
        <v>0.001979166666666667</v>
      </c>
      <c r="E355" s="12">
        <v>1.11</v>
      </c>
      <c r="F355" s="12">
        <v>5.18</v>
      </c>
      <c r="G355" s="11">
        <v>18829.0</v>
      </c>
      <c r="H355" s="11">
        <v>3638.0</v>
      </c>
    </row>
    <row r="356">
      <c r="A356" s="10">
        <v>42724.0</v>
      </c>
      <c r="B356" s="11">
        <v>2999.0</v>
      </c>
      <c r="C356" s="12">
        <v>0.37</v>
      </c>
      <c r="D356" s="2">
        <v>0.002002314814814815</v>
      </c>
      <c r="E356" s="12">
        <v>1.14</v>
      </c>
      <c r="F356" s="12">
        <v>5.45</v>
      </c>
      <c r="G356" s="11">
        <v>18606.0</v>
      </c>
      <c r="H356" s="11">
        <v>3416.0</v>
      </c>
    </row>
    <row r="357">
      <c r="A357" s="10">
        <v>42725.0</v>
      </c>
      <c r="B357" s="11">
        <v>2610.0</v>
      </c>
      <c r="C357" s="12">
        <v>0.4951</v>
      </c>
      <c r="D357" s="2">
        <v>0.0015625</v>
      </c>
      <c r="E357" s="12">
        <v>1.1</v>
      </c>
      <c r="F357" s="12">
        <v>4.3</v>
      </c>
      <c r="G357" s="11">
        <v>12302.0</v>
      </c>
      <c r="H357" s="11">
        <v>2860.0</v>
      </c>
    </row>
    <row r="358">
      <c r="A358" s="10">
        <v>42726.0</v>
      </c>
      <c r="B358" s="11">
        <v>2138.0</v>
      </c>
      <c r="C358" s="12">
        <v>0.4911</v>
      </c>
      <c r="D358" s="2">
        <v>0.0019675925925925924</v>
      </c>
      <c r="E358" s="12">
        <v>1.07</v>
      </c>
      <c r="F358" s="12">
        <v>4.2</v>
      </c>
      <c r="G358" s="11">
        <v>9623.0</v>
      </c>
      <c r="H358" s="11">
        <v>2291.0</v>
      </c>
    </row>
    <row r="359">
      <c r="A359" s="10">
        <v>42727.0</v>
      </c>
      <c r="B359" s="11">
        <v>1652.0</v>
      </c>
      <c r="C359" s="12">
        <v>0.424</v>
      </c>
      <c r="D359" s="2">
        <v>0.0013310185185185185</v>
      </c>
      <c r="E359" s="12">
        <v>1.05</v>
      </c>
      <c r="F359" s="12">
        <v>3.61</v>
      </c>
      <c r="G359" s="11">
        <v>6262.0</v>
      </c>
      <c r="H359" s="11">
        <v>1736.0</v>
      </c>
    </row>
    <row r="360">
      <c r="A360" s="10">
        <v>42728.0</v>
      </c>
      <c r="B360" s="11">
        <v>1264.0</v>
      </c>
      <c r="C360" s="12">
        <v>0.4738</v>
      </c>
      <c r="D360" s="2">
        <v>0.0011458333333333333</v>
      </c>
      <c r="E360" s="12">
        <v>1.04</v>
      </c>
      <c r="F360" s="12">
        <v>3.34</v>
      </c>
      <c r="G360" s="11">
        <v>4402.0</v>
      </c>
      <c r="H360" s="11">
        <v>1319.0</v>
      </c>
    </row>
    <row r="361">
      <c r="A361" s="10">
        <v>42729.0</v>
      </c>
      <c r="B361" s="11">
        <v>1361.0</v>
      </c>
      <c r="C361" s="12">
        <v>0.5374</v>
      </c>
      <c r="D361" s="2">
        <v>0.0016550925925925926</v>
      </c>
      <c r="E361" s="12">
        <v>1.08</v>
      </c>
      <c r="F361" s="12">
        <v>3.68</v>
      </c>
      <c r="G361" s="11">
        <v>5415.0</v>
      </c>
      <c r="H361" s="11">
        <v>1472.0</v>
      </c>
    </row>
    <row r="362">
      <c r="A362" s="10">
        <v>42730.0</v>
      </c>
      <c r="B362" s="11">
        <v>1555.0</v>
      </c>
      <c r="C362" s="12">
        <v>0.46</v>
      </c>
      <c r="D362" s="2">
        <v>0.0018865740740740742</v>
      </c>
      <c r="E362" s="12">
        <v>1.13</v>
      </c>
      <c r="F362" s="12">
        <v>4.4</v>
      </c>
      <c r="G362" s="11">
        <v>7693.0</v>
      </c>
      <c r="H362" s="11">
        <v>1750.0</v>
      </c>
    </row>
    <row r="363">
      <c r="A363" s="10">
        <v>42731.0</v>
      </c>
      <c r="B363" s="11">
        <v>1916.0</v>
      </c>
      <c r="C363" s="12">
        <v>0.4079</v>
      </c>
      <c r="D363" s="2">
        <v>0.0018865740740740742</v>
      </c>
      <c r="E363" s="12">
        <v>1.1</v>
      </c>
      <c r="F363" s="12">
        <v>4.85</v>
      </c>
      <c r="G363" s="11">
        <v>10234.0</v>
      </c>
      <c r="H363" s="11">
        <v>2111.0</v>
      </c>
    </row>
    <row r="364">
      <c r="A364" s="10">
        <v>42732.0</v>
      </c>
      <c r="B364" s="11">
        <v>1819.0</v>
      </c>
      <c r="C364" s="12">
        <v>0.3377</v>
      </c>
      <c r="D364" s="2">
        <v>0.0022222222222222222</v>
      </c>
      <c r="E364" s="12">
        <v>1.08</v>
      </c>
      <c r="F364" s="12">
        <v>5.91</v>
      </c>
      <c r="G364" s="11">
        <v>11650.0</v>
      </c>
      <c r="H364" s="11">
        <v>1972.0</v>
      </c>
    </row>
    <row r="365">
      <c r="A365" s="10">
        <v>42733.0</v>
      </c>
      <c r="B365" s="11">
        <v>1652.0</v>
      </c>
      <c r="C365" s="12">
        <v>0.4277</v>
      </c>
      <c r="D365" s="2">
        <v>0.0016782407407407408</v>
      </c>
      <c r="E365" s="12">
        <v>1.1</v>
      </c>
      <c r="F365" s="12">
        <v>4.47</v>
      </c>
      <c r="G365" s="11">
        <v>8137.0</v>
      </c>
      <c r="H365" s="11">
        <v>1819.0</v>
      </c>
    </row>
    <row r="366">
      <c r="A366" s="10">
        <v>42734.0</v>
      </c>
      <c r="B366" s="11">
        <v>1180.0</v>
      </c>
      <c r="C366" s="12">
        <v>0.4078</v>
      </c>
      <c r="D366" s="2">
        <v>0.0025925925925925925</v>
      </c>
      <c r="E366" s="12">
        <v>1.15</v>
      </c>
      <c r="F366" s="12">
        <v>6.29</v>
      </c>
      <c r="G366" s="11">
        <v>8567.0</v>
      </c>
      <c r="H366" s="11">
        <v>1361.0</v>
      </c>
    </row>
    <row r="367">
      <c r="A367" s="10">
        <v>42735.0</v>
      </c>
      <c r="B367" s="11">
        <v>1236.0</v>
      </c>
      <c r="C367" s="12">
        <v>0.4467</v>
      </c>
      <c r="D367" s="2">
        <v>0.0015972222222222223</v>
      </c>
      <c r="E367" s="12">
        <v>1.06</v>
      </c>
      <c r="F367" s="12">
        <v>4.11</v>
      </c>
      <c r="G367" s="11">
        <v>5360.0</v>
      </c>
      <c r="H367" s="11">
        <v>1305.0</v>
      </c>
    </row>
    <row r="368">
      <c r="A368" s="10">
        <v>42736.0</v>
      </c>
      <c r="B368" s="11">
        <v>1347.0</v>
      </c>
      <c r="C368" s="12">
        <v>0.5236</v>
      </c>
      <c r="D368" s="2">
        <v>0.001388888888888889</v>
      </c>
      <c r="E368" s="12">
        <v>1.1</v>
      </c>
      <c r="F368" s="12">
        <v>4.76</v>
      </c>
      <c r="G368" s="11">
        <v>7068.0</v>
      </c>
      <c r="H368" s="11">
        <v>1486.0</v>
      </c>
    </row>
    <row r="369">
      <c r="A369" s="10">
        <v>42737.0</v>
      </c>
      <c r="B369" s="11">
        <v>1652.0</v>
      </c>
      <c r="C369" s="12">
        <v>0.5122</v>
      </c>
      <c r="D369" s="2">
        <v>0.0012037037037037038</v>
      </c>
      <c r="E369" s="12">
        <v>1.07</v>
      </c>
      <c r="F369" s="12">
        <v>4.28</v>
      </c>
      <c r="G369" s="11">
        <v>7554.0</v>
      </c>
      <c r="H369" s="11">
        <v>1763.0</v>
      </c>
    </row>
    <row r="370">
      <c r="A370" s="10">
        <v>42738.0</v>
      </c>
      <c r="B370" s="11">
        <v>2458.0</v>
      </c>
      <c r="C370" s="12">
        <v>0.3638</v>
      </c>
      <c r="D370" s="2">
        <v>0.0025</v>
      </c>
      <c r="E370" s="12">
        <v>1.12</v>
      </c>
      <c r="F370" s="12">
        <v>6.08</v>
      </c>
      <c r="G370" s="11">
        <v>16704.0</v>
      </c>
      <c r="H370" s="11">
        <v>2749.0</v>
      </c>
    </row>
    <row r="371">
      <c r="A371" s="10">
        <v>42739.0</v>
      </c>
      <c r="B371" s="11">
        <v>2361.0</v>
      </c>
      <c r="C371" s="12">
        <v>0.3264</v>
      </c>
      <c r="D371" s="2">
        <v>0.0026157407407407405</v>
      </c>
      <c r="E371" s="12">
        <v>1.12</v>
      </c>
      <c r="F371" s="12">
        <v>5.8</v>
      </c>
      <c r="G371" s="11">
        <v>15302.0</v>
      </c>
      <c r="H371" s="11">
        <v>2638.0</v>
      </c>
    </row>
    <row r="372">
      <c r="A372" s="10">
        <v>42740.0</v>
      </c>
      <c r="B372" s="11">
        <v>2291.0</v>
      </c>
      <c r="C372" s="12">
        <v>0.339</v>
      </c>
      <c r="D372" s="2">
        <v>0.001851851851851852</v>
      </c>
      <c r="E372" s="12">
        <v>1.05</v>
      </c>
      <c r="F372" s="12">
        <v>5.01</v>
      </c>
      <c r="G372" s="11">
        <v>12094.0</v>
      </c>
      <c r="H372" s="11">
        <v>2416.0</v>
      </c>
    </row>
    <row r="373">
      <c r="A373" s="10">
        <v>42741.0</v>
      </c>
      <c r="B373" s="11">
        <v>2069.0</v>
      </c>
      <c r="C373" s="12">
        <v>0.4562</v>
      </c>
      <c r="D373" s="2">
        <v>0.0015972222222222223</v>
      </c>
      <c r="E373" s="12">
        <v>1.15</v>
      </c>
      <c r="F373" s="12">
        <v>4.37</v>
      </c>
      <c r="G373" s="11">
        <v>10372.0</v>
      </c>
      <c r="H373" s="11">
        <v>2374.0</v>
      </c>
    </row>
    <row r="374">
      <c r="A374" s="10">
        <v>42742.0</v>
      </c>
      <c r="B374" s="11">
        <v>1638.0</v>
      </c>
      <c r="C374" s="12">
        <v>0.4756</v>
      </c>
      <c r="D374" s="2">
        <v>0.0011689814814814816</v>
      </c>
      <c r="E374" s="12">
        <v>1.05</v>
      </c>
      <c r="F374" s="12">
        <v>4.06</v>
      </c>
      <c r="G374" s="11">
        <v>6998.0</v>
      </c>
      <c r="H374" s="11">
        <v>1722.0</v>
      </c>
    </row>
    <row r="375">
      <c r="A375" s="10">
        <v>42743.0</v>
      </c>
      <c r="B375" s="11">
        <v>1638.0</v>
      </c>
      <c r="C375" s="12">
        <v>0.5042</v>
      </c>
      <c r="D375" s="2">
        <v>0.001990740740740741</v>
      </c>
      <c r="E375" s="12">
        <v>1.09</v>
      </c>
      <c r="F375" s="12">
        <v>4.86</v>
      </c>
      <c r="G375" s="11">
        <v>8706.0</v>
      </c>
      <c r="H375" s="11">
        <v>1791.0</v>
      </c>
    </row>
    <row r="376">
      <c r="A376" s="10">
        <v>42744.0</v>
      </c>
      <c r="B376" s="11">
        <v>2236.0</v>
      </c>
      <c r="C376" s="12">
        <v>0.4142</v>
      </c>
      <c r="D376" s="2">
        <v>0.0020601851851851853</v>
      </c>
      <c r="E376" s="12">
        <v>1.12</v>
      </c>
      <c r="F376" s="12">
        <v>4.45</v>
      </c>
      <c r="G376" s="11">
        <v>11178.0</v>
      </c>
      <c r="H376" s="11">
        <v>2513.0</v>
      </c>
    </row>
    <row r="377">
      <c r="A377" s="10">
        <v>42745.0</v>
      </c>
      <c r="B377" s="11">
        <v>2208.0</v>
      </c>
      <c r="C377" s="12">
        <v>0.4438</v>
      </c>
      <c r="D377" s="2">
        <v>0.0021296296296296298</v>
      </c>
      <c r="E377" s="12">
        <v>1.12</v>
      </c>
      <c r="F377" s="12">
        <v>5.99</v>
      </c>
      <c r="G377" s="11">
        <v>14816.0</v>
      </c>
      <c r="H377" s="11">
        <v>2472.0</v>
      </c>
    </row>
    <row r="378">
      <c r="A378" s="10">
        <v>42746.0</v>
      </c>
      <c r="B378" s="11">
        <v>2194.0</v>
      </c>
      <c r="C378" s="12">
        <v>0.5348</v>
      </c>
      <c r="D378" s="2">
        <v>0.0017476851851851852</v>
      </c>
      <c r="E378" s="12">
        <v>1.09</v>
      </c>
      <c r="F378" s="12">
        <v>4.48</v>
      </c>
      <c r="G378" s="11">
        <v>10692.0</v>
      </c>
      <c r="H378" s="11">
        <v>2388.0</v>
      </c>
    </row>
    <row r="379">
      <c r="A379" s="10">
        <v>42747.0</v>
      </c>
      <c r="B379" s="11">
        <v>2124.0</v>
      </c>
      <c r="C379" s="12">
        <v>0.4271</v>
      </c>
      <c r="D379" s="2">
        <v>0.002002314814814815</v>
      </c>
      <c r="E379" s="12">
        <v>1.12</v>
      </c>
      <c r="F379" s="12">
        <v>5.15</v>
      </c>
      <c r="G379" s="11">
        <v>12219.0</v>
      </c>
      <c r="H379" s="11">
        <v>2374.0</v>
      </c>
    </row>
    <row r="380">
      <c r="A380" s="10">
        <v>42748.0</v>
      </c>
      <c r="B380" s="11">
        <v>2027.0</v>
      </c>
      <c r="C380" s="12">
        <v>0.4116</v>
      </c>
      <c r="D380" s="2">
        <v>0.0019444444444444444</v>
      </c>
      <c r="E380" s="12">
        <v>1.08</v>
      </c>
      <c r="F380" s="12">
        <v>4.93</v>
      </c>
      <c r="G380" s="11">
        <v>10817.0</v>
      </c>
      <c r="H380" s="11">
        <v>2194.0</v>
      </c>
    </row>
    <row r="381">
      <c r="A381" s="10">
        <v>42749.0</v>
      </c>
      <c r="B381" s="11">
        <v>1500.0</v>
      </c>
      <c r="C381" s="12">
        <v>0.4408</v>
      </c>
      <c r="D381" s="2">
        <v>0.0024189814814814816</v>
      </c>
      <c r="E381" s="12">
        <v>1.09</v>
      </c>
      <c r="F381" s="12">
        <v>5.0</v>
      </c>
      <c r="G381" s="11">
        <v>8192.0</v>
      </c>
      <c r="H381" s="11">
        <v>1638.0</v>
      </c>
    </row>
    <row r="382">
      <c r="A382" s="10">
        <v>42750.0</v>
      </c>
      <c r="B382" s="11">
        <v>1625.0</v>
      </c>
      <c r="C382" s="12">
        <v>0.4473</v>
      </c>
      <c r="D382" s="2">
        <v>0.0013541666666666667</v>
      </c>
      <c r="E382" s="12">
        <v>1.05</v>
      </c>
      <c r="F382" s="12">
        <v>4.44</v>
      </c>
      <c r="G382" s="11">
        <v>7581.0</v>
      </c>
      <c r="H382" s="11">
        <v>1708.0</v>
      </c>
    </row>
    <row r="383">
      <c r="A383" s="10">
        <v>42751.0</v>
      </c>
      <c r="B383" s="11">
        <v>1916.0</v>
      </c>
      <c r="C383" s="12">
        <v>0.5202</v>
      </c>
      <c r="D383" s="2">
        <v>0.001979166666666667</v>
      </c>
      <c r="E383" s="12">
        <v>1.07</v>
      </c>
      <c r="F383" s="12">
        <v>4.33</v>
      </c>
      <c r="G383" s="11">
        <v>8901.0</v>
      </c>
      <c r="H383" s="11">
        <v>2055.0</v>
      </c>
    </row>
    <row r="384">
      <c r="A384" s="10">
        <v>42752.0</v>
      </c>
      <c r="B384" s="11">
        <v>2402.0</v>
      </c>
      <c r="C384" s="12">
        <v>0.4306</v>
      </c>
      <c r="D384" s="2">
        <v>0.0016435185185185185</v>
      </c>
      <c r="E384" s="12">
        <v>1.13</v>
      </c>
      <c r="F384" s="12">
        <v>4.07</v>
      </c>
      <c r="G384" s="11">
        <v>11011.0</v>
      </c>
      <c r="H384" s="11">
        <v>2708.0</v>
      </c>
    </row>
    <row r="385">
      <c r="A385" s="10">
        <v>42753.0</v>
      </c>
      <c r="B385" s="11">
        <v>2208.0</v>
      </c>
      <c r="C385" s="12">
        <v>0.4058</v>
      </c>
      <c r="D385" s="2">
        <v>0.002824074074074074</v>
      </c>
      <c r="E385" s="12">
        <v>1.13</v>
      </c>
      <c r="F385" s="12">
        <v>5.91</v>
      </c>
      <c r="G385" s="11">
        <v>14760.0</v>
      </c>
      <c r="H385" s="11">
        <v>2499.0</v>
      </c>
    </row>
    <row r="386">
      <c r="A386" s="10">
        <v>42754.0</v>
      </c>
      <c r="B386" s="11">
        <v>2069.0</v>
      </c>
      <c r="C386" s="12">
        <v>0.5185</v>
      </c>
      <c r="D386" s="2">
        <v>0.001875</v>
      </c>
      <c r="E386" s="12">
        <v>1.09</v>
      </c>
      <c r="F386" s="12">
        <v>3.49</v>
      </c>
      <c r="G386" s="11">
        <v>7859.0</v>
      </c>
      <c r="H386" s="11">
        <v>2249.0</v>
      </c>
    </row>
    <row r="387">
      <c r="A387" s="10">
        <v>42755.0</v>
      </c>
      <c r="B387" s="11">
        <v>2111.0</v>
      </c>
      <c r="C387" s="12">
        <v>0.433</v>
      </c>
      <c r="D387" s="2">
        <v>0.0028125</v>
      </c>
      <c r="E387" s="12">
        <v>1.08</v>
      </c>
      <c r="F387" s="12">
        <v>4.76</v>
      </c>
      <c r="G387" s="11">
        <v>10844.0</v>
      </c>
      <c r="H387" s="11">
        <v>2277.0</v>
      </c>
    </row>
    <row r="388">
      <c r="A388" s="10">
        <v>42756.0</v>
      </c>
      <c r="B388" s="11">
        <v>1611.0</v>
      </c>
      <c r="C388" s="12">
        <v>0.5075</v>
      </c>
      <c r="D388" s="2">
        <v>0.0010300925925925926</v>
      </c>
      <c r="E388" s="12">
        <v>1.12</v>
      </c>
      <c r="F388" s="12">
        <v>3.05</v>
      </c>
      <c r="G388" s="11">
        <v>5499.0</v>
      </c>
      <c r="H388" s="11">
        <v>1805.0</v>
      </c>
    </row>
    <row r="389">
      <c r="A389" s="10">
        <v>42757.0</v>
      </c>
      <c r="B389" s="11">
        <v>1611.0</v>
      </c>
      <c r="C389" s="12">
        <v>0.4627</v>
      </c>
      <c r="D389" s="2">
        <v>0.002638888888888889</v>
      </c>
      <c r="E389" s="12">
        <v>1.16</v>
      </c>
      <c r="F389" s="12">
        <v>4.33</v>
      </c>
      <c r="G389" s="11">
        <v>8054.0</v>
      </c>
      <c r="H389" s="11">
        <v>1861.0</v>
      </c>
    </row>
    <row r="390">
      <c r="A390" s="10">
        <v>42758.0</v>
      </c>
      <c r="B390" s="11">
        <v>2180.0</v>
      </c>
      <c r="C390" s="12">
        <v>0.4887</v>
      </c>
      <c r="D390" s="2">
        <v>0.002199074074074074</v>
      </c>
      <c r="E390" s="12">
        <v>1.13</v>
      </c>
      <c r="F390" s="12">
        <v>4.71</v>
      </c>
      <c r="G390" s="11">
        <v>11636.0</v>
      </c>
      <c r="H390" s="11">
        <v>2472.0</v>
      </c>
    </row>
    <row r="391">
      <c r="A391" s="10">
        <v>42759.0</v>
      </c>
      <c r="B391" s="11">
        <v>3707.0</v>
      </c>
      <c r="C391" s="12">
        <v>0.4604</v>
      </c>
      <c r="D391" s="2">
        <v>0.0014583333333333334</v>
      </c>
      <c r="E391" s="12">
        <v>1.04</v>
      </c>
      <c r="F391" s="12">
        <v>3.91</v>
      </c>
      <c r="G391" s="11">
        <v>15080.0</v>
      </c>
      <c r="H391" s="11">
        <v>3860.0</v>
      </c>
    </row>
    <row r="392">
      <c r="A392" s="10">
        <v>42760.0</v>
      </c>
      <c r="B392" s="11">
        <v>2888.0</v>
      </c>
      <c r="C392" s="12">
        <v>0.4609</v>
      </c>
      <c r="D392" s="2">
        <v>0.0016782407407407408</v>
      </c>
      <c r="E392" s="12">
        <v>1.11</v>
      </c>
      <c r="F392" s="12">
        <v>4.99</v>
      </c>
      <c r="G392" s="11">
        <v>15927.0</v>
      </c>
      <c r="H392" s="11">
        <v>3194.0</v>
      </c>
    </row>
    <row r="393">
      <c r="A393" s="10">
        <v>42761.0</v>
      </c>
      <c r="B393" s="11">
        <v>2194.0</v>
      </c>
      <c r="C393" s="12">
        <v>0.4826</v>
      </c>
      <c r="D393" s="2">
        <v>0.002951388888888889</v>
      </c>
      <c r="E393" s="12">
        <v>1.1</v>
      </c>
      <c r="F393" s="12">
        <v>6.74</v>
      </c>
      <c r="G393" s="11">
        <v>16288.0</v>
      </c>
      <c r="H393" s="11">
        <v>2416.0</v>
      </c>
    </row>
    <row r="394">
      <c r="A394" s="10">
        <v>42762.0</v>
      </c>
      <c r="B394" s="11">
        <v>1986.0</v>
      </c>
      <c r="C394" s="12">
        <v>0.4967</v>
      </c>
      <c r="D394" s="2">
        <v>0.0016203703703703703</v>
      </c>
      <c r="E394" s="12">
        <v>1.08</v>
      </c>
      <c r="F394" s="12">
        <v>4.47</v>
      </c>
      <c r="G394" s="11">
        <v>9609.0</v>
      </c>
      <c r="H394" s="11">
        <v>2152.0</v>
      </c>
    </row>
    <row r="395">
      <c r="A395" s="10">
        <v>42763.0</v>
      </c>
      <c r="B395" s="11">
        <v>1583.0</v>
      </c>
      <c r="C395" s="12">
        <v>0.4446</v>
      </c>
      <c r="D395" s="2">
        <v>0.001585648148148148</v>
      </c>
      <c r="E395" s="12">
        <v>1.11</v>
      </c>
      <c r="F395" s="12">
        <v>3.94</v>
      </c>
      <c r="G395" s="11">
        <v>6887.0</v>
      </c>
      <c r="H395" s="11">
        <v>1750.0</v>
      </c>
    </row>
    <row r="396">
      <c r="A396" s="10">
        <v>42764.0</v>
      </c>
      <c r="B396" s="11">
        <v>1791.0</v>
      </c>
      <c r="C396" s="12">
        <v>0.5492</v>
      </c>
      <c r="D396" s="2">
        <v>0.001574074074074074</v>
      </c>
      <c r="E396" s="12">
        <v>1.1</v>
      </c>
      <c r="F396" s="12">
        <v>3.75</v>
      </c>
      <c r="G396" s="11">
        <v>7387.0</v>
      </c>
      <c r="H396" s="11">
        <v>1972.0</v>
      </c>
    </row>
    <row r="397">
      <c r="A397" s="10">
        <v>42765.0</v>
      </c>
      <c r="B397" s="11">
        <v>2361.0</v>
      </c>
      <c r="C397" s="12">
        <v>0.5</v>
      </c>
      <c r="D397" s="2">
        <v>0.002534722222222222</v>
      </c>
      <c r="E397" s="12">
        <v>1.13</v>
      </c>
      <c r="F397" s="12">
        <v>5.88</v>
      </c>
      <c r="G397" s="11">
        <v>15677.0</v>
      </c>
      <c r="H397" s="11">
        <v>2666.0</v>
      </c>
    </row>
    <row r="398">
      <c r="A398" s="10">
        <v>42766.0</v>
      </c>
      <c r="B398" s="11">
        <v>2166.0</v>
      </c>
      <c r="C398" s="12">
        <v>0.5225</v>
      </c>
      <c r="D398" s="2">
        <v>0.0021527777777777778</v>
      </c>
      <c r="E398" s="12">
        <v>1.13</v>
      </c>
      <c r="F398" s="12">
        <v>4.6</v>
      </c>
      <c r="G398" s="11">
        <v>11247.0</v>
      </c>
      <c r="H398" s="11">
        <v>2444.0</v>
      </c>
    </row>
    <row r="399">
      <c r="A399" s="10">
        <v>42767.0</v>
      </c>
      <c r="B399" s="11">
        <v>2458.0</v>
      </c>
      <c r="C399" s="12">
        <v>0.5105</v>
      </c>
      <c r="D399" s="2">
        <v>0.0013194444444444445</v>
      </c>
      <c r="E399" s="12">
        <v>1.08</v>
      </c>
      <c r="F399" s="12">
        <v>3.53</v>
      </c>
      <c r="G399" s="11">
        <v>9400.0</v>
      </c>
      <c r="H399" s="11">
        <v>2666.0</v>
      </c>
    </row>
    <row r="400">
      <c r="A400" s="10">
        <v>42768.0</v>
      </c>
      <c r="B400" s="11">
        <v>2347.0</v>
      </c>
      <c r="C400" s="12">
        <v>0.5699</v>
      </c>
      <c r="D400" s="2">
        <v>0.0016782407407407408</v>
      </c>
      <c r="E400" s="12">
        <v>1.1</v>
      </c>
      <c r="F400" s="12">
        <v>4.01</v>
      </c>
      <c r="G400" s="11">
        <v>10345.0</v>
      </c>
      <c r="H400" s="11">
        <v>2583.0</v>
      </c>
    </row>
    <row r="401">
      <c r="A401" s="10">
        <v>42769.0</v>
      </c>
      <c r="B401" s="11">
        <v>2152.0</v>
      </c>
      <c r="C401" s="12">
        <v>0.5646</v>
      </c>
      <c r="D401" s="2">
        <v>0.0016203703703703703</v>
      </c>
      <c r="E401" s="12">
        <v>1.1</v>
      </c>
      <c r="F401" s="12">
        <v>3.79</v>
      </c>
      <c r="G401" s="11">
        <v>8942.0</v>
      </c>
      <c r="H401" s="11">
        <v>2361.0</v>
      </c>
    </row>
    <row r="402">
      <c r="A402" s="10">
        <v>42770.0</v>
      </c>
      <c r="B402" s="11">
        <v>1514.0</v>
      </c>
      <c r="C402" s="12">
        <v>0.4593</v>
      </c>
      <c r="D402" s="2">
        <v>0.0022800925925925927</v>
      </c>
      <c r="E402" s="12">
        <v>1.12</v>
      </c>
      <c r="F402" s="12">
        <v>4.23</v>
      </c>
      <c r="G402" s="11">
        <v>7165.0</v>
      </c>
      <c r="H402" s="11">
        <v>1694.0</v>
      </c>
    </row>
    <row r="403">
      <c r="A403" s="10">
        <v>42771.0</v>
      </c>
      <c r="B403" s="11">
        <v>1458.0</v>
      </c>
      <c r="C403" s="12">
        <v>0.5714</v>
      </c>
      <c r="D403" s="2">
        <v>0.0015162037037037036</v>
      </c>
      <c r="E403" s="12">
        <v>1.13</v>
      </c>
      <c r="F403" s="12">
        <v>4.2</v>
      </c>
      <c r="G403" s="11">
        <v>6943.0</v>
      </c>
      <c r="H403" s="11">
        <v>1652.0</v>
      </c>
    </row>
    <row r="404">
      <c r="A404" s="10">
        <v>42772.0</v>
      </c>
      <c r="B404" s="11">
        <v>2347.0</v>
      </c>
      <c r="C404" s="12">
        <v>0.5109</v>
      </c>
      <c r="D404" s="2">
        <v>0.001724537037037037</v>
      </c>
      <c r="E404" s="12">
        <v>1.08</v>
      </c>
      <c r="F404" s="12">
        <v>4.68</v>
      </c>
      <c r="G404" s="11">
        <v>11816.0</v>
      </c>
      <c r="H404" s="11">
        <v>2527.0</v>
      </c>
    </row>
    <row r="405">
      <c r="A405" s="10">
        <v>42773.0</v>
      </c>
      <c r="B405" s="11">
        <v>2402.0</v>
      </c>
      <c r="C405" s="12">
        <v>0.5</v>
      </c>
      <c r="D405" s="2">
        <v>0.0013310185185185185</v>
      </c>
      <c r="E405" s="12">
        <v>1.11</v>
      </c>
      <c r="F405" s="12">
        <v>3.64</v>
      </c>
      <c r="G405" s="11">
        <v>9692.0</v>
      </c>
      <c r="H405" s="11">
        <v>2666.0</v>
      </c>
    </row>
    <row r="406">
      <c r="A406" s="10">
        <v>42774.0</v>
      </c>
      <c r="B406" s="11">
        <v>2555.0</v>
      </c>
      <c r="C406" s="12">
        <v>0.48</v>
      </c>
      <c r="D406" s="2">
        <v>0.001412037037037037</v>
      </c>
      <c r="E406" s="12">
        <v>1.09</v>
      </c>
      <c r="F406" s="12">
        <v>4.17</v>
      </c>
      <c r="G406" s="11">
        <v>11580.0</v>
      </c>
      <c r="H406" s="11">
        <v>2777.0</v>
      </c>
    </row>
    <row r="407">
      <c r="A407" s="10">
        <v>42775.0</v>
      </c>
      <c r="B407" s="11">
        <v>2610.0</v>
      </c>
      <c r="C407" s="12">
        <v>0.517</v>
      </c>
      <c r="D407" s="2">
        <v>0.0016550925925925926</v>
      </c>
      <c r="E407" s="12">
        <v>1.1</v>
      </c>
      <c r="F407" s="12">
        <v>4.34</v>
      </c>
      <c r="G407" s="11">
        <v>12483.0</v>
      </c>
      <c r="H407" s="11">
        <v>2874.0</v>
      </c>
    </row>
    <row r="408">
      <c r="A408" s="10">
        <v>42776.0</v>
      </c>
      <c r="B408" s="11">
        <v>2236.0</v>
      </c>
      <c r="C408" s="12">
        <v>0.5206</v>
      </c>
      <c r="D408" s="2">
        <v>0.0016782407407407408</v>
      </c>
      <c r="E408" s="12">
        <v>1.06</v>
      </c>
      <c r="F408" s="12">
        <v>3.95</v>
      </c>
      <c r="G408" s="11">
        <v>9387.0</v>
      </c>
      <c r="H408" s="11">
        <v>2374.0</v>
      </c>
    </row>
    <row r="409">
      <c r="A409" s="10">
        <v>42777.0</v>
      </c>
      <c r="B409" s="11">
        <v>1722.0</v>
      </c>
      <c r="C409" s="12">
        <v>0.5408</v>
      </c>
      <c r="D409" s="2">
        <v>0.0014467592592592592</v>
      </c>
      <c r="E409" s="12">
        <v>1.09</v>
      </c>
      <c r="F409" s="12">
        <v>3.62</v>
      </c>
      <c r="G409" s="11">
        <v>6790.0</v>
      </c>
      <c r="H409" s="11">
        <v>1875.0</v>
      </c>
    </row>
    <row r="410">
      <c r="A410" s="10">
        <v>42778.0</v>
      </c>
      <c r="B410" s="11">
        <v>1791.0</v>
      </c>
      <c r="C410" s="12">
        <v>0.5146</v>
      </c>
      <c r="D410" s="2">
        <v>0.0011921296296296296</v>
      </c>
      <c r="E410" s="12">
        <v>1.07</v>
      </c>
      <c r="F410" s="12">
        <v>3.59</v>
      </c>
      <c r="G410" s="11">
        <v>6887.0</v>
      </c>
      <c r="H410" s="11">
        <v>1916.0</v>
      </c>
    </row>
    <row r="411">
      <c r="A411" s="10">
        <v>42779.0</v>
      </c>
      <c r="B411" s="11">
        <v>2305.0</v>
      </c>
      <c r="C411" s="12">
        <v>0.5086</v>
      </c>
      <c r="D411" s="2">
        <v>0.0014467592592592592</v>
      </c>
      <c r="E411" s="12">
        <v>1.05</v>
      </c>
      <c r="F411" s="12">
        <v>3.25</v>
      </c>
      <c r="G411" s="11">
        <v>7887.0</v>
      </c>
      <c r="H411" s="11">
        <v>2430.0</v>
      </c>
    </row>
    <row r="412">
      <c r="A412" s="10">
        <v>42780.0</v>
      </c>
      <c r="B412" s="11">
        <v>2277.0</v>
      </c>
      <c r="C412" s="12">
        <v>0.5052</v>
      </c>
      <c r="D412" s="2">
        <v>0.0019212962962962964</v>
      </c>
      <c r="E412" s="12">
        <v>1.13</v>
      </c>
      <c r="F412" s="12">
        <v>3.87</v>
      </c>
      <c r="G412" s="11">
        <v>9997.0</v>
      </c>
      <c r="H412" s="11">
        <v>2583.0</v>
      </c>
    </row>
    <row r="413">
      <c r="A413" s="10">
        <v>42781.0</v>
      </c>
      <c r="B413" s="11">
        <v>2513.0</v>
      </c>
      <c r="C413" s="12">
        <v>0.4949</v>
      </c>
      <c r="D413" s="2">
        <v>0.0015162037037037036</v>
      </c>
      <c r="E413" s="12">
        <v>1.13</v>
      </c>
      <c r="F413" s="12">
        <v>3.58</v>
      </c>
      <c r="G413" s="11">
        <v>10136.0</v>
      </c>
      <c r="H413" s="11">
        <v>2833.0</v>
      </c>
    </row>
    <row r="414">
      <c r="A414" s="10">
        <v>42782.0</v>
      </c>
      <c r="B414" s="11">
        <v>2555.0</v>
      </c>
      <c r="C414" s="12">
        <v>0.4598</v>
      </c>
      <c r="D414" s="2">
        <v>0.0018287037037037037</v>
      </c>
      <c r="E414" s="12">
        <v>1.08</v>
      </c>
      <c r="F414" s="12">
        <v>4.68</v>
      </c>
      <c r="G414" s="11">
        <v>12858.0</v>
      </c>
      <c r="H414" s="11">
        <v>2749.0</v>
      </c>
    </row>
    <row r="415">
      <c r="A415" s="10">
        <v>42783.0</v>
      </c>
      <c r="B415" s="11">
        <v>2666.0</v>
      </c>
      <c r="C415" s="12">
        <v>0.4718</v>
      </c>
      <c r="D415" s="2">
        <v>0.0013773148148148147</v>
      </c>
      <c r="E415" s="12">
        <v>1.1</v>
      </c>
      <c r="F415" s="12">
        <v>3.54</v>
      </c>
      <c r="G415" s="11">
        <v>10428.0</v>
      </c>
      <c r="H415" s="11">
        <v>2944.0</v>
      </c>
    </row>
    <row r="416">
      <c r="A416" s="10">
        <v>42784.0</v>
      </c>
      <c r="B416" s="11">
        <v>1694.0</v>
      </c>
      <c r="C416" s="12">
        <v>0.4544</v>
      </c>
      <c r="D416" s="2">
        <v>0.0021412037037037038</v>
      </c>
      <c r="E416" s="12">
        <v>1.08</v>
      </c>
      <c r="F416" s="12">
        <v>4.29</v>
      </c>
      <c r="G416" s="11">
        <v>7859.0</v>
      </c>
      <c r="H416" s="11">
        <v>1833.0</v>
      </c>
    </row>
    <row r="417">
      <c r="A417" s="10">
        <v>42785.0</v>
      </c>
      <c r="B417" s="11">
        <v>2166.0</v>
      </c>
      <c r="C417" s="12">
        <v>0.4822</v>
      </c>
      <c r="D417" s="2">
        <v>0.0018981481481481482</v>
      </c>
      <c r="E417" s="12">
        <v>1.08</v>
      </c>
      <c r="F417" s="12">
        <v>4.36</v>
      </c>
      <c r="G417" s="11">
        <v>10164.0</v>
      </c>
      <c r="H417" s="11">
        <v>2333.0</v>
      </c>
    </row>
    <row r="418">
      <c r="A418" s="10">
        <v>42786.0</v>
      </c>
      <c r="B418" s="11">
        <v>2374.0</v>
      </c>
      <c r="C418" s="12">
        <v>0.4722</v>
      </c>
      <c r="D418" s="2">
        <v>0.001863425925925926</v>
      </c>
      <c r="E418" s="12">
        <v>1.05</v>
      </c>
      <c r="F418" s="12">
        <v>4.26</v>
      </c>
      <c r="G418" s="11">
        <v>10650.0</v>
      </c>
      <c r="H418" s="11">
        <v>2499.0</v>
      </c>
    </row>
    <row r="419">
      <c r="A419" s="10">
        <v>42787.0</v>
      </c>
      <c r="B419" s="11">
        <v>2499.0</v>
      </c>
      <c r="C419" s="12">
        <v>0.4952</v>
      </c>
      <c r="D419" s="2">
        <v>0.001238425925925926</v>
      </c>
      <c r="E419" s="12">
        <v>1.12</v>
      </c>
      <c r="F419" s="12">
        <v>3.68</v>
      </c>
      <c r="G419" s="11">
        <v>10331.0</v>
      </c>
      <c r="H419" s="11">
        <v>2805.0</v>
      </c>
    </row>
    <row r="420">
      <c r="A420" s="10">
        <v>42788.0</v>
      </c>
      <c r="B420" s="11">
        <v>2388.0</v>
      </c>
      <c r="C420" s="12">
        <v>0.4922</v>
      </c>
      <c r="D420" s="2">
        <v>0.0012847222222222223</v>
      </c>
      <c r="E420" s="12">
        <v>1.12</v>
      </c>
      <c r="F420" s="12">
        <v>3.75</v>
      </c>
      <c r="G420" s="11">
        <v>10039.0</v>
      </c>
      <c r="H420" s="11">
        <v>2680.0</v>
      </c>
    </row>
    <row r="421">
      <c r="A421" s="10">
        <v>42789.0</v>
      </c>
      <c r="B421" s="11">
        <v>2347.0</v>
      </c>
      <c r="C421" s="12">
        <v>0.4894</v>
      </c>
      <c r="D421" s="2">
        <v>0.0016666666666666668</v>
      </c>
      <c r="E421" s="12">
        <v>1.1</v>
      </c>
      <c r="F421" s="12">
        <v>4.31</v>
      </c>
      <c r="G421" s="11">
        <v>11136.0</v>
      </c>
      <c r="H421" s="11">
        <v>2583.0</v>
      </c>
    </row>
    <row r="422">
      <c r="A422" s="10">
        <v>42790.0</v>
      </c>
      <c r="B422" s="11">
        <v>2069.0</v>
      </c>
      <c r="C422" s="12">
        <v>0.5273</v>
      </c>
      <c r="D422" s="2">
        <v>0.0017013888888888888</v>
      </c>
      <c r="E422" s="12">
        <v>1.11</v>
      </c>
      <c r="F422" s="12">
        <v>5.17</v>
      </c>
      <c r="G422" s="11">
        <v>11844.0</v>
      </c>
      <c r="H422" s="11">
        <v>2291.0</v>
      </c>
    </row>
    <row r="423">
      <c r="A423" s="10">
        <v>42791.0</v>
      </c>
      <c r="B423" s="11">
        <v>1652.0</v>
      </c>
      <c r="C423" s="12">
        <v>0.5043</v>
      </c>
      <c r="D423" s="2">
        <v>0.0017592592592592592</v>
      </c>
      <c r="E423" s="12">
        <v>1.07</v>
      </c>
      <c r="F423" s="12">
        <v>4.54</v>
      </c>
      <c r="G423" s="11">
        <v>8012.0</v>
      </c>
      <c r="H423" s="11">
        <v>1763.0</v>
      </c>
    </row>
    <row r="424">
      <c r="A424" s="10">
        <v>42792.0</v>
      </c>
      <c r="B424" s="11">
        <v>1652.0</v>
      </c>
      <c r="C424" s="12">
        <v>0.5234</v>
      </c>
      <c r="D424" s="2">
        <v>0.0013194444444444445</v>
      </c>
      <c r="E424" s="12">
        <v>1.08</v>
      </c>
      <c r="F424" s="12">
        <v>3.55</v>
      </c>
      <c r="G424" s="11">
        <v>6304.0</v>
      </c>
      <c r="H424" s="11">
        <v>1777.0</v>
      </c>
    </row>
    <row r="425">
      <c r="A425" s="10">
        <v>42793.0</v>
      </c>
      <c r="B425" s="11">
        <v>2416.0</v>
      </c>
      <c r="C425" s="12">
        <v>0.4129</v>
      </c>
      <c r="D425" s="2">
        <v>0.001400462962962963</v>
      </c>
      <c r="E425" s="12">
        <v>1.06</v>
      </c>
      <c r="F425" s="12">
        <v>3.86</v>
      </c>
      <c r="G425" s="11">
        <v>9873.0</v>
      </c>
      <c r="H425" s="11">
        <v>2555.0</v>
      </c>
    </row>
    <row r="426">
      <c r="A426" s="10">
        <v>42794.0</v>
      </c>
      <c r="B426" s="11">
        <v>2319.0</v>
      </c>
      <c r="C426" s="12">
        <v>0.5222</v>
      </c>
      <c r="D426" s="2">
        <v>0.0017476851851851852</v>
      </c>
      <c r="E426" s="12">
        <v>1.08</v>
      </c>
      <c r="F426" s="12">
        <v>4.08</v>
      </c>
      <c r="G426" s="11">
        <v>10192.0</v>
      </c>
      <c r="H426" s="11">
        <v>2499.0</v>
      </c>
    </row>
    <row r="427">
      <c r="A427" s="10">
        <v>42795.0</v>
      </c>
      <c r="B427" s="11">
        <v>2444.0</v>
      </c>
      <c r="C427" s="12">
        <v>0.4657</v>
      </c>
      <c r="D427" s="2">
        <v>0.0020601851851851853</v>
      </c>
      <c r="E427" s="12">
        <v>1.07</v>
      </c>
      <c r="F427" s="12">
        <v>4.88</v>
      </c>
      <c r="G427" s="11">
        <v>12816.0</v>
      </c>
      <c r="H427" s="11">
        <v>2624.0</v>
      </c>
    </row>
    <row r="428">
      <c r="A428" s="10">
        <v>42796.0</v>
      </c>
      <c r="B428" s="11">
        <v>2194.0</v>
      </c>
      <c r="C428" s="12">
        <v>0.4805</v>
      </c>
      <c r="D428" s="2">
        <v>0.0016319444444444445</v>
      </c>
      <c r="E428" s="12">
        <v>1.13</v>
      </c>
      <c r="F428" s="12">
        <v>4.45</v>
      </c>
      <c r="G428" s="11">
        <v>11067.0</v>
      </c>
      <c r="H428" s="11">
        <v>2485.0</v>
      </c>
    </row>
    <row r="429">
      <c r="A429" s="10">
        <v>42797.0</v>
      </c>
      <c r="B429" s="11">
        <v>2083.0</v>
      </c>
      <c r="C429" s="12">
        <v>0.4516</v>
      </c>
      <c r="D429" s="2">
        <v>0.0019328703703703704</v>
      </c>
      <c r="E429" s="12">
        <v>1.11</v>
      </c>
      <c r="F429" s="12">
        <v>4.78</v>
      </c>
      <c r="G429" s="11">
        <v>11011.0</v>
      </c>
      <c r="H429" s="11">
        <v>2305.0</v>
      </c>
    </row>
    <row r="430">
      <c r="A430" s="10">
        <v>42798.0</v>
      </c>
      <c r="B430" s="11">
        <v>1652.0</v>
      </c>
      <c r="C430" s="12">
        <v>0.489</v>
      </c>
      <c r="D430" s="2">
        <v>0.001863425925925926</v>
      </c>
      <c r="E430" s="12">
        <v>1.15</v>
      </c>
      <c r="F430" s="12">
        <v>4.61</v>
      </c>
      <c r="G430" s="11">
        <v>8776.0</v>
      </c>
      <c r="H430" s="11">
        <v>1902.0</v>
      </c>
    </row>
    <row r="431">
      <c r="A431" s="10">
        <v>42799.0</v>
      </c>
      <c r="B431" s="11">
        <v>1750.0</v>
      </c>
      <c r="C431" s="12">
        <v>0.4824</v>
      </c>
      <c r="D431" s="2">
        <v>0.0020949074074074073</v>
      </c>
      <c r="E431" s="12">
        <v>1.13</v>
      </c>
      <c r="F431" s="12">
        <v>3.73</v>
      </c>
      <c r="G431" s="11">
        <v>7401.0</v>
      </c>
      <c r="H431" s="11">
        <v>1986.0</v>
      </c>
    </row>
    <row r="432">
      <c r="A432" s="10">
        <v>42800.0</v>
      </c>
      <c r="B432" s="11">
        <v>2291.0</v>
      </c>
      <c r="C432" s="12">
        <v>0.4158</v>
      </c>
      <c r="D432" s="2">
        <v>0.0024074074074074076</v>
      </c>
      <c r="E432" s="12">
        <v>1.15</v>
      </c>
      <c r="F432" s="12">
        <v>5.32</v>
      </c>
      <c r="G432" s="11">
        <v>14024.0</v>
      </c>
      <c r="H432" s="11">
        <v>2638.0</v>
      </c>
    </row>
    <row r="433">
      <c r="A433" s="10">
        <v>42801.0</v>
      </c>
      <c r="B433" s="11">
        <v>2569.0</v>
      </c>
      <c r="C433" s="12">
        <v>0.4501</v>
      </c>
      <c r="D433" s="2">
        <v>0.0019328703703703704</v>
      </c>
      <c r="E433" s="12">
        <v>1.08</v>
      </c>
      <c r="F433" s="12">
        <v>4.78</v>
      </c>
      <c r="G433" s="11">
        <v>13274.0</v>
      </c>
      <c r="H433" s="11">
        <v>2777.0</v>
      </c>
    </row>
    <row r="434">
      <c r="A434" s="10">
        <v>42802.0</v>
      </c>
      <c r="B434" s="11">
        <v>2444.0</v>
      </c>
      <c r="C434" s="12">
        <v>0.492</v>
      </c>
      <c r="D434" s="2">
        <v>0.0020486111111111113</v>
      </c>
      <c r="E434" s="12">
        <v>1.07</v>
      </c>
      <c r="F434" s="12">
        <v>4.23</v>
      </c>
      <c r="G434" s="11">
        <v>11108.0</v>
      </c>
      <c r="H434" s="11">
        <v>2624.0</v>
      </c>
    </row>
    <row r="435">
      <c r="A435" s="10">
        <v>42803.0</v>
      </c>
      <c r="B435" s="11">
        <v>2291.0</v>
      </c>
      <c r="C435" s="12">
        <v>0.4942</v>
      </c>
      <c r="D435" s="2">
        <v>0.0017013888888888888</v>
      </c>
      <c r="E435" s="12">
        <v>1.05</v>
      </c>
      <c r="F435" s="12">
        <v>4.36</v>
      </c>
      <c r="G435" s="11">
        <v>10539.0</v>
      </c>
      <c r="H435" s="11">
        <v>2416.0</v>
      </c>
    </row>
    <row r="436">
      <c r="A436" s="10">
        <v>42804.0</v>
      </c>
      <c r="B436" s="11">
        <v>2249.0</v>
      </c>
      <c r="C436" s="12">
        <v>0.4535</v>
      </c>
      <c r="D436" s="2">
        <v>0.0017824074074074075</v>
      </c>
      <c r="E436" s="12">
        <v>1.06</v>
      </c>
      <c r="F436" s="12">
        <v>4.23</v>
      </c>
      <c r="G436" s="11">
        <v>10109.0</v>
      </c>
      <c r="H436" s="11">
        <v>2388.0</v>
      </c>
    </row>
    <row r="437">
      <c r="A437" s="10">
        <v>42805.0</v>
      </c>
      <c r="B437" s="11">
        <v>1736.0</v>
      </c>
      <c r="C437" s="12">
        <v>0.5922</v>
      </c>
      <c r="D437" s="2">
        <v>0.0013657407407407407</v>
      </c>
      <c r="E437" s="12">
        <v>1.04</v>
      </c>
      <c r="F437" s="12">
        <v>3.38</v>
      </c>
      <c r="G437" s="11">
        <v>6096.0</v>
      </c>
      <c r="H437" s="11">
        <v>1805.0</v>
      </c>
    </row>
    <row r="438">
      <c r="A438" s="10">
        <v>42806.0</v>
      </c>
      <c r="B438" s="11">
        <v>1833.0</v>
      </c>
      <c r="C438" s="12">
        <v>0.4891</v>
      </c>
      <c r="D438" s="2">
        <v>0.0015625</v>
      </c>
      <c r="E438" s="12">
        <v>1.05</v>
      </c>
      <c r="F438" s="12">
        <v>3.61</v>
      </c>
      <c r="G438" s="11">
        <v>6970.0</v>
      </c>
      <c r="H438" s="11">
        <v>1930.0</v>
      </c>
    </row>
    <row r="439">
      <c r="A439" s="10">
        <v>42807.0</v>
      </c>
      <c r="B439" s="11">
        <v>2541.0</v>
      </c>
      <c r="C439" s="12">
        <v>0.5382</v>
      </c>
      <c r="D439" s="2">
        <v>0.0022453703703703702</v>
      </c>
      <c r="E439" s="12">
        <v>1.08</v>
      </c>
      <c r="F439" s="12">
        <v>4.05</v>
      </c>
      <c r="G439" s="11">
        <v>11081.0</v>
      </c>
      <c r="H439" s="11">
        <v>2735.0</v>
      </c>
    </row>
    <row r="440">
      <c r="A440" s="10">
        <v>42808.0</v>
      </c>
      <c r="B440" s="11">
        <v>2347.0</v>
      </c>
      <c r="C440" s="12">
        <v>0.5191</v>
      </c>
      <c r="D440" s="2">
        <v>0.0017476851851851852</v>
      </c>
      <c r="E440" s="12">
        <v>1.08</v>
      </c>
      <c r="F440" s="12">
        <v>4.13</v>
      </c>
      <c r="G440" s="11">
        <v>10483.0</v>
      </c>
      <c r="H440" s="11">
        <v>2541.0</v>
      </c>
    </row>
    <row r="441">
      <c r="A441" s="10">
        <v>42809.0</v>
      </c>
      <c r="B441" s="11">
        <v>2583.0</v>
      </c>
      <c r="C441" s="12">
        <v>0.4696</v>
      </c>
      <c r="D441" s="2">
        <v>0.0017592592592592592</v>
      </c>
      <c r="E441" s="12">
        <v>1.06</v>
      </c>
      <c r="F441" s="12">
        <v>4.11</v>
      </c>
      <c r="G441" s="11">
        <v>11303.0</v>
      </c>
      <c r="H441" s="11">
        <v>2749.0</v>
      </c>
    </row>
    <row r="442">
      <c r="A442" s="10">
        <v>42810.0</v>
      </c>
      <c r="B442" s="11">
        <v>2361.0</v>
      </c>
      <c r="C442" s="12">
        <v>0.5348</v>
      </c>
      <c r="D442" s="2">
        <v>0.0011805555555555556</v>
      </c>
      <c r="E442" s="12">
        <v>1.1</v>
      </c>
      <c r="F442" s="12">
        <v>3.71</v>
      </c>
      <c r="G442" s="11">
        <v>9623.0</v>
      </c>
      <c r="H442" s="11">
        <v>2597.0</v>
      </c>
    </row>
    <row r="443">
      <c r="A443" s="10">
        <v>42811.0</v>
      </c>
      <c r="B443" s="11">
        <v>2152.0</v>
      </c>
      <c r="C443" s="12">
        <v>0.4788</v>
      </c>
      <c r="D443" s="2">
        <v>0.001400462962962963</v>
      </c>
      <c r="E443" s="12">
        <v>1.06</v>
      </c>
      <c r="F443" s="12">
        <v>3.87</v>
      </c>
      <c r="G443" s="11">
        <v>8873.0</v>
      </c>
      <c r="H443" s="11">
        <v>2291.0</v>
      </c>
    </row>
    <row r="444">
      <c r="A444" s="10">
        <v>42812.0</v>
      </c>
      <c r="B444" s="11">
        <v>1597.0</v>
      </c>
      <c r="C444" s="12">
        <v>0.5</v>
      </c>
      <c r="D444" s="2">
        <v>0.001412037037037037</v>
      </c>
      <c r="E444" s="12">
        <v>1.08</v>
      </c>
      <c r="F444" s="12">
        <v>4.35</v>
      </c>
      <c r="G444" s="11">
        <v>7498.0</v>
      </c>
      <c r="H444" s="11">
        <v>1722.0</v>
      </c>
    </row>
    <row r="445">
      <c r="A445" s="10">
        <v>42813.0</v>
      </c>
      <c r="B445" s="11">
        <v>1736.0</v>
      </c>
      <c r="C445" s="12">
        <v>0.5331</v>
      </c>
      <c r="D445" s="2">
        <v>0.0015046296296296296</v>
      </c>
      <c r="E445" s="12">
        <v>1.1</v>
      </c>
      <c r="F445" s="12">
        <v>4.08</v>
      </c>
      <c r="G445" s="11">
        <v>7762.0</v>
      </c>
      <c r="H445" s="11">
        <v>1902.0</v>
      </c>
    </row>
    <row r="446">
      <c r="A446" s="10">
        <v>42814.0</v>
      </c>
      <c r="B446" s="11">
        <v>2458.0</v>
      </c>
      <c r="C446" s="12">
        <v>0.5293</v>
      </c>
      <c r="D446" s="2">
        <v>0.0012152777777777778</v>
      </c>
      <c r="E446" s="12">
        <v>1.07</v>
      </c>
      <c r="F446" s="12">
        <v>3.51</v>
      </c>
      <c r="G446" s="11">
        <v>9220.0</v>
      </c>
      <c r="H446" s="11">
        <v>2624.0</v>
      </c>
    </row>
    <row r="447">
      <c r="A447" s="10">
        <v>42815.0</v>
      </c>
      <c r="B447" s="11">
        <v>2624.0</v>
      </c>
      <c r="C447" s="12">
        <v>0.4949</v>
      </c>
      <c r="D447" s="2">
        <v>0.002013888888888889</v>
      </c>
      <c r="E447" s="12">
        <v>1.08</v>
      </c>
      <c r="F447" s="12">
        <v>4.04</v>
      </c>
      <c r="G447" s="11">
        <v>11455.0</v>
      </c>
      <c r="H447" s="11">
        <v>2833.0</v>
      </c>
    </row>
    <row r="448">
      <c r="A448" s="10">
        <v>42816.0</v>
      </c>
      <c r="B448" s="11">
        <v>2597.0</v>
      </c>
      <c r="C448" s="12">
        <v>0.48</v>
      </c>
      <c r="D448" s="2">
        <v>0.001979166666666667</v>
      </c>
      <c r="E448" s="12">
        <v>1.07</v>
      </c>
      <c r="F448" s="12">
        <v>4.16</v>
      </c>
      <c r="G448" s="11">
        <v>11539.0</v>
      </c>
      <c r="H448" s="11">
        <v>2777.0</v>
      </c>
    </row>
    <row r="449">
      <c r="A449" s="10">
        <v>42817.0</v>
      </c>
      <c r="B449" s="11">
        <v>2791.0</v>
      </c>
      <c r="C449" s="12">
        <v>0.5227</v>
      </c>
      <c r="D449" s="2">
        <v>0.0014351851851851852</v>
      </c>
      <c r="E449" s="12">
        <v>1.09</v>
      </c>
      <c r="F449" s="12">
        <v>3.86</v>
      </c>
      <c r="G449" s="11">
        <v>11803.0</v>
      </c>
      <c r="H449" s="11">
        <v>3055.0</v>
      </c>
    </row>
    <row r="450">
      <c r="A450" s="10">
        <v>42818.0</v>
      </c>
      <c r="B450" s="11">
        <v>2194.0</v>
      </c>
      <c r="C450" s="12">
        <v>0.5356</v>
      </c>
      <c r="D450" s="2">
        <v>0.0019328703703703704</v>
      </c>
      <c r="E450" s="12">
        <v>1.16</v>
      </c>
      <c r="F450" s="12">
        <v>4.12</v>
      </c>
      <c r="G450" s="11">
        <v>10470.0</v>
      </c>
      <c r="H450" s="11">
        <v>2541.0</v>
      </c>
    </row>
    <row r="451">
      <c r="A451" s="10">
        <v>42819.0</v>
      </c>
      <c r="B451" s="11">
        <v>1694.0</v>
      </c>
      <c r="C451" s="12">
        <v>0.5003</v>
      </c>
      <c r="D451" s="2">
        <v>0.0022337962962962962</v>
      </c>
      <c r="E451" s="12">
        <v>1.07</v>
      </c>
      <c r="F451" s="12">
        <v>4.59</v>
      </c>
      <c r="G451" s="11">
        <v>8276.0</v>
      </c>
      <c r="H451" s="11">
        <v>1805.0</v>
      </c>
    </row>
    <row r="452">
      <c r="A452" s="10">
        <v>42820.0</v>
      </c>
      <c r="B452" s="11">
        <v>1750.0</v>
      </c>
      <c r="C452" s="12">
        <v>0.5297</v>
      </c>
      <c r="D452" s="2">
        <v>0.0024305555555555556</v>
      </c>
      <c r="E452" s="12">
        <v>1.08</v>
      </c>
      <c r="F452" s="12">
        <v>4.77</v>
      </c>
      <c r="G452" s="11">
        <v>8998.0</v>
      </c>
      <c r="H452" s="11">
        <v>1888.0</v>
      </c>
    </row>
    <row r="453">
      <c r="A453" s="10">
        <v>42821.0</v>
      </c>
      <c r="B453" s="11">
        <v>2458.0</v>
      </c>
      <c r="C453" s="12">
        <v>0.4823</v>
      </c>
      <c r="D453" s="2">
        <v>0.001585648148148148</v>
      </c>
      <c r="E453" s="12">
        <v>1.11</v>
      </c>
      <c r="F453" s="12">
        <v>4.03</v>
      </c>
      <c r="G453" s="11">
        <v>11025.0</v>
      </c>
      <c r="H453" s="11">
        <v>2735.0</v>
      </c>
    </row>
    <row r="454">
      <c r="A454" s="10">
        <v>42822.0</v>
      </c>
      <c r="B454" s="11">
        <v>2485.0</v>
      </c>
      <c r="C454" s="12">
        <v>0.4072</v>
      </c>
      <c r="D454" s="2">
        <v>0.0022453703703703702</v>
      </c>
      <c r="E454" s="12">
        <v>1.11</v>
      </c>
      <c r="F454" s="12">
        <v>4.66</v>
      </c>
      <c r="G454" s="11">
        <v>12872.0</v>
      </c>
      <c r="H454" s="11">
        <v>2763.0</v>
      </c>
    </row>
    <row r="455">
      <c r="A455" s="10">
        <v>42823.0</v>
      </c>
      <c r="B455" s="11">
        <v>2569.0</v>
      </c>
      <c r="C455" s="12">
        <v>0.5177</v>
      </c>
      <c r="D455" s="2">
        <v>0.0017824074074074075</v>
      </c>
      <c r="E455" s="12">
        <v>1.06</v>
      </c>
      <c r="F455" s="12">
        <v>3.9</v>
      </c>
      <c r="G455" s="11">
        <v>10678.0</v>
      </c>
      <c r="H455" s="11">
        <v>2735.0</v>
      </c>
    </row>
    <row r="456">
      <c r="A456" s="10">
        <v>42824.0</v>
      </c>
      <c r="B456" s="11">
        <v>2652.0</v>
      </c>
      <c r="C456" s="12">
        <v>0.5336</v>
      </c>
      <c r="D456" s="2">
        <v>0.0015625</v>
      </c>
      <c r="E456" s="12">
        <v>1.09</v>
      </c>
      <c r="F456" s="12">
        <v>3.68</v>
      </c>
      <c r="G456" s="11">
        <v>10636.0</v>
      </c>
      <c r="H456" s="11">
        <v>2888.0</v>
      </c>
    </row>
    <row r="457">
      <c r="A457" s="10">
        <v>42825.0</v>
      </c>
      <c r="B457" s="11">
        <v>2180.0</v>
      </c>
      <c r="C457" s="12">
        <v>0.4374</v>
      </c>
      <c r="D457" s="2">
        <v>0.0017592592592592592</v>
      </c>
      <c r="E457" s="12">
        <v>1.12</v>
      </c>
      <c r="F457" s="12">
        <v>4.2</v>
      </c>
      <c r="G457" s="11">
        <v>10261.0</v>
      </c>
      <c r="H457" s="11">
        <v>2444.0</v>
      </c>
    </row>
    <row r="458">
      <c r="A458" s="10">
        <v>42826.0</v>
      </c>
      <c r="B458" s="11">
        <v>2138.0</v>
      </c>
      <c r="C458" s="12">
        <v>0.5121</v>
      </c>
      <c r="D458" s="2">
        <v>0.0014814814814814814</v>
      </c>
      <c r="E458" s="12">
        <v>1.07</v>
      </c>
      <c r="F458" s="12">
        <v>3.93</v>
      </c>
      <c r="G458" s="11">
        <v>8956.0</v>
      </c>
      <c r="H458" s="11">
        <v>2277.0</v>
      </c>
    </row>
    <row r="459">
      <c r="A459" s="10">
        <v>42827.0</v>
      </c>
      <c r="B459" s="11">
        <v>1861.0</v>
      </c>
      <c r="C459" s="12">
        <v>0.621</v>
      </c>
      <c r="D459" s="2">
        <v>0.0016319444444444445</v>
      </c>
      <c r="E459" s="12">
        <v>1.08</v>
      </c>
      <c r="F459" s="12">
        <v>3.72</v>
      </c>
      <c r="G459" s="11">
        <v>7498.0</v>
      </c>
      <c r="H459" s="11">
        <v>2013.0</v>
      </c>
    </row>
    <row r="460">
      <c r="A460" s="10">
        <v>42828.0</v>
      </c>
      <c r="B460" s="11">
        <v>2222.0</v>
      </c>
      <c r="C460" s="12">
        <v>0.4509</v>
      </c>
      <c r="D460" s="2">
        <v>0.0017824074074074075</v>
      </c>
      <c r="E460" s="12">
        <v>1.15</v>
      </c>
      <c r="F460" s="12">
        <v>3.28</v>
      </c>
      <c r="G460" s="11">
        <v>8373.0</v>
      </c>
      <c r="H460" s="11">
        <v>2555.0</v>
      </c>
    </row>
    <row r="461">
      <c r="A461" s="10">
        <v>42829.0</v>
      </c>
      <c r="B461" s="11">
        <v>2930.0</v>
      </c>
      <c r="C461" s="12">
        <v>0.5133</v>
      </c>
      <c r="D461" s="2">
        <v>0.001400462962962963</v>
      </c>
      <c r="E461" s="12">
        <v>1.08</v>
      </c>
      <c r="F461" s="12">
        <v>3.6</v>
      </c>
      <c r="G461" s="11">
        <v>11400.0</v>
      </c>
      <c r="H461" s="11">
        <v>3166.0</v>
      </c>
    </row>
    <row r="462">
      <c r="A462" s="10">
        <v>42830.0</v>
      </c>
      <c r="B462" s="11">
        <v>2583.0</v>
      </c>
      <c r="C462" s="12">
        <v>0.4736</v>
      </c>
      <c r="D462" s="2">
        <v>0.0019328703703703704</v>
      </c>
      <c r="E462" s="12">
        <v>1.11</v>
      </c>
      <c r="F462" s="12">
        <v>3.94</v>
      </c>
      <c r="G462" s="11">
        <v>11317.0</v>
      </c>
      <c r="H462" s="11">
        <v>2874.0</v>
      </c>
    </row>
    <row r="463">
      <c r="A463" s="10">
        <v>42831.0</v>
      </c>
      <c r="B463" s="11">
        <v>2666.0</v>
      </c>
      <c r="C463" s="12">
        <v>0.5262</v>
      </c>
      <c r="D463" s="2">
        <v>0.001400462962962963</v>
      </c>
      <c r="E463" s="12">
        <v>1.09</v>
      </c>
      <c r="F463" s="12">
        <v>3.17</v>
      </c>
      <c r="G463" s="11">
        <v>9192.0</v>
      </c>
      <c r="H463" s="11">
        <v>2902.0</v>
      </c>
    </row>
    <row r="464">
      <c r="A464" s="10">
        <v>42832.0</v>
      </c>
      <c r="B464" s="11">
        <v>2319.0</v>
      </c>
      <c r="C464" s="12">
        <v>0.5222</v>
      </c>
      <c r="D464" s="2">
        <v>0.0016782407407407408</v>
      </c>
      <c r="E464" s="12">
        <v>1.08</v>
      </c>
      <c r="F464" s="12">
        <v>3.72</v>
      </c>
      <c r="G464" s="11">
        <v>9303.0</v>
      </c>
      <c r="H464" s="11">
        <v>2499.0</v>
      </c>
    </row>
    <row r="465">
      <c r="A465" s="10">
        <v>42833.0</v>
      </c>
      <c r="B465" s="11">
        <v>1680.0</v>
      </c>
      <c r="C465" s="12">
        <v>0.4645</v>
      </c>
      <c r="D465" s="2">
        <v>0.001851851851851852</v>
      </c>
      <c r="E465" s="12">
        <v>1.16</v>
      </c>
      <c r="F465" s="12">
        <v>4.76</v>
      </c>
      <c r="G465" s="11">
        <v>9248.0</v>
      </c>
      <c r="H465" s="11">
        <v>1944.0</v>
      </c>
    </row>
    <row r="466">
      <c r="A466" s="10">
        <v>42834.0</v>
      </c>
      <c r="B466" s="11">
        <v>1847.0</v>
      </c>
      <c r="C466" s="12">
        <v>0.5146</v>
      </c>
      <c r="D466" s="2">
        <v>0.0019097222222222222</v>
      </c>
      <c r="E466" s="12">
        <v>1.04</v>
      </c>
      <c r="F466" s="12">
        <v>4.4</v>
      </c>
      <c r="G466" s="11">
        <v>8428.0</v>
      </c>
      <c r="H466" s="11">
        <v>1916.0</v>
      </c>
    </row>
    <row r="467">
      <c r="A467" s="10">
        <v>42835.0</v>
      </c>
      <c r="B467" s="11">
        <v>2666.0</v>
      </c>
      <c r="C467" s="12">
        <v>0.4322</v>
      </c>
      <c r="D467" s="2">
        <v>0.002199074074074074</v>
      </c>
      <c r="E467" s="12">
        <v>1.07</v>
      </c>
      <c r="F467" s="12">
        <v>4.82</v>
      </c>
      <c r="G467" s="11">
        <v>13774.0</v>
      </c>
      <c r="H467" s="11">
        <v>2860.0</v>
      </c>
    </row>
    <row r="468">
      <c r="A468" s="10">
        <v>42836.0</v>
      </c>
      <c r="B468" s="11">
        <v>2416.0</v>
      </c>
      <c r="C468" s="12">
        <v>0.474</v>
      </c>
      <c r="D468" s="2">
        <v>0.0015277777777777779</v>
      </c>
      <c r="E468" s="12">
        <v>1.12</v>
      </c>
      <c r="F468" s="12">
        <v>4.06</v>
      </c>
      <c r="G468" s="11">
        <v>10942.0</v>
      </c>
      <c r="H468" s="11">
        <v>2694.0</v>
      </c>
    </row>
    <row r="469">
      <c r="A469" s="10">
        <v>42837.0</v>
      </c>
      <c r="B469" s="11">
        <v>2138.0</v>
      </c>
      <c r="C469" s="12">
        <v>0.4068</v>
      </c>
      <c r="D469" s="2">
        <v>0.0022569444444444442</v>
      </c>
      <c r="E469" s="12">
        <v>1.18</v>
      </c>
      <c r="F469" s="12">
        <v>4.52</v>
      </c>
      <c r="G469" s="11">
        <v>11428.0</v>
      </c>
      <c r="H469" s="11">
        <v>2527.0</v>
      </c>
    </row>
    <row r="470">
      <c r="A470" s="10">
        <v>42838.0</v>
      </c>
      <c r="B470" s="11">
        <v>2374.0</v>
      </c>
      <c r="C470" s="12">
        <v>0.467</v>
      </c>
      <c r="D470" s="2">
        <v>0.0019097222222222222</v>
      </c>
      <c r="E470" s="12">
        <v>1.06</v>
      </c>
      <c r="F470" s="12">
        <v>4.03</v>
      </c>
      <c r="G470" s="11">
        <v>10192.0</v>
      </c>
      <c r="H470" s="11">
        <v>2527.0</v>
      </c>
    </row>
    <row r="471">
      <c r="A471" s="10">
        <v>42839.0</v>
      </c>
      <c r="B471" s="11">
        <v>1750.0</v>
      </c>
      <c r="C471" s="12">
        <v>0.5002</v>
      </c>
      <c r="D471" s="2">
        <v>0.001979166666666667</v>
      </c>
      <c r="E471" s="12">
        <v>1.16</v>
      </c>
      <c r="F471" s="12">
        <v>4.5</v>
      </c>
      <c r="G471" s="11">
        <v>9123.0</v>
      </c>
      <c r="H471" s="11">
        <v>2027.0</v>
      </c>
    </row>
    <row r="472">
      <c r="A472" s="10">
        <v>42840.0</v>
      </c>
      <c r="B472" s="11">
        <v>1527.0</v>
      </c>
      <c r="C472" s="12">
        <v>0.4997</v>
      </c>
      <c r="D472" s="2">
        <v>0.0019212962962962964</v>
      </c>
      <c r="E472" s="12">
        <v>1.06</v>
      </c>
      <c r="F472" s="12">
        <v>4.25</v>
      </c>
      <c r="G472" s="11">
        <v>6845.0</v>
      </c>
      <c r="H472" s="11">
        <v>1611.0</v>
      </c>
    </row>
    <row r="473">
      <c r="A473" s="10">
        <v>42841.0</v>
      </c>
      <c r="B473" s="11">
        <v>1514.0</v>
      </c>
      <c r="C473" s="12">
        <v>0.5174</v>
      </c>
      <c r="D473" s="2">
        <v>0.001724537037037037</v>
      </c>
      <c r="E473" s="12">
        <v>1.05</v>
      </c>
      <c r="F473" s="12">
        <v>3.72</v>
      </c>
      <c r="G473" s="11">
        <v>5887.0</v>
      </c>
      <c r="H473" s="11">
        <v>1583.0</v>
      </c>
    </row>
    <row r="474">
      <c r="A474" s="10">
        <v>42842.0</v>
      </c>
      <c r="B474" s="11">
        <v>2236.0</v>
      </c>
      <c r="C474" s="12">
        <v>0.4943</v>
      </c>
      <c r="D474" s="2">
        <v>0.0014351851851851852</v>
      </c>
      <c r="E474" s="12">
        <v>1.11</v>
      </c>
      <c r="F474" s="12">
        <v>3.86</v>
      </c>
      <c r="G474" s="11">
        <v>9553.0</v>
      </c>
      <c r="H474" s="11">
        <v>2472.0</v>
      </c>
    </row>
    <row r="475">
      <c r="A475" s="10">
        <v>42843.0</v>
      </c>
      <c r="B475" s="11">
        <v>2361.0</v>
      </c>
      <c r="C475" s="12">
        <v>0.4813</v>
      </c>
      <c r="D475" s="2">
        <v>0.002037037037037037</v>
      </c>
      <c r="E475" s="12">
        <v>1.1</v>
      </c>
      <c r="F475" s="12">
        <v>4.14</v>
      </c>
      <c r="G475" s="11">
        <v>10747.0</v>
      </c>
      <c r="H475" s="11">
        <v>2597.0</v>
      </c>
    </row>
    <row r="476">
      <c r="A476" s="10">
        <v>42844.0</v>
      </c>
      <c r="B476" s="11">
        <v>2430.0</v>
      </c>
      <c r="C476" s="12">
        <v>0.5518</v>
      </c>
      <c r="D476" s="2">
        <v>0.0015625</v>
      </c>
      <c r="E476" s="12">
        <v>1.05</v>
      </c>
      <c r="F476" s="12">
        <v>3.83</v>
      </c>
      <c r="G476" s="11">
        <v>9720.0</v>
      </c>
      <c r="H476" s="11">
        <v>2541.0</v>
      </c>
    </row>
    <row r="477">
      <c r="A477" s="10">
        <v>42845.0</v>
      </c>
      <c r="B477" s="11">
        <v>2305.0</v>
      </c>
      <c r="C477" s="12">
        <v>0.4507</v>
      </c>
      <c r="D477" s="2">
        <v>0.002349537037037037</v>
      </c>
      <c r="E477" s="12">
        <v>1.1</v>
      </c>
      <c r="F477" s="12">
        <v>4.18</v>
      </c>
      <c r="G477" s="11">
        <v>10553.0</v>
      </c>
      <c r="H477" s="11">
        <v>2527.0</v>
      </c>
    </row>
    <row r="478">
      <c r="A478" s="10">
        <v>42846.0</v>
      </c>
      <c r="B478" s="11">
        <v>2180.0</v>
      </c>
      <c r="C478" s="12">
        <v>0.5206</v>
      </c>
      <c r="D478" s="2">
        <v>0.001574074074074074</v>
      </c>
      <c r="E478" s="12">
        <v>1.09</v>
      </c>
      <c r="F478" s="12">
        <v>4.08</v>
      </c>
      <c r="G478" s="11">
        <v>9678.0</v>
      </c>
      <c r="H478" s="11">
        <v>2374.0</v>
      </c>
    </row>
    <row r="479">
      <c r="A479" s="10">
        <v>42847.0</v>
      </c>
      <c r="B479" s="11">
        <v>1541.0</v>
      </c>
      <c r="C479" s="12">
        <v>0.5375</v>
      </c>
      <c r="D479" s="2">
        <v>0.001863425925925926</v>
      </c>
      <c r="E479" s="12">
        <v>1.09</v>
      </c>
      <c r="F479" s="12">
        <v>3.89</v>
      </c>
      <c r="G479" s="11">
        <v>6540.0</v>
      </c>
      <c r="H479" s="11">
        <v>1680.0</v>
      </c>
    </row>
    <row r="480">
      <c r="A480" s="10">
        <v>42848.0</v>
      </c>
      <c r="B480" s="11">
        <v>1472.0</v>
      </c>
      <c r="C480" s="12">
        <v>0.5041</v>
      </c>
      <c r="D480" s="2">
        <v>0.0013078703703703703</v>
      </c>
      <c r="E480" s="12">
        <v>1.08</v>
      </c>
      <c r="F480" s="12">
        <v>3.67</v>
      </c>
      <c r="G480" s="11">
        <v>5860.0</v>
      </c>
      <c r="H480" s="11">
        <v>1597.0</v>
      </c>
    </row>
    <row r="481">
      <c r="A481" s="10">
        <v>42849.0</v>
      </c>
      <c r="B481" s="11">
        <v>2194.0</v>
      </c>
      <c r="C481" s="12">
        <v>0.4856</v>
      </c>
      <c r="D481" s="2">
        <v>0.0019097222222222222</v>
      </c>
      <c r="E481" s="12">
        <v>1.11</v>
      </c>
      <c r="F481" s="12">
        <v>4.18</v>
      </c>
      <c r="G481" s="11">
        <v>10164.0</v>
      </c>
      <c r="H481" s="11">
        <v>2430.0</v>
      </c>
    </row>
    <row r="482">
      <c r="A482" s="10">
        <v>42850.0</v>
      </c>
      <c r="B482" s="11">
        <v>2263.0</v>
      </c>
      <c r="C482" s="12">
        <v>0.4494</v>
      </c>
      <c r="D482" s="2">
        <v>0.001875</v>
      </c>
      <c r="E482" s="12">
        <v>1.09</v>
      </c>
      <c r="F482" s="12">
        <v>4.18</v>
      </c>
      <c r="G482" s="11">
        <v>10345.0</v>
      </c>
      <c r="H482" s="11">
        <v>2472.0</v>
      </c>
    </row>
    <row r="483">
      <c r="A483" s="10">
        <v>42851.0</v>
      </c>
      <c r="B483" s="11">
        <v>4082.0</v>
      </c>
      <c r="C483" s="12">
        <v>0.4764</v>
      </c>
      <c r="D483" s="2">
        <v>0.0017939814814814815</v>
      </c>
      <c r="E483" s="12">
        <v>1.08</v>
      </c>
      <c r="F483" s="12">
        <v>3.52</v>
      </c>
      <c r="G483" s="11">
        <v>15482.0</v>
      </c>
      <c r="H483" s="11">
        <v>4402.0</v>
      </c>
    </row>
    <row r="484">
      <c r="A484" s="10">
        <v>42852.0</v>
      </c>
      <c r="B484" s="11">
        <v>2708.0</v>
      </c>
      <c r="C484" s="12">
        <v>0.4736</v>
      </c>
      <c r="D484" s="2">
        <v>0.0015625</v>
      </c>
      <c r="E484" s="12">
        <v>1.06</v>
      </c>
      <c r="F484" s="12">
        <v>3.68</v>
      </c>
      <c r="G484" s="11">
        <v>10567.0</v>
      </c>
      <c r="H484" s="11">
        <v>2874.0</v>
      </c>
    </row>
    <row r="485">
      <c r="A485" s="10">
        <v>42853.0</v>
      </c>
      <c r="B485" s="11">
        <v>2374.0</v>
      </c>
      <c r="C485" s="12">
        <v>0.4216</v>
      </c>
      <c r="D485" s="2">
        <v>0.0024305555555555556</v>
      </c>
      <c r="E485" s="12">
        <v>1.08</v>
      </c>
      <c r="F485" s="12">
        <v>5.39</v>
      </c>
      <c r="G485" s="11">
        <v>13858.0</v>
      </c>
      <c r="H485" s="11">
        <v>2569.0</v>
      </c>
    </row>
    <row r="486">
      <c r="A486" s="10">
        <v>42854.0</v>
      </c>
      <c r="B486" s="11">
        <v>1402.0</v>
      </c>
      <c r="C486" s="12">
        <v>0.5773</v>
      </c>
      <c r="D486" s="2">
        <v>0.0013194444444444445</v>
      </c>
      <c r="E486" s="12">
        <v>1.15</v>
      </c>
      <c r="F486" s="12">
        <v>2.78</v>
      </c>
      <c r="G486" s="11">
        <v>4485.0</v>
      </c>
      <c r="H486" s="11">
        <v>1611.0</v>
      </c>
    </row>
    <row r="487">
      <c r="A487" s="10">
        <v>42855.0</v>
      </c>
      <c r="B487" s="11">
        <v>1569.0</v>
      </c>
      <c r="C487" s="12">
        <v>0.4788</v>
      </c>
      <c r="D487" s="2">
        <v>0.0014467592592592592</v>
      </c>
      <c r="E487" s="12">
        <v>1.05</v>
      </c>
      <c r="F487" s="12">
        <v>3.77</v>
      </c>
      <c r="G487" s="11">
        <v>6221.0</v>
      </c>
      <c r="H487" s="11">
        <v>1652.0</v>
      </c>
    </row>
    <row r="488">
      <c r="A488" s="10">
        <v>42856.0</v>
      </c>
      <c r="B488" s="11">
        <v>2444.0</v>
      </c>
      <c r="C488" s="12">
        <v>0.4292</v>
      </c>
      <c r="D488" s="2">
        <v>0.0021180555555555558</v>
      </c>
      <c r="E488" s="12">
        <v>1.12</v>
      </c>
      <c r="F488" s="12">
        <v>4.83</v>
      </c>
      <c r="G488" s="11">
        <v>13288.0</v>
      </c>
      <c r="H488" s="11">
        <v>2749.0</v>
      </c>
    </row>
    <row r="489">
      <c r="A489" s="10">
        <v>42857.0</v>
      </c>
      <c r="B489" s="11">
        <v>2416.0</v>
      </c>
      <c r="C489" s="12">
        <v>0.4689</v>
      </c>
      <c r="D489" s="2">
        <v>0.002002314814814815</v>
      </c>
      <c r="E489" s="12">
        <v>1.1</v>
      </c>
      <c r="F489" s="12">
        <v>4.18</v>
      </c>
      <c r="G489" s="11">
        <v>11136.0</v>
      </c>
      <c r="H489" s="11">
        <v>2666.0</v>
      </c>
    </row>
    <row r="490">
      <c r="A490" s="10">
        <v>42858.0</v>
      </c>
      <c r="B490" s="11">
        <v>2416.0</v>
      </c>
      <c r="C490" s="12">
        <v>0.4869</v>
      </c>
      <c r="D490" s="2">
        <v>0.0020486111111111113</v>
      </c>
      <c r="E490" s="12">
        <v>1.11</v>
      </c>
      <c r="F490" s="12">
        <v>4.45</v>
      </c>
      <c r="G490" s="11">
        <v>11914.0</v>
      </c>
      <c r="H490" s="11">
        <v>2680.0</v>
      </c>
    </row>
    <row r="491">
      <c r="A491" s="10">
        <v>42859.0</v>
      </c>
      <c r="B491" s="11">
        <v>2694.0</v>
      </c>
      <c r="C491" s="12">
        <v>0.5328</v>
      </c>
      <c r="D491" s="2">
        <v>9.143518518518518E-4</v>
      </c>
      <c r="E491" s="12">
        <v>1.1</v>
      </c>
      <c r="F491" s="12">
        <v>3.24</v>
      </c>
      <c r="G491" s="11">
        <v>9636.0</v>
      </c>
      <c r="H491" s="11">
        <v>2971.0</v>
      </c>
    </row>
    <row r="492">
      <c r="A492" s="10">
        <v>42860.0</v>
      </c>
      <c r="B492" s="11">
        <v>1763.0</v>
      </c>
      <c r="C492" s="12">
        <v>0.4898</v>
      </c>
      <c r="D492" s="2">
        <v>0.0015509259259259259</v>
      </c>
      <c r="E492" s="12">
        <v>1.14</v>
      </c>
      <c r="F492" s="12">
        <v>4.08</v>
      </c>
      <c r="G492" s="11">
        <v>8206.0</v>
      </c>
      <c r="H492" s="11">
        <v>2013.0</v>
      </c>
    </row>
    <row r="493">
      <c r="A493" s="10">
        <v>42861.0</v>
      </c>
      <c r="B493" s="11">
        <v>1333.0</v>
      </c>
      <c r="C493" s="12">
        <v>0.5769</v>
      </c>
      <c r="D493" s="2">
        <v>0.0020949074074074073</v>
      </c>
      <c r="E493" s="12">
        <v>1.08</v>
      </c>
      <c r="F493" s="12">
        <v>4.51</v>
      </c>
      <c r="G493" s="11">
        <v>6512.0</v>
      </c>
      <c r="H493" s="11">
        <v>1444.0</v>
      </c>
    </row>
    <row r="494">
      <c r="A494" s="10">
        <v>42862.0</v>
      </c>
      <c r="B494" s="11">
        <v>1347.0</v>
      </c>
      <c r="C494" s="12">
        <v>0.5754</v>
      </c>
      <c r="D494" s="2">
        <v>0.001412037037037037</v>
      </c>
      <c r="E494" s="12">
        <v>1.09</v>
      </c>
      <c r="F494" s="12">
        <v>3.57</v>
      </c>
      <c r="G494" s="11">
        <v>5249.0</v>
      </c>
      <c r="H494" s="11">
        <v>1472.0</v>
      </c>
    </row>
    <row r="495">
      <c r="A495" s="10">
        <v>42863.0</v>
      </c>
      <c r="B495" s="11">
        <v>1902.0</v>
      </c>
      <c r="C495" s="12">
        <v>0.4444</v>
      </c>
      <c r="D495" s="2">
        <v>0.0025694444444444445</v>
      </c>
      <c r="E495" s="12">
        <v>1.12</v>
      </c>
      <c r="F495" s="12">
        <v>5.04</v>
      </c>
      <c r="G495" s="11">
        <v>10706.0</v>
      </c>
      <c r="H495" s="11">
        <v>2124.0</v>
      </c>
    </row>
    <row r="496">
      <c r="A496" s="10">
        <v>42864.0</v>
      </c>
      <c r="B496" s="11">
        <v>2111.0</v>
      </c>
      <c r="C496" s="12">
        <v>0.4592</v>
      </c>
      <c r="D496" s="2">
        <v>0.002025462962962963</v>
      </c>
      <c r="E496" s="12">
        <v>1.05</v>
      </c>
      <c r="F496" s="12">
        <v>4.75</v>
      </c>
      <c r="G496" s="11">
        <v>10497.0</v>
      </c>
      <c r="H496" s="11">
        <v>2208.0</v>
      </c>
    </row>
    <row r="497">
      <c r="A497" s="10">
        <v>42865.0</v>
      </c>
      <c r="B497" s="11">
        <v>1930.0</v>
      </c>
      <c r="C497" s="12">
        <v>0.3988</v>
      </c>
      <c r="D497" s="2">
        <v>0.0030902777777777777</v>
      </c>
      <c r="E497" s="12">
        <v>1.14</v>
      </c>
      <c r="F497" s="12">
        <v>4.99</v>
      </c>
      <c r="G497" s="11">
        <v>10942.0</v>
      </c>
      <c r="H497" s="11">
        <v>2194.0</v>
      </c>
    </row>
    <row r="498">
      <c r="A498" s="10">
        <v>42866.0</v>
      </c>
      <c r="B498" s="11">
        <v>2152.0</v>
      </c>
      <c r="C498" s="12">
        <v>0.4312</v>
      </c>
      <c r="D498" s="2">
        <v>0.0021759259259259258</v>
      </c>
      <c r="E498" s="12">
        <v>1.08</v>
      </c>
      <c r="F498" s="12">
        <v>4.48</v>
      </c>
      <c r="G498" s="11">
        <v>10400.0</v>
      </c>
      <c r="H498" s="11">
        <v>2319.0</v>
      </c>
    </row>
    <row r="499">
      <c r="A499" s="10">
        <v>42867.0</v>
      </c>
      <c r="B499" s="11">
        <v>1916.0</v>
      </c>
      <c r="C499" s="12">
        <v>0.4557</v>
      </c>
      <c r="D499" s="2">
        <v>0.002210648148148148</v>
      </c>
      <c r="E499" s="12">
        <v>1.07</v>
      </c>
      <c r="F499" s="12">
        <v>4.28</v>
      </c>
      <c r="G499" s="11">
        <v>8734.0</v>
      </c>
      <c r="H499" s="11">
        <v>2041.0</v>
      </c>
    </row>
    <row r="500">
      <c r="A500" s="10">
        <v>42868.0</v>
      </c>
      <c r="B500" s="11">
        <v>1194.0</v>
      </c>
      <c r="C500" s="12">
        <v>0.3806</v>
      </c>
      <c r="D500" s="2">
        <v>0.003460648148148148</v>
      </c>
      <c r="E500" s="12">
        <v>1.07</v>
      </c>
      <c r="F500" s="12">
        <v>6.71</v>
      </c>
      <c r="G500" s="11">
        <v>8567.0</v>
      </c>
      <c r="H500" s="11">
        <v>1277.0</v>
      </c>
    </row>
    <row r="501">
      <c r="A501" s="10">
        <v>42869.0</v>
      </c>
      <c r="B501" s="11">
        <v>1152.0</v>
      </c>
      <c r="C501" s="12">
        <v>0.3981</v>
      </c>
      <c r="D501" s="2">
        <v>0.0019444444444444444</v>
      </c>
      <c r="E501" s="12">
        <v>1.12</v>
      </c>
      <c r="F501" s="12">
        <v>5.39</v>
      </c>
      <c r="G501" s="11">
        <v>6957.0</v>
      </c>
      <c r="H501" s="11">
        <v>1291.0</v>
      </c>
    </row>
    <row r="502">
      <c r="A502" s="10">
        <v>42870.0</v>
      </c>
      <c r="B502" s="11">
        <v>2152.0</v>
      </c>
      <c r="C502" s="12">
        <v>0.4034</v>
      </c>
      <c r="D502" s="2">
        <v>0.002372685185185185</v>
      </c>
      <c r="E502" s="12">
        <v>1.14</v>
      </c>
      <c r="F502" s="12">
        <v>4.37</v>
      </c>
      <c r="G502" s="11">
        <v>10692.0</v>
      </c>
      <c r="H502" s="11">
        <v>2444.0</v>
      </c>
    </row>
    <row r="503">
      <c r="A503" s="10">
        <v>42871.0</v>
      </c>
      <c r="B503" s="11">
        <v>2666.0</v>
      </c>
      <c r="C503" s="12">
        <v>0.485</v>
      </c>
      <c r="D503" s="2">
        <v>0.0014930555555555556</v>
      </c>
      <c r="E503" s="12">
        <v>1.21</v>
      </c>
      <c r="F503" s="12">
        <v>3.61</v>
      </c>
      <c r="G503" s="11">
        <v>11678.0</v>
      </c>
      <c r="H503" s="11">
        <v>3235.0</v>
      </c>
    </row>
    <row r="504">
      <c r="A504" s="10">
        <v>42872.0</v>
      </c>
      <c r="B504" s="11">
        <v>2860.0</v>
      </c>
      <c r="C504" s="12">
        <v>0.5167</v>
      </c>
      <c r="D504" s="2">
        <v>0.0024421296296296296</v>
      </c>
      <c r="E504" s="12">
        <v>1.17</v>
      </c>
      <c r="F504" s="12">
        <v>4.86</v>
      </c>
      <c r="G504" s="11">
        <v>16315.0</v>
      </c>
      <c r="H504" s="11">
        <v>3360.0</v>
      </c>
    </row>
    <row r="505">
      <c r="A505" s="10">
        <v>42873.0</v>
      </c>
      <c r="B505" s="11">
        <v>2610.0</v>
      </c>
      <c r="C505" s="12">
        <v>0.3961</v>
      </c>
      <c r="D505" s="2">
        <v>0.0021180555555555558</v>
      </c>
      <c r="E505" s="12">
        <v>1.13</v>
      </c>
      <c r="F505" s="12">
        <v>5.23</v>
      </c>
      <c r="G505" s="11">
        <v>15399.0</v>
      </c>
      <c r="H505" s="11">
        <v>2944.0</v>
      </c>
    </row>
    <row r="506">
      <c r="A506" s="10">
        <v>42874.0</v>
      </c>
      <c r="B506" s="11">
        <v>2249.0</v>
      </c>
      <c r="C506" s="12">
        <v>0.3351</v>
      </c>
      <c r="D506" s="2">
        <v>0.0022800925925925927</v>
      </c>
      <c r="E506" s="12">
        <v>1.09</v>
      </c>
      <c r="F506" s="12">
        <v>5.2</v>
      </c>
      <c r="G506" s="11">
        <v>12705.0</v>
      </c>
      <c r="H506" s="11">
        <v>2444.0</v>
      </c>
    </row>
    <row r="507">
      <c r="A507" s="10">
        <v>42875.0</v>
      </c>
      <c r="B507" s="11">
        <v>1861.0</v>
      </c>
      <c r="C507" s="12">
        <v>0.3402</v>
      </c>
      <c r="D507" s="2">
        <v>0.0024189814814814816</v>
      </c>
      <c r="E507" s="12">
        <v>1.07</v>
      </c>
      <c r="F507" s="12">
        <v>5.37</v>
      </c>
      <c r="G507" s="11">
        <v>10733.0</v>
      </c>
      <c r="H507" s="11">
        <v>1999.0</v>
      </c>
    </row>
    <row r="508">
      <c r="A508" s="10">
        <v>42876.0</v>
      </c>
      <c r="B508" s="11">
        <v>1514.0</v>
      </c>
      <c r="C508" s="12">
        <v>0.4609</v>
      </c>
      <c r="D508" s="2">
        <v>0.001990740740740741</v>
      </c>
      <c r="E508" s="12">
        <v>1.17</v>
      </c>
      <c r="F508" s="12">
        <v>4.41</v>
      </c>
      <c r="G508" s="11">
        <v>7845.0</v>
      </c>
      <c r="H508" s="11">
        <v>1777.0</v>
      </c>
    </row>
    <row r="509">
      <c r="A509" s="10">
        <v>42877.0</v>
      </c>
      <c r="B509" s="11">
        <v>2305.0</v>
      </c>
      <c r="C509" s="12">
        <v>0.3875</v>
      </c>
      <c r="D509" s="2">
        <v>0.0027083333333333334</v>
      </c>
      <c r="E509" s="12">
        <v>1.07</v>
      </c>
      <c r="F509" s="12">
        <v>5.86</v>
      </c>
      <c r="G509" s="11">
        <v>14482.0</v>
      </c>
      <c r="H509" s="11">
        <v>2472.0</v>
      </c>
    </row>
    <row r="510">
      <c r="A510" s="10">
        <v>42878.0</v>
      </c>
      <c r="B510" s="11">
        <v>2013.0</v>
      </c>
      <c r="C510" s="12">
        <v>0.3713</v>
      </c>
      <c r="D510" s="2">
        <v>0.002395833333333333</v>
      </c>
      <c r="E510" s="12">
        <v>1.15</v>
      </c>
      <c r="F510" s="12">
        <v>4.8</v>
      </c>
      <c r="G510" s="11">
        <v>11136.0</v>
      </c>
      <c r="H510" s="11">
        <v>2319.0</v>
      </c>
    </row>
    <row r="511">
      <c r="A511" s="10">
        <v>42879.0</v>
      </c>
      <c r="B511" s="11">
        <v>2208.0</v>
      </c>
      <c r="C511" s="12">
        <v>0.4234</v>
      </c>
      <c r="D511" s="2">
        <v>0.002372685185185185</v>
      </c>
      <c r="E511" s="12">
        <v>1.19</v>
      </c>
      <c r="F511" s="12">
        <v>5.12</v>
      </c>
      <c r="G511" s="11">
        <v>13427.0</v>
      </c>
      <c r="H511" s="11">
        <v>2624.0</v>
      </c>
    </row>
    <row r="512">
      <c r="A512" s="10">
        <v>42880.0</v>
      </c>
      <c r="B512" s="11">
        <v>2166.0</v>
      </c>
      <c r="C512" s="12">
        <v>0.4284</v>
      </c>
      <c r="D512" s="2">
        <v>0.0017708333333333332</v>
      </c>
      <c r="E512" s="12">
        <v>1.12</v>
      </c>
      <c r="F512" s="12">
        <v>4.42</v>
      </c>
      <c r="G512" s="11">
        <v>10733.0</v>
      </c>
      <c r="H512" s="11">
        <v>2430.0</v>
      </c>
    </row>
    <row r="513">
      <c r="A513" s="10">
        <v>42881.0</v>
      </c>
      <c r="B513" s="11">
        <v>1875.0</v>
      </c>
      <c r="C513" s="12">
        <v>0.4447</v>
      </c>
      <c r="D513" s="2">
        <v>0.0015162037037037036</v>
      </c>
      <c r="E513" s="12">
        <v>1.07</v>
      </c>
      <c r="F513" s="12">
        <v>4.15</v>
      </c>
      <c r="G513" s="11">
        <v>8290.0</v>
      </c>
      <c r="H513" s="11">
        <v>1999.0</v>
      </c>
    </row>
    <row r="514">
      <c r="A514" s="10">
        <v>42882.0</v>
      </c>
      <c r="B514" s="11">
        <v>1458.0</v>
      </c>
      <c r="C514" s="12">
        <v>0.5717</v>
      </c>
      <c r="D514" s="2">
        <v>0.0014351851851851852</v>
      </c>
      <c r="E514" s="12">
        <v>1.07</v>
      </c>
      <c r="F514" s="12">
        <v>3.54</v>
      </c>
      <c r="G514" s="11">
        <v>5499.0</v>
      </c>
      <c r="H514" s="11">
        <v>1555.0</v>
      </c>
    </row>
    <row r="515">
      <c r="A515" s="10">
        <v>42883.0</v>
      </c>
      <c r="B515" s="11">
        <v>1389.0</v>
      </c>
      <c r="C515" s="12">
        <v>0.6373</v>
      </c>
      <c r="D515" s="2">
        <v>0.0013657407407407407</v>
      </c>
      <c r="E515" s="12">
        <v>1.13</v>
      </c>
      <c r="F515" s="12">
        <v>3.66</v>
      </c>
      <c r="G515" s="11">
        <v>5749.0</v>
      </c>
      <c r="H515" s="11">
        <v>1569.0</v>
      </c>
    </row>
    <row r="516">
      <c r="A516" s="10">
        <v>42884.0</v>
      </c>
      <c r="B516" s="11">
        <v>1638.0</v>
      </c>
      <c r="C516" s="12">
        <v>0.5385</v>
      </c>
      <c r="D516" s="2">
        <v>0.0021180555555555558</v>
      </c>
      <c r="E516" s="12">
        <v>1.1</v>
      </c>
      <c r="F516" s="12">
        <v>4.11</v>
      </c>
      <c r="G516" s="11">
        <v>7415.0</v>
      </c>
      <c r="H516" s="11">
        <v>1805.0</v>
      </c>
    </row>
    <row r="517">
      <c r="A517" s="10">
        <v>42885.0</v>
      </c>
      <c r="B517" s="11">
        <v>2124.0</v>
      </c>
      <c r="C517" s="12">
        <v>0.3728</v>
      </c>
      <c r="D517" s="2">
        <v>0.0024652777777777776</v>
      </c>
      <c r="E517" s="12">
        <v>1.1</v>
      </c>
      <c r="F517" s="12">
        <v>4.97</v>
      </c>
      <c r="G517" s="11">
        <v>11664.0</v>
      </c>
      <c r="H517" s="11">
        <v>2347.0</v>
      </c>
    </row>
    <row r="518">
      <c r="A518" s="10">
        <v>42886.0</v>
      </c>
      <c r="B518" s="11">
        <v>2291.0</v>
      </c>
      <c r="C518" s="12">
        <v>0.3817</v>
      </c>
      <c r="D518" s="2">
        <v>0.002777777777777778</v>
      </c>
      <c r="E518" s="12">
        <v>1.13</v>
      </c>
      <c r="F518" s="12">
        <v>4.93</v>
      </c>
      <c r="G518" s="11">
        <v>12747.0</v>
      </c>
      <c r="H518" s="11">
        <v>2583.0</v>
      </c>
    </row>
    <row r="519">
      <c r="A519" s="10">
        <v>42887.0</v>
      </c>
      <c r="B519" s="11">
        <v>2777.0</v>
      </c>
      <c r="C519" s="12">
        <v>0.4404</v>
      </c>
      <c r="D519" s="2">
        <v>0.001736111111111111</v>
      </c>
      <c r="E519" s="12">
        <v>1.09</v>
      </c>
      <c r="F519" s="12">
        <v>4.27</v>
      </c>
      <c r="G519" s="11">
        <v>12927.0</v>
      </c>
      <c r="H519" s="11">
        <v>3027.0</v>
      </c>
    </row>
    <row r="520">
      <c r="A520" s="10">
        <v>42888.0</v>
      </c>
      <c r="B520" s="11">
        <v>2249.0</v>
      </c>
      <c r="C520" s="12">
        <v>0.4528</v>
      </c>
      <c r="D520" s="2">
        <v>0.0014699074074074074</v>
      </c>
      <c r="E520" s="12">
        <v>1.05</v>
      </c>
      <c r="F520" s="12">
        <v>4.23</v>
      </c>
      <c r="G520" s="11">
        <v>9997.0</v>
      </c>
      <c r="H520" s="11">
        <v>2361.0</v>
      </c>
    </row>
    <row r="521">
      <c r="A521" s="10">
        <v>42889.0</v>
      </c>
      <c r="B521" s="11">
        <v>1402.0</v>
      </c>
      <c r="C521" s="12">
        <v>0.4568</v>
      </c>
      <c r="D521" s="2">
        <v>0.0018981481481481482</v>
      </c>
      <c r="E521" s="12">
        <v>1.04</v>
      </c>
      <c r="F521" s="12">
        <v>4.43</v>
      </c>
      <c r="G521" s="11">
        <v>6457.0</v>
      </c>
      <c r="H521" s="11">
        <v>1458.0</v>
      </c>
    </row>
    <row r="522">
      <c r="A522" s="10">
        <v>42890.0</v>
      </c>
      <c r="B522" s="11">
        <v>1514.0</v>
      </c>
      <c r="C522" s="12">
        <v>0.4709</v>
      </c>
      <c r="D522" s="2">
        <v>0.001863425925925926</v>
      </c>
      <c r="E522" s="12">
        <v>1.09</v>
      </c>
      <c r="F522" s="12">
        <v>3.87</v>
      </c>
      <c r="G522" s="11">
        <v>6401.0</v>
      </c>
      <c r="H522" s="11">
        <v>1652.0</v>
      </c>
    </row>
    <row r="523">
      <c r="A523" s="10">
        <v>42891.0</v>
      </c>
      <c r="B523" s="11">
        <v>2388.0</v>
      </c>
      <c r="C523" s="12">
        <v>0.5158</v>
      </c>
      <c r="D523" s="2">
        <v>0.0015625</v>
      </c>
      <c r="E523" s="12">
        <v>1.12</v>
      </c>
      <c r="F523" s="12">
        <v>3.33</v>
      </c>
      <c r="G523" s="11">
        <v>8887.0</v>
      </c>
      <c r="H523" s="11">
        <v>2666.0</v>
      </c>
    </row>
    <row r="524">
      <c r="A524" s="10">
        <v>42892.0</v>
      </c>
      <c r="B524" s="11">
        <v>2180.0</v>
      </c>
      <c r="C524" s="12">
        <v>0.3914</v>
      </c>
      <c r="D524" s="2">
        <v>0.002534722222222222</v>
      </c>
      <c r="E524" s="12">
        <v>1.17</v>
      </c>
      <c r="F524" s="12">
        <v>4.6</v>
      </c>
      <c r="G524" s="11">
        <v>11747.0</v>
      </c>
      <c r="H524" s="11">
        <v>2555.0</v>
      </c>
    </row>
    <row r="525">
      <c r="A525" s="10">
        <v>42893.0</v>
      </c>
      <c r="B525" s="11">
        <v>2291.0</v>
      </c>
      <c r="C525" s="12">
        <v>0.4807</v>
      </c>
      <c r="D525" s="2">
        <v>0.002013888888888889</v>
      </c>
      <c r="E525" s="12">
        <v>1.1</v>
      </c>
      <c r="F525" s="12">
        <v>4.58</v>
      </c>
      <c r="G525" s="11">
        <v>11497.0</v>
      </c>
      <c r="H525" s="11">
        <v>2513.0</v>
      </c>
    </row>
    <row r="526">
      <c r="A526" s="10">
        <v>42894.0</v>
      </c>
      <c r="B526" s="11">
        <v>2097.0</v>
      </c>
      <c r="C526" s="12">
        <v>0.4912</v>
      </c>
      <c r="D526" s="2">
        <v>0.001724537037037037</v>
      </c>
      <c r="E526" s="12">
        <v>1.13</v>
      </c>
      <c r="F526" s="12">
        <v>3.9</v>
      </c>
      <c r="G526" s="11">
        <v>9262.0</v>
      </c>
      <c r="H526" s="11">
        <v>2374.0</v>
      </c>
    </row>
    <row r="527">
      <c r="A527" s="10">
        <v>42895.0</v>
      </c>
      <c r="B527" s="11">
        <v>1861.0</v>
      </c>
      <c r="C527" s="12">
        <v>0.4026</v>
      </c>
      <c r="D527" s="2">
        <v>0.001979166666666667</v>
      </c>
      <c r="E527" s="12">
        <v>1.11</v>
      </c>
      <c r="F527" s="12">
        <v>5.33</v>
      </c>
      <c r="G527" s="11">
        <v>11025.0</v>
      </c>
      <c r="H527" s="11">
        <v>2069.0</v>
      </c>
    </row>
    <row r="528">
      <c r="A528" s="10">
        <v>42896.0</v>
      </c>
      <c r="B528" s="11">
        <v>1416.0</v>
      </c>
      <c r="C528" s="12">
        <v>0.5309</v>
      </c>
      <c r="D528" s="2">
        <v>0.0014236111111111112</v>
      </c>
      <c r="E528" s="12">
        <v>1.11</v>
      </c>
      <c r="F528" s="12">
        <v>3.27</v>
      </c>
      <c r="G528" s="11">
        <v>5124.0</v>
      </c>
      <c r="H528" s="11">
        <v>1569.0</v>
      </c>
    </row>
    <row r="529">
      <c r="A529" s="10">
        <v>42897.0</v>
      </c>
      <c r="B529" s="11">
        <v>1375.0</v>
      </c>
      <c r="C529" s="12">
        <v>0.4915</v>
      </c>
      <c r="D529" s="2">
        <v>0.0027314814814814814</v>
      </c>
      <c r="E529" s="12">
        <v>1.19</v>
      </c>
      <c r="F529" s="12">
        <v>5.53</v>
      </c>
      <c r="G529" s="11">
        <v>9053.0</v>
      </c>
      <c r="H529" s="11">
        <v>1638.0</v>
      </c>
    </row>
    <row r="530">
      <c r="A530" s="10">
        <v>42898.0</v>
      </c>
      <c r="B530" s="11">
        <v>2374.0</v>
      </c>
      <c r="C530" s="12">
        <v>0.4509</v>
      </c>
      <c r="D530" s="2">
        <v>0.0014814814814814814</v>
      </c>
      <c r="E530" s="12">
        <v>1.08</v>
      </c>
      <c r="F530" s="12">
        <v>3.98</v>
      </c>
      <c r="G530" s="11">
        <v>10164.0</v>
      </c>
      <c r="H530" s="11">
        <v>2555.0</v>
      </c>
    </row>
    <row r="531">
      <c r="A531" s="10">
        <v>42899.0</v>
      </c>
      <c r="B531" s="11">
        <v>2124.0</v>
      </c>
      <c r="C531" s="12">
        <v>0.4418</v>
      </c>
      <c r="D531" s="2">
        <v>0.002002314814814815</v>
      </c>
      <c r="E531" s="12">
        <v>1.12</v>
      </c>
      <c r="F531" s="12">
        <v>4.68</v>
      </c>
      <c r="G531" s="11">
        <v>11164.0</v>
      </c>
      <c r="H531" s="11">
        <v>2388.0</v>
      </c>
    </row>
    <row r="532">
      <c r="A532" s="10">
        <v>42900.0</v>
      </c>
      <c r="B532" s="11">
        <v>2472.0</v>
      </c>
      <c r="C532" s="12">
        <v>0.4295</v>
      </c>
      <c r="D532" s="2">
        <v>0.0022337962962962962</v>
      </c>
      <c r="E532" s="12">
        <v>1.07</v>
      </c>
      <c r="F532" s="12">
        <v>4.53</v>
      </c>
      <c r="G532" s="11">
        <v>12011.0</v>
      </c>
      <c r="H532" s="11">
        <v>2652.0</v>
      </c>
    </row>
    <row r="533">
      <c r="A533" s="10">
        <v>42901.0</v>
      </c>
      <c r="B533" s="11">
        <v>2097.0</v>
      </c>
      <c r="C533" s="12">
        <v>0.4487</v>
      </c>
      <c r="D533" s="2">
        <v>0.0019444444444444444</v>
      </c>
      <c r="E533" s="12">
        <v>1.09</v>
      </c>
      <c r="F533" s="12">
        <v>4.18</v>
      </c>
      <c r="G533" s="11">
        <v>9567.0</v>
      </c>
      <c r="H533" s="11">
        <v>2291.0</v>
      </c>
    </row>
    <row r="534">
      <c r="A534" s="10">
        <v>42902.0</v>
      </c>
      <c r="B534" s="11">
        <v>1833.0</v>
      </c>
      <c r="C534" s="12">
        <v>0.451</v>
      </c>
      <c r="D534" s="2">
        <v>0.0021296296296296298</v>
      </c>
      <c r="E534" s="12">
        <v>1.16</v>
      </c>
      <c r="F534" s="12">
        <v>4.78</v>
      </c>
      <c r="G534" s="11">
        <v>10150.0</v>
      </c>
      <c r="H534" s="11">
        <v>2124.0</v>
      </c>
    </row>
    <row r="535">
      <c r="A535" s="10">
        <v>42903.0</v>
      </c>
      <c r="B535" s="11">
        <v>1389.0</v>
      </c>
      <c r="C535" s="12">
        <v>0.5606</v>
      </c>
      <c r="D535" s="2">
        <v>0.0015509259259259259</v>
      </c>
      <c r="E535" s="12">
        <v>1.07</v>
      </c>
      <c r="F535" s="12">
        <v>3.15</v>
      </c>
      <c r="G535" s="11">
        <v>4679.0</v>
      </c>
      <c r="H535" s="11">
        <v>1486.0</v>
      </c>
    </row>
    <row r="536">
      <c r="A536" s="10">
        <v>42904.0</v>
      </c>
      <c r="B536" s="11">
        <v>1375.0</v>
      </c>
      <c r="C536" s="12">
        <v>0.4373</v>
      </c>
      <c r="D536" s="2">
        <v>0.0014351851851851852</v>
      </c>
      <c r="E536" s="12">
        <v>1.13</v>
      </c>
      <c r="F536" s="12">
        <v>3.63</v>
      </c>
      <c r="G536" s="11">
        <v>5637.0</v>
      </c>
      <c r="H536" s="11">
        <v>1555.0</v>
      </c>
    </row>
    <row r="537">
      <c r="A537" s="10">
        <v>42905.0</v>
      </c>
      <c r="B537" s="11">
        <v>2097.0</v>
      </c>
      <c r="C537" s="12">
        <v>0.3998</v>
      </c>
      <c r="D537" s="2">
        <v>0.0028356481481481483</v>
      </c>
      <c r="E537" s="12">
        <v>1.13</v>
      </c>
      <c r="F537" s="12">
        <v>6.17</v>
      </c>
      <c r="G537" s="11">
        <v>14566.0</v>
      </c>
      <c r="H537" s="11">
        <v>2361.0</v>
      </c>
    </row>
    <row r="538">
      <c r="A538" s="10">
        <v>42906.0</v>
      </c>
      <c r="B538" s="11">
        <v>2166.0</v>
      </c>
      <c r="C538" s="12">
        <v>0.5418</v>
      </c>
      <c r="D538" s="2">
        <v>0.0012268518518518518</v>
      </c>
      <c r="E538" s="12">
        <v>1.08</v>
      </c>
      <c r="F538" s="12">
        <v>3.33</v>
      </c>
      <c r="G538" s="11">
        <v>7776.0</v>
      </c>
      <c r="H538" s="11">
        <v>2333.0</v>
      </c>
    </row>
    <row r="539">
      <c r="A539" s="10">
        <v>42907.0</v>
      </c>
      <c r="B539" s="11">
        <v>2291.0</v>
      </c>
      <c r="C539" s="12">
        <v>0.4918</v>
      </c>
      <c r="D539" s="2">
        <v>0.0013657407407407407</v>
      </c>
      <c r="E539" s="12">
        <v>1.1</v>
      </c>
      <c r="F539" s="12">
        <v>3.33</v>
      </c>
      <c r="G539" s="11">
        <v>8359.0</v>
      </c>
      <c r="H539" s="11">
        <v>2513.0</v>
      </c>
    </row>
    <row r="540">
      <c r="A540" s="10">
        <v>42908.0</v>
      </c>
      <c r="B540" s="11">
        <v>2194.0</v>
      </c>
      <c r="C540" s="12">
        <v>0.4541</v>
      </c>
      <c r="D540" s="2">
        <v>0.0017476851851851852</v>
      </c>
      <c r="E540" s="12">
        <v>1.1</v>
      </c>
      <c r="F540" s="12">
        <v>4.37</v>
      </c>
      <c r="G540" s="11">
        <v>10567.0</v>
      </c>
      <c r="H540" s="11">
        <v>2416.0</v>
      </c>
    </row>
    <row r="541">
      <c r="A541" s="10">
        <v>42909.0</v>
      </c>
      <c r="B541" s="11">
        <v>2069.0</v>
      </c>
      <c r="C541" s="12">
        <v>0.5277</v>
      </c>
      <c r="D541" s="2">
        <v>0.0013541666666666667</v>
      </c>
      <c r="E541" s="12">
        <v>1.08</v>
      </c>
      <c r="F541" s="12">
        <v>3.26</v>
      </c>
      <c r="G541" s="11">
        <v>7290.0</v>
      </c>
      <c r="H541" s="11">
        <v>2236.0</v>
      </c>
    </row>
    <row r="542">
      <c r="A542" s="10">
        <v>42910.0</v>
      </c>
      <c r="B542" s="11">
        <v>1472.0</v>
      </c>
      <c r="C542" s="12">
        <v>0.4915</v>
      </c>
      <c r="D542" s="2">
        <v>0.0017592592592592592</v>
      </c>
      <c r="E542" s="12">
        <v>1.08</v>
      </c>
      <c r="F542" s="12">
        <v>4.3</v>
      </c>
      <c r="G542" s="11">
        <v>6804.0</v>
      </c>
      <c r="H542" s="11">
        <v>1583.0</v>
      </c>
    </row>
    <row r="543">
      <c r="A543" s="10">
        <v>42911.0</v>
      </c>
      <c r="B543" s="11">
        <v>1583.0</v>
      </c>
      <c r="C543" s="12">
        <v>0.4959</v>
      </c>
      <c r="D543" s="2">
        <v>7.754629629629629E-4</v>
      </c>
      <c r="E543" s="12">
        <v>1.08</v>
      </c>
      <c r="F543" s="12">
        <v>3.1</v>
      </c>
      <c r="G543" s="11">
        <v>5290.0</v>
      </c>
      <c r="H543" s="11">
        <v>1708.0</v>
      </c>
    </row>
    <row r="544">
      <c r="A544" s="10">
        <v>42912.0</v>
      </c>
      <c r="B544" s="11">
        <v>2249.0</v>
      </c>
      <c r="C544" s="12">
        <v>0.389</v>
      </c>
      <c r="D544" s="2">
        <v>0.002395833333333333</v>
      </c>
      <c r="E544" s="12">
        <v>1.11</v>
      </c>
      <c r="F544" s="12">
        <v>5.72</v>
      </c>
      <c r="G544" s="11">
        <v>14288.0</v>
      </c>
      <c r="H544" s="11">
        <v>2499.0</v>
      </c>
    </row>
    <row r="545">
      <c r="A545" s="10">
        <v>42913.0</v>
      </c>
      <c r="B545" s="11">
        <v>2597.0</v>
      </c>
      <c r="C545" s="12">
        <v>0.4419</v>
      </c>
      <c r="D545" s="2">
        <v>0.0021875</v>
      </c>
      <c r="E545" s="12">
        <v>1.15</v>
      </c>
      <c r="F545" s="12">
        <v>4.33</v>
      </c>
      <c r="G545" s="11">
        <v>12927.0</v>
      </c>
      <c r="H545" s="11">
        <v>2985.0</v>
      </c>
    </row>
    <row r="546">
      <c r="A546" s="10">
        <v>42914.0</v>
      </c>
      <c r="B546" s="11">
        <v>2569.0</v>
      </c>
      <c r="C546" s="12">
        <v>0.4412</v>
      </c>
      <c r="D546" s="2">
        <v>0.0022222222222222222</v>
      </c>
      <c r="E546" s="12">
        <v>1.15</v>
      </c>
      <c r="F546" s="12">
        <v>4.58</v>
      </c>
      <c r="G546" s="11">
        <v>13552.0</v>
      </c>
      <c r="H546" s="11">
        <v>2958.0</v>
      </c>
    </row>
    <row r="547">
      <c r="A547" s="10">
        <v>42915.0</v>
      </c>
      <c r="B547" s="11">
        <v>2680.0</v>
      </c>
      <c r="C547" s="12">
        <v>0.4534</v>
      </c>
      <c r="D547" s="2">
        <v>0.0017824074074074075</v>
      </c>
      <c r="E547" s="12">
        <v>1.11</v>
      </c>
      <c r="F547" s="12">
        <v>3.55</v>
      </c>
      <c r="G547" s="11">
        <v>10553.0</v>
      </c>
      <c r="H547" s="11">
        <v>2971.0</v>
      </c>
    </row>
    <row r="548">
      <c r="A548" s="10">
        <v>42916.0</v>
      </c>
      <c r="B548" s="11">
        <v>2527.0</v>
      </c>
      <c r="C548" s="12">
        <v>0.4232</v>
      </c>
      <c r="D548" s="2">
        <v>0.0018287037037037037</v>
      </c>
      <c r="E548" s="12">
        <v>1.08</v>
      </c>
      <c r="F548" s="12">
        <v>4.22</v>
      </c>
      <c r="G548" s="11">
        <v>11497.0</v>
      </c>
      <c r="H548" s="11">
        <v>2722.0</v>
      </c>
    </row>
    <row r="549">
      <c r="A549" s="10">
        <v>42917.0</v>
      </c>
      <c r="B549" s="11">
        <v>2041.0</v>
      </c>
      <c r="C549" s="12">
        <v>0.5131</v>
      </c>
      <c r="D549" s="2">
        <v>0.0015393518518518519</v>
      </c>
      <c r="E549" s="12">
        <v>1.05</v>
      </c>
      <c r="F549" s="12">
        <v>4.29</v>
      </c>
      <c r="G549" s="11">
        <v>9178.0</v>
      </c>
      <c r="H549" s="11">
        <v>2138.0</v>
      </c>
    </row>
    <row r="550">
      <c r="A550" s="10">
        <v>42918.0</v>
      </c>
      <c r="B550" s="11">
        <v>1861.0</v>
      </c>
      <c r="C550" s="12">
        <v>0.5776</v>
      </c>
      <c r="D550" s="2">
        <v>0.0012847222222222223</v>
      </c>
      <c r="E550" s="12">
        <v>1.06</v>
      </c>
      <c r="F550" s="12">
        <v>3.23</v>
      </c>
      <c r="G550" s="11">
        <v>6373.0</v>
      </c>
      <c r="H550" s="11">
        <v>1972.0</v>
      </c>
    </row>
    <row r="551">
      <c r="A551" s="10">
        <v>42919.0</v>
      </c>
      <c r="B551" s="11">
        <v>1986.0</v>
      </c>
      <c r="C551" s="12">
        <v>0.5523</v>
      </c>
      <c r="D551" s="2">
        <v>0.001979166666666667</v>
      </c>
      <c r="E551" s="12">
        <v>1.06</v>
      </c>
      <c r="F551" s="12">
        <v>3.88</v>
      </c>
      <c r="G551" s="11">
        <v>8192.0</v>
      </c>
      <c r="H551" s="11">
        <v>2111.0</v>
      </c>
    </row>
    <row r="552">
      <c r="A552" s="10">
        <v>42920.0</v>
      </c>
      <c r="B552" s="11">
        <v>1902.0</v>
      </c>
      <c r="C552" s="12">
        <v>0.5202</v>
      </c>
      <c r="D552" s="2">
        <v>0.0015162037037037036</v>
      </c>
      <c r="E552" s="12">
        <v>1.08</v>
      </c>
      <c r="F552" s="12">
        <v>3.39</v>
      </c>
      <c r="G552" s="11">
        <v>6957.0</v>
      </c>
      <c r="H552" s="11">
        <v>2055.0</v>
      </c>
    </row>
    <row r="553">
      <c r="A553" s="10">
        <v>42921.0</v>
      </c>
      <c r="B553" s="11">
        <v>2958.0</v>
      </c>
      <c r="C553" s="12">
        <v>0.474</v>
      </c>
      <c r="D553" s="2">
        <v>0.0021412037037037038</v>
      </c>
      <c r="E553" s="12">
        <v>1.08</v>
      </c>
      <c r="F553" s="12">
        <v>4.23</v>
      </c>
      <c r="G553" s="11">
        <v>13510.0</v>
      </c>
      <c r="H553" s="11">
        <v>3194.0</v>
      </c>
    </row>
    <row r="554">
      <c r="A554" s="10">
        <v>42922.0</v>
      </c>
      <c r="B554" s="11">
        <v>2735.0</v>
      </c>
      <c r="C554" s="12">
        <v>0.5096</v>
      </c>
      <c r="D554" s="2">
        <v>0.001574074074074074</v>
      </c>
      <c r="E554" s="12">
        <v>1.07</v>
      </c>
      <c r="F554" s="12">
        <v>4.02</v>
      </c>
      <c r="G554" s="11">
        <v>11733.0</v>
      </c>
      <c r="H554" s="11">
        <v>2916.0</v>
      </c>
    </row>
    <row r="555">
      <c r="A555" s="10">
        <v>42923.0</v>
      </c>
      <c r="B555" s="11">
        <v>2430.0</v>
      </c>
      <c r="C555" s="12">
        <v>0.425</v>
      </c>
      <c r="D555" s="2">
        <v>0.0021527777777777778</v>
      </c>
      <c r="E555" s="12">
        <v>1.1</v>
      </c>
      <c r="F555" s="12">
        <v>4.05</v>
      </c>
      <c r="G555" s="11">
        <v>10844.0</v>
      </c>
      <c r="H555" s="11">
        <v>2680.0</v>
      </c>
    </row>
    <row r="556">
      <c r="A556" s="10">
        <v>42924.0</v>
      </c>
      <c r="B556" s="11">
        <v>1833.0</v>
      </c>
      <c r="C556" s="12">
        <v>0.5036</v>
      </c>
      <c r="D556" s="2">
        <v>0.0011805555555555556</v>
      </c>
      <c r="E556" s="12">
        <v>1.05</v>
      </c>
      <c r="F556" s="12">
        <v>3.24</v>
      </c>
      <c r="G556" s="11">
        <v>6262.0</v>
      </c>
      <c r="H556" s="11">
        <v>1930.0</v>
      </c>
    </row>
    <row r="557">
      <c r="A557" s="10">
        <v>42925.0</v>
      </c>
      <c r="B557" s="11">
        <v>1875.0</v>
      </c>
      <c r="C557" s="12">
        <v>0.4933</v>
      </c>
      <c r="D557" s="2">
        <v>0.001261574074074074</v>
      </c>
      <c r="E557" s="12">
        <v>1.08</v>
      </c>
      <c r="F557" s="12">
        <v>3.5</v>
      </c>
      <c r="G557" s="11">
        <v>7095.0</v>
      </c>
      <c r="H557" s="11">
        <v>2027.0</v>
      </c>
    </row>
    <row r="558">
      <c r="A558" s="10">
        <v>42926.0</v>
      </c>
      <c r="B558" s="11">
        <v>2666.0</v>
      </c>
      <c r="C558" s="12">
        <v>0.416</v>
      </c>
      <c r="D558" s="2">
        <v>0.0020486111111111113</v>
      </c>
      <c r="E558" s="12">
        <v>1.11</v>
      </c>
      <c r="F558" s="12">
        <v>4.88</v>
      </c>
      <c r="G558" s="11">
        <v>14510.0</v>
      </c>
      <c r="H558" s="11">
        <v>2971.0</v>
      </c>
    </row>
    <row r="559">
      <c r="A559" s="10">
        <v>42927.0</v>
      </c>
      <c r="B559" s="11">
        <v>2513.0</v>
      </c>
      <c r="C559" s="12">
        <v>0.4328</v>
      </c>
      <c r="D559" s="2">
        <v>0.0017592592592592592</v>
      </c>
      <c r="E559" s="12">
        <v>1.15</v>
      </c>
      <c r="F559" s="12">
        <v>4.35</v>
      </c>
      <c r="G559" s="11">
        <v>12566.0</v>
      </c>
      <c r="H559" s="11">
        <v>2888.0</v>
      </c>
    </row>
    <row r="560">
      <c r="A560" s="10">
        <v>42928.0</v>
      </c>
      <c r="B560" s="11">
        <v>2499.0</v>
      </c>
      <c r="C560" s="12">
        <v>0.4696</v>
      </c>
      <c r="D560" s="2">
        <v>0.0025578703703703705</v>
      </c>
      <c r="E560" s="12">
        <v>1.1</v>
      </c>
      <c r="F560" s="12">
        <v>5.16</v>
      </c>
      <c r="G560" s="11">
        <v>14191.0</v>
      </c>
      <c r="H560" s="11">
        <v>2749.0</v>
      </c>
    </row>
    <row r="561">
      <c r="A561" s="10">
        <v>42929.0</v>
      </c>
      <c r="B561" s="11">
        <v>2624.0</v>
      </c>
      <c r="C561" s="12">
        <v>0.4903</v>
      </c>
      <c r="D561" s="2">
        <v>0.002199074074074074</v>
      </c>
      <c r="E561" s="12">
        <v>1.1</v>
      </c>
      <c r="F561" s="12">
        <v>4.62</v>
      </c>
      <c r="G561" s="11">
        <v>13330.0</v>
      </c>
      <c r="H561" s="11">
        <v>2888.0</v>
      </c>
    </row>
    <row r="562">
      <c r="A562" s="10">
        <v>42930.0</v>
      </c>
      <c r="B562" s="11">
        <v>2333.0</v>
      </c>
      <c r="C562" s="12">
        <v>0.5364</v>
      </c>
      <c r="D562" s="2">
        <v>0.0016898148148148148</v>
      </c>
      <c r="E562" s="12">
        <v>1.07</v>
      </c>
      <c r="F562" s="12">
        <v>3.82</v>
      </c>
      <c r="G562" s="11">
        <v>9484.0</v>
      </c>
      <c r="H562" s="11">
        <v>2485.0</v>
      </c>
    </row>
    <row r="563">
      <c r="A563" s="10">
        <v>42931.0</v>
      </c>
      <c r="B563" s="11">
        <v>1680.0</v>
      </c>
      <c r="C563" s="12">
        <v>0.5608</v>
      </c>
      <c r="D563" s="2">
        <v>0.0017592592592592592</v>
      </c>
      <c r="E563" s="12">
        <v>1.09</v>
      </c>
      <c r="F563" s="12">
        <v>3.47</v>
      </c>
      <c r="G563" s="11">
        <v>6360.0</v>
      </c>
      <c r="H563" s="11">
        <v>1833.0</v>
      </c>
    </row>
    <row r="564">
      <c r="A564" s="10">
        <v>42932.0</v>
      </c>
      <c r="B564" s="11">
        <v>1763.0</v>
      </c>
      <c r="C564" s="12">
        <v>0.4777</v>
      </c>
      <c r="D564" s="2">
        <v>0.0026041666666666665</v>
      </c>
      <c r="E564" s="12">
        <v>1.06</v>
      </c>
      <c r="F564" s="12">
        <v>4.32</v>
      </c>
      <c r="G564" s="11">
        <v>8040.0</v>
      </c>
      <c r="H564" s="11">
        <v>1861.0</v>
      </c>
    </row>
    <row r="565">
      <c r="A565" s="10">
        <v>42933.0</v>
      </c>
      <c r="B565" s="11">
        <v>2222.0</v>
      </c>
      <c r="C565" s="12">
        <v>0.5245</v>
      </c>
      <c r="D565" s="2">
        <v>0.0019444444444444444</v>
      </c>
      <c r="E565" s="12">
        <v>1.29</v>
      </c>
      <c r="F565" s="12">
        <v>4.61</v>
      </c>
      <c r="G565" s="11">
        <v>13177.0</v>
      </c>
      <c r="H565" s="11">
        <v>2860.0</v>
      </c>
    </row>
    <row r="566">
      <c r="A566" s="10">
        <v>42934.0</v>
      </c>
      <c r="B566" s="11">
        <v>2624.0</v>
      </c>
      <c r="C566" s="12">
        <v>0.4238</v>
      </c>
      <c r="D566" s="2">
        <v>0.002650462962962963</v>
      </c>
      <c r="E566" s="12">
        <v>1.15</v>
      </c>
      <c r="F566" s="12">
        <v>5.19</v>
      </c>
      <c r="G566" s="11">
        <v>15635.0</v>
      </c>
      <c r="H566" s="11">
        <v>3013.0</v>
      </c>
    </row>
    <row r="567">
      <c r="A567" s="10">
        <v>42935.0</v>
      </c>
      <c r="B567" s="11">
        <v>2374.0</v>
      </c>
      <c r="C567" s="12">
        <v>0.4664</v>
      </c>
      <c r="D567" s="2">
        <v>0.0030208333333333333</v>
      </c>
      <c r="E567" s="12">
        <v>1.13</v>
      </c>
      <c r="F567" s="12">
        <v>6.78</v>
      </c>
      <c r="G567" s="11">
        <v>18176.0</v>
      </c>
      <c r="H567" s="11">
        <v>2680.0</v>
      </c>
    </row>
    <row r="568">
      <c r="A568" s="10">
        <v>42936.0</v>
      </c>
      <c r="B568" s="11">
        <v>2361.0</v>
      </c>
      <c r="C568" s="12">
        <v>0.5226</v>
      </c>
      <c r="D568" s="2">
        <v>0.0018171296296296297</v>
      </c>
      <c r="E568" s="12">
        <v>1.17</v>
      </c>
      <c r="F568" s="12">
        <v>3.93</v>
      </c>
      <c r="G568" s="11">
        <v>10858.0</v>
      </c>
      <c r="H568" s="11">
        <v>2763.0</v>
      </c>
    </row>
    <row r="569">
      <c r="A569" s="10">
        <v>42937.0</v>
      </c>
      <c r="B569" s="11">
        <v>2249.0</v>
      </c>
      <c r="C569" s="12">
        <v>0.4403</v>
      </c>
      <c r="D569" s="2">
        <v>0.0024074074074074076</v>
      </c>
      <c r="E569" s="12">
        <v>1.14</v>
      </c>
      <c r="F569" s="12">
        <v>5.24</v>
      </c>
      <c r="G569" s="11">
        <v>13386.0</v>
      </c>
      <c r="H569" s="11">
        <v>2555.0</v>
      </c>
    </row>
    <row r="570">
      <c r="A570" s="10">
        <v>42938.0</v>
      </c>
      <c r="B570" s="11">
        <v>1569.0</v>
      </c>
      <c r="C570" s="12">
        <v>0.4964</v>
      </c>
      <c r="D570" s="2">
        <v>0.001990740740740741</v>
      </c>
      <c r="E570" s="12">
        <v>1.16</v>
      </c>
      <c r="F570" s="12">
        <v>5.52</v>
      </c>
      <c r="G570" s="11">
        <v>10039.0</v>
      </c>
      <c r="H570" s="11">
        <v>1819.0</v>
      </c>
    </row>
    <row r="571">
      <c r="A571" s="10">
        <v>42939.0</v>
      </c>
      <c r="B571" s="11">
        <v>1791.0</v>
      </c>
      <c r="C571" s="12">
        <v>0.4762</v>
      </c>
      <c r="D571" s="2">
        <v>0.0020833333333333333</v>
      </c>
      <c r="E571" s="12">
        <v>1.14</v>
      </c>
      <c r="F571" s="12">
        <v>4.42</v>
      </c>
      <c r="G571" s="11">
        <v>9025.0</v>
      </c>
      <c r="H571" s="11">
        <v>2041.0</v>
      </c>
    </row>
    <row r="572">
      <c r="A572" s="10">
        <v>42940.0</v>
      </c>
      <c r="B572" s="11">
        <v>2374.0</v>
      </c>
      <c r="C572" s="12">
        <v>0.4409</v>
      </c>
      <c r="D572" s="2">
        <v>0.0021180555555555558</v>
      </c>
      <c r="E572" s="12">
        <v>1.14</v>
      </c>
      <c r="F572" s="12">
        <v>4.52</v>
      </c>
      <c r="G572" s="11">
        <v>12233.0</v>
      </c>
      <c r="H572" s="11">
        <v>2708.0</v>
      </c>
    </row>
    <row r="573">
      <c r="A573" s="10">
        <v>42941.0</v>
      </c>
      <c r="B573" s="11">
        <v>2472.0</v>
      </c>
      <c r="C573" s="12">
        <v>0.4307</v>
      </c>
      <c r="D573" s="2">
        <v>0.0021064814814814813</v>
      </c>
      <c r="E573" s="12">
        <v>1.13</v>
      </c>
      <c r="F573" s="12">
        <v>4.25</v>
      </c>
      <c r="G573" s="11">
        <v>11928.0</v>
      </c>
      <c r="H573" s="11">
        <v>2805.0</v>
      </c>
    </row>
    <row r="574">
      <c r="A574" s="10">
        <v>42942.0</v>
      </c>
      <c r="B574" s="11">
        <v>2527.0</v>
      </c>
      <c r="C574" s="12">
        <v>0.4106</v>
      </c>
      <c r="D574" s="2">
        <v>0.0020949074074074073</v>
      </c>
      <c r="E574" s="12">
        <v>1.14</v>
      </c>
      <c r="F574" s="12">
        <v>4.52</v>
      </c>
      <c r="G574" s="11">
        <v>12997.0</v>
      </c>
      <c r="H574" s="11">
        <v>2874.0</v>
      </c>
    </row>
    <row r="575">
      <c r="A575" s="10">
        <v>42943.0</v>
      </c>
      <c r="B575" s="11">
        <v>2444.0</v>
      </c>
      <c r="C575" s="12">
        <v>0.4645</v>
      </c>
      <c r="D575" s="2">
        <v>0.0018981481481481482</v>
      </c>
      <c r="E575" s="12">
        <v>1.12</v>
      </c>
      <c r="F575" s="12">
        <v>4.0</v>
      </c>
      <c r="G575" s="11">
        <v>10983.0</v>
      </c>
      <c r="H575" s="11">
        <v>2749.0</v>
      </c>
    </row>
    <row r="576">
      <c r="A576" s="10">
        <v>42944.0</v>
      </c>
      <c r="B576" s="11">
        <v>2374.0</v>
      </c>
      <c r="C576" s="12">
        <v>0.4002</v>
      </c>
      <c r="D576" s="2">
        <v>0.002777777777777778</v>
      </c>
      <c r="E576" s="12">
        <v>1.08</v>
      </c>
      <c r="F576" s="12">
        <v>4.32</v>
      </c>
      <c r="G576" s="11">
        <v>11094.0</v>
      </c>
      <c r="H576" s="11">
        <v>2569.0</v>
      </c>
    </row>
    <row r="577">
      <c r="A577" s="10">
        <v>42945.0</v>
      </c>
      <c r="B577" s="11">
        <v>1500.0</v>
      </c>
      <c r="C577" s="12">
        <v>0.549</v>
      </c>
      <c r="D577" s="2">
        <v>0.0018402777777777777</v>
      </c>
      <c r="E577" s="12">
        <v>1.13</v>
      </c>
      <c r="F577" s="12">
        <v>3.18</v>
      </c>
      <c r="G577" s="11">
        <v>5388.0</v>
      </c>
      <c r="H577" s="11">
        <v>1694.0</v>
      </c>
    </row>
    <row r="578">
      <c r="A578" s="10">
        <v>42946.0</v>
      </c>
      <c r="B578" s="11">
        <v>1666.0</v>
      </c>
      <c r="C578" s="12">
        <v>0.4889</v>
      </c>
      <c r="D578" s="2">
        <v>0.0021296296296296298</v>
      </c>
      <c r="E578" s="12">
        <v>1.11</v>
      </c>
      <c r="F578" s="12">
        <v>4.88</v>
      </c>
      <c r="G578" s="11">
        <v>9012.0</v>
      </c>
      <c r="H578" s="11">
        <v>1847.0</v>
      </c>
    </row>
    <row r="579">
      <c r="A579" s="10">
        <v>42947.0</v>
      </c>
      <c r="B579" s="11">
        <v>2485.0</v>
      </c>
      <c r="C579" s="12">
        <v>0.4731</v>
      </c>
      <c r="D579" s="2">
        <v>0.0027314814814814814</v>
      </c>
      <c r="E579" s="12">
        <v>1.15</v>
      </c>
      <c r="F579" s="12">
        <v>5.23</v>
      </c>
      <c r="G579" s="11">
        <v>14885.0</v>
      </c>
      <c r="H579" s="11">
        <v>2847.0</v>
      </c>
    </row>
    <row r="580">
      <c r="A580" s="10">
        <v>42948.0</v>
      </c>
      <c r="B580" s="11">
        <v>2416.0</v>
      </c>
      <c r="C580" s="12">
        <v>0.4271</v>
      </c>
      <c r="D580" s="2">
        <v>0.0022800925925925927</v>
      </c>
      <c r="E580" s="12">
        <v>1.14</v>
      </c>
      <c r="F580" s="12">
        <v>4.87</v>
      </c>
      <c r="G580" s="11">
        <v>13455.0</v>
      </c>
      <c r="H580" s="11">
        <v>2763.0</v>
      </c>
    </row>
    <row r="581">
      <c r="A581" s="10">
        <v>42949.0</v>
      </c>
      <c r="B581" s="11">
        <v>2694.0</v>
      </c>
      <c r="C581" s="12">
        <v>0.4476</v>
      </c>
      <c r="D581" s="2">
        <v>0.002372685185185185</v>
      </c>
      <c r="E581" s="12">
        <v>1.13</v>
      </c>
      <c r="F581" s="12">
        <v>5.12</v>
      </c>
      <c r="G581" s="11">
        <v>15579.0</v>
      </c>
      <c r="H581" s="11">
        <v>3041.0</v>
      </c>
    </row>
    <row r="582">
      <c r="A582" s="10">
        <v>42950.0</v>
      </c>
      <c r="B582" s="11">
        <v>2583.0</v>
      </c>
      <c r="C582" s="12">
        <v>0.4878</v>
      </c>
      <c r="D582" s="2">
        <v>0.0017824074074074075</v>
      </c>
      <c r="E582" s="12">
        <v>1.09</v>
      </c>
      <c r="F582" s="12">
        <v>3.73</v>
      </c>
      <c r="G582" s="11">
        <v>10511.0</v>
      </c>
      <c r="H582" s="11">
        <v>2819.0</v>
      </c>
    </row>
    <row r="583">
      <c r="A583" s="10">
        <v>42951.0</v>
      </c>
      <c r="B583" s="11">
        <v>2569.0</v>
      </c>
      <c r="C583" s="12">
        <v>0.4506</v>
      </c>
      <c r="D583" s="2">
        <v>0.0021412037037037038</v>
      </c>
      <c r="E583" s="12">
        <v>1.15</v>
      </c>
      <c r="F583" s="12">
        <v>4.91</v>
      </c>
      <c r="G583" s="11">
        <v>14510.0</v>
      </c>
      <c r="H583" s="11">
        <v>2958.0</v>
      </c>
    </row>
    <row r="584">
      <c r="A584" s="10">
        <v>42952.0</v>
      </c>
      <c r="B584" s="11">
        <v>1791.0</v>
      </c>
      <c r="C584" s="12">
        <v>0.5148</v>
      </c>
      <c r="D584" s="2">
        <v>0.0015625</v>
      </c>
      <c r="E584" s="12">
        <v>1.05</v>
      </c>
      <c r="F584" s="12">
        <v>3.33</v>
      </c>
      <c r="G584" s="11">
        <v>6290.0</v>
      </c>
      <c r="H584" s="11">
        <v>1888.0</v>
      </c>
    </row>
    <row r="585">
      <c r="A585" s="10">
        <v>42953.0</v>
      </c>
      <c r="B585" s="11">
        <v>2249.0</v>
      </c>
      <c r="C585" s="12">
        <v>0.4115</v>
      </c>
      <c r="D585" s="2">
        <v>0.0021064814814814813</v>
      </c>
      <c r="E585" s="12">
        <v>1.08</v>
      </c>
      <c r="F585" s="12">
        <v>5.2</v>
      </c>
      <c r="G585" s="11">
        <v>12636.0</v>
      </c>
      <c r="H585" s="11">
        <v>2430.0</v>
      </c>
    </row>
    <row r="586">
      <c r="A586" s="10">
        <v>42954.0</v>
      </c>
      <c r="B586" s="11">
        <v>2819.0</v>
      </c>
      <c r="C586" s="12">
        <v>0.5045</v>
      </c>
      <c r="D586" s="2">
        <v>0.0015393518518518519</v>
      </c>
      <c r="E586" s="12">
        <v>1.1</v>
      </c>
      <c r="F586" s="12">
        <v>4.16</v>
      </c>
      <c r="G586" s="11">
        <v>12927.0</v>
      </c>
      <c r="H586" s="11">
        <v>3110.0</v>
      </c>
    </row>
    <row r="587">
      <c r="A587" s="10">
        <v>42955.0</v>
      </c>
      <c r="B587" s="11">
        <v>2916.0</v>
      </c>
      <c r="C587" s="12">
        <v>0.4353</v>
      </c>
      <c r="D587" s="2">
        <v>0.0024189814814814816</v>
      </c>
      <c r="E587" s="12">
        <v>1.1</v>
      </c>
      <c r="F587" s="12">
        <v>5.82</v>
      </c>
      <c r="G587" s="11">
        <v>18731.0</v>
      </c>
      <c r="H587" s="11">
        <v>3221.0</v>
      </c>
    </row>
    <row r="588">
      <c r="A588" s="10">
        <v>42956.0</v>
      </c>
      <c r="B588" s="11">
        <v>2680.0</v>
      </c>
      <c r="C588" s="12">
        <v>0.4419</v>
      </c>
      <c r="D588" s="2">
        <v>0.0021180555555555558</v>
      </c>
      <c r="E588" s="12">
        <v>1.11</v>
      </c>
      <c r="F588" s="12">
        <v>4.52</v>
      </c>
      <c r="G588" s="11">
        <v>13483.0</v>
      </c>
      <c r="H588" s="11">
        <v>2985.0</v>
      </c>
    </row>
    <row r="589">
      <c r="A589" s="10">
        <v>42957.0</v>
      </c>
      <c r="B589" s="11">
        <v>2652.0</v>
      </c>
      <c r="C589" s="12">
        <v>0.4466</v>
      </c>
      <c r="D589" s="2">
        <v>0.0016550925925925926</v>
      </c>
      <c r="E589" s="12">
        <v>1.13</v>
      </c>
      <c r="F589" s="12">
        <v>4.08</v>
      </c>
      <c r="G589" s="11">
        <v>12191.0</v>
      </c>
      <c r="H589" s="11">
        <v>2985.0</v>
      </c>
    </row>
    <row r="590">
      <c r="A590" s="10">
        <v>42958.0</v>
      </c>
      <c r="B590" s="11">
        <v>2652.0</v>
      </c>
      <c r="C590" s="12">
        <v>0.5</v>
      </c>
      <c r="D590" s="2">
        <v>0.0020949074074074073</v>
      </c>
      <c r="E590" s="12">
        <v>1.08</v>
      </c>
      <c r="F590" s="12">
        <v>4.21</v>
      </c>
      <c r="G590" s="11">
        <v>12053.0</v>
      </c>
      <c r="H590" s="11">
        <v>2860.0</v>
      </c>
    </row>
    <row r="591">
      <c r="A591" s="10">
        <v>42959.0</v>
      </c>
      <c r="B591" s="11">
        <v>1958.0</v>
      </c>
      <c r="C591" s="12">
        <v>0.5401</v>
      </c>
      <c r="D591" s="2">
        <v>0.002002314814814815</v>
      </c>
      <c r="E591" s="12">
        <v>1.06</v>
      </c>
      <c r="F591" s="12">
        <v>4.55</v>
      </c>
      <c r="G591" s="11">
        <v>9484.0</v>
      </c>
      <c r="H591" s="11">
        <v>2083.0</v>
      </c>
    </row>
    <row r="592">
      <c r="A592" s="10">
        <v>42960.0</v>
      </c>
      <c r="B592" s="11">
        <v>1944.0</v>
      </c>
      <c r="C592" s="12">
        <v>0.5636</v>
      </c>
      <c r="D592" s="2">
        <v>0.0016550925925925926</v>
      </c>
      <c r="E592" s="12">
        <v>1.06</v>
      </c>
      <c r="F592" s="12">
        <v>4.17</v>
      </c>
      <c r="G592" s="11">
        <v>8623.0</v>
      </c>
      <c r="H592" s="11">
        <v>2069.0</v>
      </c>
    </row>
    <row r="593">
      <c r="A593" s="10">
        <v>42961.0</v>
      </c>
      <c r="B593" s="11">
        <v>3388.0</v>
      </c>
      <c r="C593" s="12">
        <v>0.575</v>
      </c>
      <c r="D593" s="2">
        <v>0.0014814814814814814</v>
      </c>
      <c r="E593" s="12">
        <v>1.09</v>
      </c>
      <c r="F593" s="12">
        <v>3.76</v>
      </c>
      <c r="G593" s="11">
        <v>13899.0</v>
      </c>
      <c r="H593" s="11">
        <v>3694.0</v>
      </c>
    </row>
    <row r="594">
      <c r="A594" s="10">
        <v>42962.0</v>
      </c>
      <c r="B594" s="11">
        <v>3110.0</v>
      </c>
      <c r="C594" s="12">
        <v>0.5318</v>
      </c>
      <c r="D594" s="2">
        <v>0.001863425925925926</v>
      </c>
      <c r="E594" s="12">
        <v>1.06</v>
      </c>
      <c r="F594" s="12">
        <v>3.99</v>
      </c>
      <c r="G594" s="11">
        <v>13122.0</v>
      </c>
      <c r="H594" s="11">
        <v>3291.0</v>
      </c>
    </row>
    <row r="595">
      <c r="A595" s="10">
        <v>42963.0</v>
      </c>
      <c r="B595" s="11">
        <v>2833.0</v>
      </c>
      <c r="C595" s="12">
        <v>0.5225</v>
      </c>
      <c r="D595" s="2">
        <v>0.001585648148148148</v>
      </c>
      <c r="E595" s="12">
        <v>1.09</v>
      </c>
      <c r="F595" s="12">
        <v>3.88</v>
      </c>
      <c r="G595" s="11">
        <v>11955.0</v>
      </c>
      <c r="H595" s="11">
        <v>3083.0</v>
      </c>
    </row>
    <row r="596">
      <c r="A596" s="10">
        <v>42964.0</v>
      </c>
      <c r="B596" s="11">
        <v>2999.0</v>
      </c>
      <c r="C596" s="12">
        <v>0.5474</v>
      </c>
      <c r="D596" s="2">
        <v>0.0018865740740740742</v>
      </c>
      <c r="E596" s="12">
        <v>1.13</v>
      </c>
      <c r="F596" s="12">
        <v>4.34</v>
      </c>
      <c r="G596" s="11">
        <v>14649.0</v>
      </c>
      <c r="H596" s="11">
        <v>3374.0</v>
      </c>
    </row>
    <row r="597">
      <c r="A597" s="10">
        <v>42965.0</v>
      </c>
      <c r="B597" s="11">
        <v>2666.0</v>
      </c>
      <c r="C597" s="12">
        <v>0.5325</v>
      </c>
      <c r="D597" s="2">
        <v>0.0016782407407407408</v>
      </c>
      <c r="E597" s="12">
        <v>1.12</v>
      </c>
      <c r="F597" s="12">
        <v>3.83</v>
      </c>
      <c r="G597" s="11">
        <v>11483.0</v>
      </c>
      <c r="H597" s="11">
        <v>2999.0</v>
      </c>
    </row>
    <row r="598">
      <c r="A598" s="10">
        <v>42966.0</v>
      </c>
      <c r="B598" s="11">
        <v>1875.0</v>
      </c>
      <c r="C598" s="12">
        <v>0.6193</v>
      </c>
      <c r="D598" s="2">
        <v>9.143518518518518E-4</v>
      </c>
      <c r="E598" s="12">
        <v>1.09</v>
      </c>
      <c r="F598" s="12">
        <v>2.33</v>
      </c>
      <c r="G598" s="11">
        <v>4749.0</v>
      </c>
      <c r="H598" s="11">
        <v>2041.0</v>
      </c>
    </row>
    <row r="599">
      <c r="A599" s="10">
        <v>42967.0</v>
      </c>
      <c r="B599" s="11">
        <v>1944.0</v>
      </c>
      <c r="C599" s="12">
        <v>0.51</v>
      </c>
      <c r="D599" s="2">
        <v>0.0015277777777777779</v>
      </c>
      <c r="E599" s="12">
        <v>1.05</v>
      </c>
      <c r="F599" s="12">
        <v>3.48</v>
      </c>
      <c r="G599" s="11">
        <v>7095.0</v>
      </c>
      <c r="H599" s="11">
        <v>2041.0</v>
      </c>
    </row>
    <row r="600">
      <c r="A600" s="10">
        <v>42968.0</v>
      </c>
      <c r="B600" s="11">
        <v>2819.0</v>
      </c>
      <c r="C600" s="12">
        <v>0.5113</v>
      </c>
      <c r="D600" s="2">
        <v>0.001574074074074074</v>
      </c>
      <c r="E600" s="12">
        <v>1.08</v>
      </c>
      <c r="F600" s="12">
        <v>3.1</v>
      </c>
      <c r="G600" s="11">
        <v>9442.0</v>
      </c>
      <c r="H600" s="11">
        <v>3041.0</v>
      </c>
    </row>
    <row r="601">
      <c r="A601" s="10">
        <v>42969.0</v>
      </c>
      <c r="B601" s="11">
        <v>2971.0</v>
      </c>
      <c r="C601" s="12">
        <v>0.4895</v>
      </c>
      <c r="D601" s="2">
        <v>0.0020717592592592593</v>
      </c>
      <c r="E601" s="12">
        <v>1.13</v>
      </c>
      <c r="F601" s="12">
        <v>4.59</v>
      </c>
      <c r="G601" s="11">
        <v>15357.0</v>
      </c>
      <c r="H601" s="11">
        <v>3346.0</v>
      </c>
    </row>
    <row r="602">
      <c r="A602" s="10">
        <v>42970.0</v>
      </c>
      <c r="B602" s="11">
        <v>3083.0</v>
      </c>
      <c r="C602" s="12">
        <v>0.5448</v>
      </c>
      <c r="D602" s="2">
        <v>0.0016782407407407408</v>
      </c>
      <c r="E602" s="12">
        <v>1.11</v>
      </c>
      <c r="F602" s="12">
        <v>4.24</v>
      </c>
      <c r="G602" s="11">
        <v>14469.0</v>
      </c>
      <c r="H602" s="11">
        <v>3416.0</v>
      </c>
    </row>
    <row r="603">
      <c r="A603" s="10">
        <v>42971.0</v>
      </c>
      <c r="B603" s="11">
        <v>3527.0</v>
      </c>
      <c r="C603" s="12">
        <v>0.4842</v>
      </c>
      <c r="D603" s="2">
        <v>0.001574074074074074</v>
      </c>
      <c r="E603" s="12">
        <v>1.12</v>
      </c>
      <c r="F603" s="12">
        <v>3.99</v>
      </c>
      <c r="G603" s="11">
        <v>15802.0</v>
      </c>
      <c r="H603" s="11">
        <v>3957.0</v>
      </c>
    </row>
    <row r="604">
      <c r="A604" s="10">
        <v>42972.0</v>
      </c>
      <c r="B604" s="11">
        <v>2333.0</v>
      </c>
      <c r="C604" s="12">
        <v>0.4705</v>
      </c>
      <c r="D604" s="2">
        <v>0.0020833333333333333</v>
      </c>
      <c r="E604" s="12">
        <v>1.11</v>
      </c>
      <c r="F604" s="12">
        <v>4.64</v>
      </c>
      <c r="G604" s="11">
        <v>12039.0</v>
      </c>
      <c r="H604" s="11">
        <v>2597.0</v>
      </c>
    </row>
    <row r="605">
      <c r="A605" s="10">
        <v>42973.0</v>
      </c>
      <c r="B605" s="11">
        <v>2055.0</v>
      </c>
      <c r="C605" s="12">
        <v>0.591</v>
      </c>
      <c r="D605" s="2">
        <v>0.0010300925925925926</v>
      </c>
      <c r="E605" s="12">
        <v>1.07</v>
      </c>
      <c r="F605" s="12">
        <v>3.18</v>
      </c>
      <c r="G605" s="11">
        <v>7026.0</v>
      </c>
      <c r="H605" s="11">
        <v>2208.0</v>
      </c>
    </row>
    <row r="606">
      <c r="A606" s="10">
        <v>42974.0</v>
      </c>
      <c r="B606" s="11">
        <v>2111.0</v>
      </c>
      <c r="C606" s="12">
        <v>0.5873</v>
      </c>
      <c r="D606" s="2">
        <v>0.0015509259259259259</v>
      </c>
      <c r="E606" s="12">
        <v>1.05</v>
      </c>
      <c r="F606" s="12">
        <v>4.05</v>
      </c>
      <c r="G606" s="11">
        <v>8998.0</v>
      </c>
      <c r="H606" s="11">
        <v>2222.0</v>
      </c>
    </row>
    <row r="607">
      <c r="A607" s="10">
        <v>42975.0</v>
      </c>
      <c r="B607" s="11">
        <v>2694.0</v>
      </c>
      <c r="C607" s="12">
        <v>0.5281</v>
      </c>
      <c r="D607" s="2">
        <v>0.0013657407407407407</v>
      </c>
      <c r="E607" s="12">
        <v>1.1</v>
      </c>
      <c r="F607" s="12">
        <v>3.98</v>
      </c>
      <c r="G607" s="11">
        <v>11830.0</v>
      </c>
      <c r="H607" s="11">
        <v>2971.0</v>
      </c>
    </row>
    <row r="608">
      <c r="A608" s="10">
        <v>42976.0</v>
      </c>
      <c r="B608" s="11">
        <v>3138.0</v>
      </c>
      <c r="C608" s="12">
        <v>0.4941</v>
      </c>
      <c r="D608" s="2">
        <v>0.0018171296296296297</v>
      </c>
      <c r="E608" s="12">
        <v>1.1</v>
      </c>
      <c r="F608" s="12">
        <v>4.63</v>
      </c>
      <c r="G608" s="11">
        <v>16010.0</v>
      </c>
      <c r="H608" s="11">
        <v>3457.0</v>
      </c>
    </row>
    <row r="609">
      <c r="A609" s="10">
        <v>42977.0</v>
      </c>
      <c r="B609" s="11">
        <v>2985.0</v>
      </c>
      <c r="C609" s="12">
        <v>0.5257</v>
      </c>
      <c r="D609" s="2">
        <v>0.0019444444444444444</v>
      </c>
      <c r="E609" s="12">
        <v>1.09</v>
      </c>
      <c r="F609" s="12">
        <v>4.24</v>
      </c>
      <c r="G609" s="11">
        <v>13760.0</v>
      </c>
      <c r="H609" s="11">
        <v>3249.0</v>
      </c>
    </row>
    <row r="610">
      <c r="A610" s="10">
        <v>42978.0</v>
      </c>
      <c r="B610" s="11">
        <v>2958.0</v>
      </c>
      <c r="C610" s="12">
        <v>0.5123</v>
      </c>
      <c r="D610" s="2">
        <v>0.0011458333333333333</v>
      </c>
      <c r="E610" s="12">
        <v>1.15</v>
      </c>
      <c r="F610" s="12">
        <v>3.63</v>
      </c>
      <c r="G610" s="11">
        <v>12414.0</v>
      </c>
      <c r="H610" s="11">
        <v>3416.0</v>
      </c>
    </row>
    <row r="611">
      <c r="A611" s="10">
        <v>42979.0</v>
      </c>
      <c r="B611" s="11">
        <v>2458.0</v>
      </c>
      <c r="C611" s="12">
        <v>0.4922</v>
      </c>
      <c r="D611" s="2">
        <v>0.0016666666666666668</v>
      </c>
      <c r="E611" s="12">
        <v>1.1</v>
      </c>
      <c r="F611" s="12">
        <v>4.23</v>
      </c>
      <c r="G611" s="11">
        <v>11455.0</v>
      </c>
      <c r="H611" s="11">
        <v>2708.0</v>
      </c>
    </row>
    <row r="612">
      <c r="A612" s="10">
        <v>42980.0</v>
      </c>
      <c r="B612" s="11">
        <v>1819.0</v>
      </c>
      <c r="C612" s="12">
        <v>0.5558</v>
      </c>
      <c r="D612" s="2">
        <v>0.0011111111111111111</v>
      </c>
      <c r="E612" s="12">
        <v>1.1</v>
      </c>
      <c r="F612" s="12">
        <v>3.5</v>
      </c>
      <c r="G612" s="11">
        <v>6998.0</v>
      </c>
      <c r="H612" s="11">
        <v>1999.0</v>
      </c>
    </row>
    <row r="613">
      <c r="A613" s="10">
        <v>42981.0</v>
      </c>
      <c r="B613" s="11">
        <v>1986.0</v>
      </c>
      <c r="C613" s="12">
        <v>0.5781</v>
      </c>
      <c r="D613" s="2">
        <v>0.001238425925925926</v>
      </c>
      <c r="E613" s="12">
        <v>1.08</v>
      </c>
      <c r="F613" s="12">
        <v>3.38</v>
      </c>
      <c r="G613" s="11">
        <v>7220.0</v>
      </c>
      <c r="H613" s="11">
        <v>2138.0</v>
      </c>
    </row>
    <row r="614">
      <c r="A614" s="10">
        <v>42982.0</v>
      </c>
      <c r="B614" s="11">
        <v>2305.0</v>
      </c>
      <c r="C614" s="12">
        <v>0.577</v>
      </c>
      <c r="D614" s="2">
        <v>0.0011458333333333333</v>
      </c>
      <c r="E614" s="12">
        <v>1.05</v>
      </c>
      <c r="F614" s="12">
        <v>3.51</v>
      </c>
      <c r="G614" s="11">
        <v>8526.0</v>
      </c>
      <c r="H614" s="11">
        <v>2430.0</v>
      </c>
    </row>
    <row r="615">
      <c r="A615" s="10">
        <v>42983.0</v>
      </c>
      <c r="B615" s="11">
        <v>2930.0</v>
      </c>
      <c r="C615" s="12">
        <v>0.4486</v>
      </c>
      <c r="D615" s="2">
        <v>0.001712962962962963</v>
      </c>
      <c r="E615" s="12">
        <v>1.06</v>
      </c>
      <c r="F615" s="12">
        <v>4.47</v>
      </c>
      <c r="G615" s="11">
        <v>13830.0</v>
      </c>
      <c r="H615" s="11">
        <v>3096.0</v>
      </c>
    </row>
    <row r="616">
      <c r="A616" s="10">
        <v>42984.0</v>
      </c>
      <c r="B616" s="11">
        <v>2805.0</v>
      </c>
      <c r="C616" s="12">
        <v>0.5116</v>
      </c>
      <c r="D616" s="2">
        <v>0.0017592592592592592</v>
      </c>
      <c r="E616" s="12">
        <v>1.06</v>
      </c>
      <c r="F616" s="12">
        <v>4.44</v>
      </c>
      <c r="G616" s="11">
        <v>13247.0</v>
      </c>
      <c r="H616" s="11">
        <v>2985.0</v>
      </c>
    </row>
    <row r="617">
      <c r="A617" s="10">
        <v>42985.0</v>
      </c>
      <c r="B617" s="11">
        <v>2624.0</v>
      </c>
      <c r="C617" s="12">
        <v>0.5187</v>
      </c>
      <c r="D617" s="2">
        <v>0.0016319444444444445</v>
      </c>
      <c r="E617" s="12">
        <v>1.13</v>
      </c>
      <c r="F617" s="12">
        <v>4.43</v>
      </c>
      <c r="G617" s="11">
        <v>13163.0</v>
      </c>
      <c r="H617" s="11">
        <v>2971.0</v>
      </c>
    </row>
    <row r="618">
      <c r="A618" s="10">
        <v>42986.0</v>
      </c>
      <c r="B618" s="11">
        <v>2416.0</v>
      </c>
      <c r="C618" s="12">
        <v>0.5487</v>
      </c>
      <c r="D618" s="2">
        <v>0.0015625</v>
      </c>
      <c r="E618" s="12">
        <v>1.12</v>
      </c>
      <c r="F618" s="12">
        <v>3.75</v>
      </c>
      <c r="G618" s="11">
        <v>10150.0</v>
      </c>
      <c r="H618" s="11">
        <v>2708.0</v>
      </c>
    </row>
    <row r="619">
      <c r="A619" s="10">
        <v>42987.0</v>
      </c>
      <c r="B619" s="11">
        <v>1875.0</v>
      </c>
      <c r="C619" s="12">
        <v>0.5644</v>
      </c>
      <c r="D619" s="2">
        <v>0.0011805555555555556</v>
      </c>
      <c r="E619" s="12">
        <v>1.09</v>
      </c>
      <c r="F619" s="12">
        <v>3.54</v>
      </c>
      <c r="G619" s="11">
        <v>7234.0</v>
      </c>
      <c r="H619" s="11">
        <v>2041.0</v>
      </c>
    </row>
    <row r="620">
      <c r="A620" s="10">
        <v>42988.0</v>
      </c>
      <c r="B620" s="11">
        <v>1888.0</v>
      </c>
      <c r="C620" s="12">
        <v>0.5723</v>
      </c>
      <c r="D620" s="2">
        <v>0.001574074074074074</v>
      </c>
      <c r="E620" s="12">
        <v>1.07</v>
      </c>
      <c r="F620" s="12">
        <v>3.97</v>
      </c>
      <c r="G620" s="11">
        <v>7998.0</v>
      </c>
      <c r="H620" s="11">
        <v>2013.0</v>
      </c>
    </row>
    <row r="621">
      <c r="A621" s="10">
        <v>42989.0</v>
      </c>
      <c r="B621" s="11">
        <v>2833.0</v>
      </c>
      <c r="C621" s="12">
        <v>0.5022</v>
      </c>
      <c r="D621" s="2">
        <v>0.0015277777777777779</v>
      </c>
      <c r="E621" s="12">
        <v>1.1</v>
      </c>
      <c r="F621" s="12">
        <v>3.94</v>
      </c>
      <c r="G621" s="11">
        <v>12316.0</v>
      </c>
      <c r="H621" s="11">
        <v>3124.0</v>
      </c>
    </row>
    <row r="622">
      <c r="A622" s="10">
        <v>42990.0</v>
      </c>
      <c r="B622" s="11">
        <v>2819.0</v>
      </c>
      <c r="C622" s="12">
        <v>0.4933</v>
      </c>
      <c r="D622" s="2">
        <v>0.0022916666666666667</v>
      </c>
      <c r="E622" s="12">
        <v>1.09</v>
      </c>
      <c r="F622" s="12">
        <v>5.31</v>
      </c>
      <c r="G622" s="11">
        <v>16288.0</v>
      </c>
      <c r="H622" s="11">
        <v>3069.0</v>
      </c>
    </row>
    <row r="623">
      <c r="A623" s="10">
        <v>42991.0</v>
      </c>
      <c r="B623" s="11">
        <v>2847.0</v>
      </c>
      <c r="C623" s="12">
        <v>0.461</v>
      </c>
      <c r="D623" s="2">
        <v>0.0016087962962962963</v>
      </c>
      <c r="E623" s="12">
        <v>1.06</v>
      </c>
      <c r="F623" s="12">
        <v>3.74</v>
      </c>
      <c r="G623" s="11">
        <v>11275.0</v>
      </c>
      <c r="H623" s="11">
        <v>3013.0</v>
      </c>
    </row>
    <row r="624">
      <c r="A624" s="10">
        <v>42992.0</v>
      </c>
      <c r="B624" s="11">
        <v>2777.0</v>
      </c>
      <c r="C624" s="12">
        <v>0.5002</v>
      </c>
      <c r="D624" s="2">
        <v>0.0015162037037037036</v>
      </c>
      <c r="E624" s="12">
        <v>1.07</v>
      </c>
      <c r="F624" s="12">
        <v>3.79</v>
      </c>
      <c r="G624" s="11">
        <v>11247.0</v>
      </c>
      <c r="H624" s="11">
        <v>2971.0</v>
      </c>
    </row>
    <row r="625">
      <c r="A625" s="10">
        <v>42993.0</v>
      </c>
      <c r="B625" s="11">
        <v>2458.0</v>
      </c>
      <c r="C625" s="12">
        <v>0.5287</v>
      </c>
      <c r="D625" s="2">
        <v>0.0013425925925925925</v>
      </c>
      <c r="E625" s="12">
        <v>1.17</v>
      </c>
      <c r="F625" s="12">
        <v>3.83</v>
      </c>
      <c r="G625" s="11">
        <v>11067.0</v>
      </c>
      <c r="H625" s="11">
        <v>2888.0</v>
      </c>
    </row>
    <row r="626">
      <c r="A626" s="10">
        <v>42994.0</v>
      </c>
      <c r="B626" s="11">
        <v>2638.0</v>
      </c>
      <c r="C626" s="12">
        <v>0.6001</v>
      </c>
      <c r="D626" s="2">
        <v>0.0013541666666666667</v>
      </c>
      <c r="E626" s="12">
        <v>1.11</v>
      </c>
      <c r="F626" s="12">
        <v>3.0</v>
      </c>
      <c r="G626" s="11">
        <v>8762.0</v>
      </c>
      <c r="H626" s="11">
        <v>2916.0</v>
      </c>
    </row>
    <row r="627">
      <c r="A627" s="10">
        <v>42995.0</v>
      </c>
      <c r="B627" s="11">
        <v>2666.0</v>
      </c>
      <c r="C627" s="12">
        <v>0.6112</v>
      </c>
      <c r="D627" s="2">
        <v>0.0012152777777777778</v>
      </c>
      <c r="E627" s="12">
        <v>1.12</v>
      </c>
      <c r="F627" s="12">
        <v>2.87</v>
      </c>
      <c r="G627" s="11">
        <v>8609.0</v>
      </c>
      <c r="H627" s="11">
        <v>2999.0</v>
      </c>
    </row>
    <row r="628">
      <c r="A628" s="10">
        <v>42996.0</v>
      </c>
      <c r="B628" s="11">
        <v>3499.0</v>
      </c>
      <c r="C628" s="12">
        <v>0.546</v>
      </c>
      <c r="D628" s="2">
        <v>0.0014930555555555556</v>
      </c>
      <c r="E628" s="12">
        <v>1.12</v>
      </c>
      <c r="F628" s="12">
        <v>3.36</v>
      </c>
      <c r="G628" s="11">
        <v>13163.0</v>
      </c>
      <c r="H628" s="11">
        <v>3916.0</v>
      </c>
    </row>
    <row r="629">
      <c r="A629" s="10">
        <v>42997.0</v>
      </c>
      <c r="B629" s="11">
        <v>3194.0</v>
      </c>
      <c r="C629" s="12">
        <v>0.5778</v>
      </c>
      <c r="D629" s="2">
        <v>0.00125</v>
      </c>
      <c r="E629" s="12">
        <v>1.17</v>
      </c>
      <c r="F629" s="12">
        <v>3.33</v>
      </c>
      <c r="G629" s="11">
        <v>12497.0</v>
      </c>
      <c r="H629" s="11">
        <v>3749.0</v>
      </c>
    </row>
    <row r="630">
      <c r="A630" s="10">
        <v>42998.0</v>
      </c>
      <c r="B630" s="11">
        <v>4860.0</v>
      </c>
      <c r="C630" s="12">
        <v>0.6067</v>
      </c>
      <c r="D630" s="2">
        <v>0.001400462962962963</v>
      </c>
      <c r="E630" s="12">
        <v>1.1</v>
      </c>
      <c r="F630" s="12">
        <v>3.65</v>
      </c>
      <c r="G630" s="11">
        <v>19467.0</v>
      </c>
      <c r="H630" s="11">
        <v>5332.0</v>
      </c>
    </row>
    <row r="631">
      <c r="A631" s="10">
        <v>42999.0</v>
      </c>
      <c r="B631" s="11">
        <v>4749.0</v>
      </c>
      <c r="C631" s="12">
        <v>0.6596</v>
      </c>
      <c r="D631" s="2">
        <v>0.0011342592592592593</v>
      </c>
      <c r="E631" s="12">
        <v>1.09</v>
      </c>
      <c r="F631" s="12">
        <v>3.12</v>
      </c>
      <c r="G631" s="11">
        <v>16149.0</v>
      </c>
      <c r="H631" s="11">
        <v>5179.0</v>
      </c>
    </row>
    <row r="632">
      <c r="A632" s="10">
        <v>43000.0</v>
      </c>
      <c r="B632" s="11">
        <v>3485.0</v>
      </c>
      <c r="C632" s="12">
        <v>0.5175</v>
      </c>
      <c r="D632" s="2">
        <v>0.0015972222222222223</v>
      </c>
      <c r="E632" s="12">
        <v>1.14</v>
      </c>
      <c r="F632" s="12">
        <v>3.84</v>
      </c>
      <c r="G632" s="11">
        <v>15232.0</v>
      </c>
      <c r="H632" s="11">
        <v>3971.0</v>
      </c>
    </row>
    <row r="633">
      <c r="A633" s="10">
        <v>43001.0</v>
      </c>
      <c r="B633" s="11">
        <v>1999.0</v>
      </c>
      <c r="C633" s="12">
        <v>0.5974</v>
      </c>
      <c r="D633" s="2">
        <v>0.0016435185185185185</v>
      </c>
      <c r="E633" s="12">
        <v>1.17</v>
      </c>
      <c r="F633" s="12">
        <v>3.52</v>
      </c>
      <c r="G633" s="11">
        <v>8262.0</v>
      </c>
      <c r="H633" s="11">
        <v>2347.0</v>
      </c>
    </row>
    <row r="634">
      <c r="A634" s="10">
        <v>43002.0</v>
      </c>
      <c r="B634" s="11">
        <v>2499.0</v>
      </c>
      <c r="C634" s="12">
        <v>0.57</v>
      </c>
      <c r="D634" s="2">
        <v>0.0011574074074074073</v>
      </c>
      <c r="E634" s="12">
        <v>1.11</v>
      </c>
      <c r="F634" s="12">
        <v>3.91</v>
      </c>
      <c r="G634" s="11">
        <v>10858.0</v>
      </c>
      <c r="H634" s="11">
        <v>2777.0</v>
      </c>
    </row>
    <row r="635">
      <c r="A635" s="10">
        <v>43003.0</v>
      </c>
      <c r="B635" s="11">
        <v>2985.0</v>
      </c>
      <c r="C635" s="12">
        <v>0.5041</v>
      </c>
      <c r="D635" s="2">
        <v>0.0014467592592592592</v>
      </c>
      <c r="E635" s="12">
        <v>1.15</v>
      </c>
      <c r="F635" s="12">
        <v>3.91</v>
      </c>
      <c r="G635" s="11">
        <v>13455.0</v>
      </c>
      <c r="H635" s="11">
        <v>3444.0</v>
      </c>
    </row>
    <row r="636">
      <c r="A636" s="10">
        <v>43004.0</v>
      </c>
      <c r="B636" s="11">
        <v>3596.0</v>
      </c>
      <c r="C636" s="12">
        <v>0.5647</v>
      </c>
      <c r="D636" s="2">
        <v>0.0016087962962962963</v>
      </c>
      <c r="E636" s="12">
        <v>1.14</v>
      </c>
      <c r="F636" s="12">
        <v>4.21</v>
      </c>
      <c r="G636" s="11">
        <v>17190.0</v>
      </c>
      <c r="H636" s="11">
        <v>4082.0</v>
      </c>
    </row>
    <row r="637">
      <c r="A637" s="10">
        <v>43005.0</v>
      </c>
      <c r="B637" s="11">
        <v>3291.0</v>
      </c>
      <c r="C637" s="12">
        <v>0.541</v>
      </c>
      <c r="D637" s="2">
        <v>0.001400462962962963</v>
      </c>
      <c r="E637" s="12">
        <v>1.13</v>
      </c>
      <c r="F637" s="12">
        <v>3.45</v>
      </c>
      <c r="G637" s="11">
        <v>12830.0</v>
      </c>
      <c r="H637" s="11">
        <v>3721.0</v>
      </c>
    </row>
    <row r="638">
      <c r="A638" s="10">
        <v>43006.0</v>
      </c>
      <c r="B638" s="11">
        <v>3430.0</v>
      </c>
      <c r="C638" s="12">
        <v>0.6226</v>
      </c>
      <c r="D638" s="2">
        <v>0.0015972222222222223</v>
      </c>
      <c r="E638" s="12">
        <v>1.07</v>
      </c>
      <c r="F638" s="12">
        <v>3.16</v>
      </c>
      <c r="G638" s="11">
        <v>11622.0</v>
      </c>
      <c r="H638" s="11">
        <v>3680.0</v>
      </c>
    </row>
    <row r="639">
      <c r="A639" s="10">
        <v>43007.0</v>
      </c>
      <c r="B639" s="11">
        <v>3041.0</v>
      </c>
      <c r="C639" s="12">
        <v>0.5992</v>
      </c>
      <c r="D639" s="2">
        <v>0.0017476851851851852</v>
      </c>
      <c r="E639" s="12">
        <v>1.08</v>
      </c>
      <c r="F639" s="12">
        <v>3.89</v>
      </c>
      <c r="G639" s="11">
        <v>12816.0</v>
      </c>
      <c r="H639" s="11">
        <v>3291.0</v>
      </c>
    </row>
    <row r="640">
      <c r="A640" s="10">
        <v>43008.0</v>
      </c>
      <c r="B640" s="11">
        <v>2610.0</v>
      </c>
      <c r="C640" s="12">
        <v>0.61</v>
      </c>
      <c r="D640" s="2">
        <v>0.0012731481481481483</v>
      </c>
      <c r="E640" s="12">
        <v>1.06</v>
      </c>
      <c r="F640" s="12">
        <v>3.91</v>
      </c>
      <c r="G640" s="11">
        <v>10858.0</v>
      </c>
      <c r="H640" s="11">
        <v>2777.0</v>
      </c>
    </row>
    <row r="641">
      <c r="A641" s="10">
        <v>43009.0</v>
      </c>
      <c r="B641" s="11">
        <v>2763.0</v>
      </c>
      <c r="C641" s="12">
        <v>0.6342</v>
      </c>
      <c r="D641" s="2">
        <v>0.0014467592592592592</v>
      </c>
      <c r="E641" s="12">
        <v>1.14</v>
      </c>
      <c r="F641" s="12">
        <v>3.3</v>
      </c>
      <c r="G641" s="11">
        <v>10386.0</v>
      </c>
      <c r="H641" s="11">
        <v>3152.0</v>
      </c>
    </row>
    <row r="642">
      <c r="A642" s="10">
        <v>43010.0</v>
      </c>
      <c r="B642" s="11">
        <v>3457.0</v>
      </c>
      <c r="C642" s="12">
        <v>0.5616</v>
      </c>
      <c r="D642" s="2">
        <v>0.0016203703703703703</v>
      </c>
      <c r="E642" s="12">
        <v>1.11</v>
      </c>
      <c r="F642" s="12">
        <v>3.82</v>
      </c>
      <c r="G642" s="11">
        <v>14649.0</v>
      </c>
      <c r="H642" s="11">
        <v>3832.0</v>
      </c>
    </row>
    <row r="643">
      <c r="A643" s="10">
        <v>43011.0</v>
      </c>
      <c r="B643" s="11">
        <v>3430.0</v>
      </c>
      <c r="C643" s="12">
        <v>0.5193</v>
      </c>
      <c r="D643" s="2">
        <v>0.0017592592592592592</v>
      </c>
      <c r="E643" s="12">
        <v>1.15</v>
      </c>
      <c r="F643" s="12">
        <v>3.77</v>
      </c>
      <c r="G643" s="11">
        <v>14830.0</v>
      </c>
      <c r="H643" s="11">
        <v>3930.0</v>
      </c>
    </row>
    <row r="644">
      <c r="A644" s="10">
        <v>43012.0</v>
      </c>
      <c r="B644" s="11">
        <v>5138.0</v>
      </c>
      <c r="C644" s="12">
        <v>0.5088</v>
      </c>
      <c r="D644" s="2">
        <v>0.0012731481481481483</v>
      </c>
      <c r="E644" s="12">
        <v>1.09</v>
      </c>
      <c r="F644" s="12">
        <v>3.37</v>
      </c>
      <c r="G644" s="11">
        <v>18856.0</v>
      </c>
      <c r="H644" s="11">
        <v>5596.0</v>
      </c>
    </row>
    <row r="645">
      <c r="A645" s="10">
        <v>43013.0</v>
      </c>
      <c r="B645" s="11">
        <v>4499.0</v>
      </c>
      <c r="C645" s="12">
        <v>0.5652</v>
      </c>
      <c r="D645" s="2">
        <v>0.001585648148148148</v>
      </c>
      <c r="E645" s="12">
        <v>1.14</v>
      </c>
      <c r="F645" s="12">
        <v>4.01</v>
      </c>
      <c r="G645" s="11">
        <v>20495.0</v>
      </c>
      <c r="H645" s="11">
        <v>5110.0</v>
      </c>
    </row>
    <row r="646">
      <c r="A646" s="10">
        <v>43014.0</v>
      </c>
      <c r="B646" s="11">
        <v>3971.0</v>
      </c>
      <c r="C646" s="12">
        <v>0.59</v>
      </c>
      <c r="D646" s="2">
        <v>0.0016319444444444445</v>
      </c>
      <c r="E646" s="12">
        <v>1.11</v>
      </c>
      <c r="F646" s="12">
        <v>3.82</v>
      </c>
      <c r="G646" s="11">
        <v>16815.0</v>
      </c>
      <c r="H646" s="11">
        <v>4402.0</v>
      </c>
    </row>
    <row r="647">
      <c r="A647" s="10">
        <v>43015.0</v>
      </c>
      <c r="B647" s="11">
        <v>3346.0</v>
      </c>
      <c r="C647" s="12">
        <v>0.6407</v>
      </c>
      <c r="D647" s="2">
        <v>0.0011921296296296296</v>
      </c>
      <c r="E647" s="12">
        <v>1.12</v>
      </c>
      <c r="F647" s="12">
        <v>3.46</v>
      </c>
      <c r="G647" s="11">
        <v>12955.0</v>
      </c>
      <c r="H647" s="11">
        <v>3749.0</v>
      </c>
    </row>
    <row r="648">
      <c r="A648" s="10">
        <v>43016.0</v>
      </c>
      <c r="B648" s="11">
        <v>3208.0</v>
      </c>
      <c r="C648" s="12">
        <v>0.6023</v>
      </c>
      <c r="D648" s="2">
        <v>0.0014930555555555556</v>
      </c>
      <c r="E648" s="12">
        <v>1.12</v>
      </c>
      <c r="F648" s="12">
        <v>3.57</v>
      </c>
      <c r="G648" s="11">
        <v>12830.0</v>
      </c>
      <c r="H648" s="11">
        <v>3596.0</v>
      </c>
    </row>
    <row r="649">
      <c r="A649" s="10">
        <v>43017.0</v>
      </c>
      <c r="B649" s="11">
        <v>3832.0</v>
      </c>
      <c r="C649" s="12">
        <v>0.5175</v>
      </c>
      <c r="D649" s="2">
        <v>0.0017592592592592592</v>
      </c>
      <c r="E649" s="12">
        <v>1.13</v>
      </c>
      <c r="F649" s="12">
        <v>3.82</v>
      </c>
      <c r="G649" s="11">
        <v>16621.0</v>
      </c>
      <c r="H649" s="11">
        <v>4346.0</v>
      </c>
    </row>
    <row r="650">
      <c r="A650" s="10">
        <v>43018.0</v>
      </c>
      <c r="B650" s="11">
        <v>3818.0</v>
      </c>
      <c r="C650" s="12">
        <v>0.5646</v>
      </c>
      <c r="D650" s="2">
        <v>0.0016782407407407408</v>
      </c>
      <c r="E650" s="12">
        <v>1.13</v>
      </c>
      <c r="F650" s="12">
        <v>3.42</v>
      </c>
      <c r="G650" s="11">
        <v>14732.0</v>
      </c>
      <c r="H650" s="11">
        <v>4304.0</v>
      </c>
    </row>
    <row r="651">
      <c r="A651" s="10">
        <v>43019.0</v>
      </c>
      <c r="B651" s="11">
        <v>3221.0</v>
      </c>
      <c r="C651" s="12">
        <v>0.4848</v>
      </c>
      <c r="D651" s="2">
        <v>0.0019328703703703704</v>
      </c>
      <c r="E651" s="12">
        <v>1.15</v>
      </c>
      <c r="F651" s="12">
        <v>4.55</v>
      </c>
      <c r="G651" s="11">
        <v>16801.0</v>
      </c>
      <c r="H651" s="11">
        <v>3694.0</v>
      </c>
    </row>
    <row r="652">
      <c r="A652" s="10">
        <v>43020.0</v>
      </c>
      <c r="B652" s="11">
        <v>2902.0</v>
      </c>
      <c r="C652" s="12">
        <v>0.4855</v>
      </c>
      <c r="D652" s="2">
        <v>0.0018402777777777777</v>
      </c>
      <c r="E652" s="12">
        <v>1.16</v>
      </c>
      <c r="F652" s="12">
        <v>4.03</v>
      </c>
      <c r="G652" s="11">
        <v>13594.0</v>
      </c>
      <c r="H652" s="11">
        <v>3374.0</v>
      </c>
    </row>
    <row r="653">
      <c r="A653" s="10">
        <v>43021.0</v>
      </c>
      <c r="B653" s="11">
        <v>2597.0</v>
      </c>
      <c r="C653" s="12">
        <v>0.4653</v>
      </c>
      <c r="D653" s="2">
        <v>0.0021643518518518518</v>
      </c>
      <c r="E653" s="12">
        <v>1.15</v>
      </c>
      <c r="F653" s="12">
        <v>5.48</v>
      </c>
      <c r="G653" s="11">
        <v>16371.0</v>
      </c>
      <c r="H653" s="11">
        <v>2985.0</v>
      </c>
    </row>
    <row r="654">
      <c r="A654" s="10">
        <v>43022.0</v>
      </c>
      <c r="B654" s="11">
        <v>2333.0</v>
      </c>
      <c r="C654" s="12">
        <v>0.5323</v>
      </c>
      <c r="D654" s="2">
        <v>0.0011689814814814816</v>
      </c>
      <c r="E654" s="12">
        <v>1.11</v>
      </c>
      <c r="F654" s="12">
        <v>3.23</v>
      </c>
      <c r="G654" s="11">
        <v>8331.0</v>
      </c>
      <c r="H654" s="11">
        <v>2583.0</v>
      </c>
    </row>
    <row r="655">
      <c r="A655" s="10">
        <v>43023.0</v>
      </c>
      <c r="B655" s="11">
        <v>2027.0</v>
      </c>
      <c r="C655" s="12">
        <v>0.4971</v>
      </c>
      <c r="D655" s="2">
        <v>0.0020717592592592593</v>
      </c>
      <c r="E655" s="12">
        <v>1.12</v>
      </c>
      <c r="F655" s="12">
        <v>4.99</v>
      </c>
      <c r="G655" s="11">
        <v>11303.0</v>
      </c>
      <c r="H655" s="11">
        <v>2263.0</v>
      </c>
    </row>
    <row r="656">
      <c r="A656" s="10">
        <v>43024.0</v>
      </c>
      <c r="B656" s="11">
        <v>2902.0</v>
      </c>
      <c r="C656" s="12">
        <v>0.4831</v>
      </c>
      <c r="D656" s="2">
        <v>0.002337962962962963</v>
      </c>
      <c r="E656" s="12">
        <v>1.13</v>
      </c>
      <c r="F656" s="12">
        <v>5.32</v>
      </c>
      <c r="G656" s="11">
        <v>17426.0</v>
      </c>
      <c r="H656" s="11">
        <v>3277.0</v>
      </c>
    </row>
    <row r="657">
      <c r="A657" s="10">
        <v>43025.0</v>
      </c>
      <c r="B657" s="11">
        <v>4124.0</v>
      </c>
      <c r="C657" s="12">
        <v>0.4969</v>
      </c>
      <c r="D657" s="2">
        <v>0.0014467592592592592</v>
      </c>
      <c r="E657" s="12">
        <v>1.1</v>
      </c>
      <c r="F657" s="12">
        <v>4.25</v>
      </c>
      <c r="G657" s="11">
        <v>19342.0</v>
      </c>
      <c r="H657" s="11">
        <v>4554.0</v>
      </c>
    </row>
    <row r="658">
      <c r="A658" s="10">
        <v>43026.0</v>
      </c>
      <c r="B658" s="11">
        <v>3444.0</v>
      </c>
      <c r="C658" s="12">
        <v>0.4703</v>
      </c>
      <c r="D658" s="2">
        <v>0.001851851851851852</v>
      </c>
      <c r="E658" s="12">
        <v>1.09</v>
      </c>
      <c r="F658" s="12">
        <v>4.73</v>
      </c>
      <c r="G658" s="11">
        <v>17732.0</v>
      </c>
      <c r="H658" s="11">
        <v>3749.0</v>
      </c>
    </row>
    <row r="659">
      <c r="A659" s="10">
        <v>43027.0</v>
      </c>
      <c r="B659" s="11">
        <v>3110.0</v>
      </c>
      <c r="C659" s="12">
        <v>0.5407</v>
      </c>
      <c r="D659" s="2">
        <v>0.0012962962962962963</v>
      </c>
      <c r="E659" s="12">
        <v>1.1</v>
      </c>
      <c r="F659" s="12">
        <v>3.79</v>
      </c>
      <c r="G659" s="11">
        <v>12955.0</v>
      </c>
      <c r="H659" s="11">
        <v>3416.0</v>
      </c>
    </row>
    <row r="660">
      <c r="A660" s="10">
        <v>43028.0</v>
      </c>
      <c r="B660" s="11">
        <v>2916.0</v>
      </c>
      <c r="C660" s="12">
        <v>0.4808</v>
      </c>
      <c r="D660" s="2">
        <v>0.0019328703703703704</v>
      </c>
      <c r="E660" s="12">
        <v>1.12</v>
      </c>
      <c r="F660" s="12">
        <v>5.16</v>
      </c>
      <c r="G660" s="11">
        <v>16829.0</v>
      </c>
      <c r="H660" s="11">
        <v>3263.0</v>
      </c>
    </row>
    <row r="661">
      <c r="A661" s="10">
        <v>43029.0</v>
      </c>
      <c r="B661" s="11">
        <v>2222.0</v>
      </c>
      <c r="C661" s="12">
        <v>0.4884</v>
      </c>
      <c r="D661" s="2">
        <v>0.001400462962962963</v>
      </c>
      <c r="E661" s="12">
        <v>1.09</v>
      </c>
      <c r="F661" s="12">
        <v>4.01</v>
      </c>
      <c r="G661" s="11">
        <v>9692.0</v>
      </c>
      <c r="H661" s="11">
        <v>2416.0</v>
      </c>
    </row>
    <row r="662">
      <c r="A662" s="10">
        <v>43030.0</v>
      </c>
      <c r="B662" s="11">
        <v>2527.0</v>
      </c>
      <c r="C662" s="12">
        <v>0.4335</v>
      </c>
      <c r="D662" s="2">
        <v>0.0014814814814814814</v>
      </c>
      <c r="E662" s="12">
        <v>1.15</v>
      </c>
      <c r="F662" s="12">
        <v>4.41</v>
      </c>
      <c r="G662" s="11">
        <v>12858.0</v>
      </c>
      <c r="H662" s="11">
        <v>2916.0</v>
      </c>
    </row>
    <row r="663">
      <c r="A663" s="10">
        <v>43031.0</v>
      </c>
      <c r="B663" s="11">
        <v>3430.0</v>
      </c>
      <c r="C663" s="12">
        <v>0.451</v>
      </c>
      <c r="D663" s="2">
        <v>0.0014930555555555556</v>
      </c>
      <c r="E663" s="12">
        <v>1.11</v>
      </c>
      <c r="F663" s="12">
        <v>4.17</v>
      </c>
      <c r="G663" s="11">
        <v>15927.0</v>
      </c>
      <c r="H663" s="11">
        <v>3818.0</v>
      </c>
    </row>
    <row r="664">
      <c r="A664" s="10">
        <v>43032.0</v>
      </c>
      <c r="B664" s="11">
        <v>3235.0</v>
      </c>
      <c r="C664" s="12">
        <v>0.469</v>
      </c>
      <c r="D664" s="2">
        <v>0.001724537037037037</v>
      </c>
      <c r="E664" s="12">
        <v>1.11</v>
      </c>
      <c r="F664" s="12">
        <v>4.73</v>
      </c>
      <c r="G664" s="11">
        <v>16940.0</v>
      </c>
      <c r="H664" s="11">
        <v>3582.0</v>
      </c>
    </row>
    <row r="665">
      <c r="A665" s="10">
        <v>43033.0</v>
      </c>
      <c r="B665" s="11">
        <v>3249.0</v>
      </c>
      <c r="C665" s="12">
        <v>0.4979</v>
      </c>
      <c r="D665" s="2">
        <v>0.001736111111111111</v>
      </c>
      <c r="E665" s="12">
        <v>1.1</v>
      </c>
      <c r="F665" s="12">
        <v>5.03</v>
      </c>
      <c r="G665" s="11">
        <v>17968.0</v>
      </c>
      <c r="H665" s="11">
        <v>3569.0</v>
      </c>
    </row>
    <row r="666">
      <c r="A666" s="10">
        <v>43034.0</v>
      </c>
      <c r="B666" s="11">
        <v>3166.0</v>
      </c>
      <c r="C666" s="12">
        <v>0.4691</v>
      </c>
      <c r="D666" s="2">
        <v>0.0019444444444444444</v>
      </c>
      <c r="E666" s="12">
        <v>1.21</v>
      </c>
      <c r="F666" s="12">
        <v>4.47</v>
      </c>
      <c r="G666" s="11">
        <v>17065.0</v>
      </c>
      <c r="H666" s="11">
        <v>3818.0</v>
      </c>
    </row>
    <row r="667">
      <c r="A667" s="10">
        <v>43035.0</v>
      </c>
      <c r="B667" s="11">
        <v>3041.0</v>
      </c>
      <c r="C667" s="12">
        <v>0.4609</v>
      </c>
      <c r="D667" s="2">
        <v>0.0019212962962962964</v>
      </c>
      <c r="E667" s="12">
        <v>1.11</v>
      </c>
      <c r="F667" s="12">
        <v>4.46</v>
      </c>
      <c r="G667" s="11">
        <v>15052.0</v>
      </c>
      <c r="H667" s="11">
        <v>3374.0</v>
      </c>
    </row>
    <row r="668">
      <c r="A668" s="10">
        <v>43036.0</v>
      </c>
      <c r="B668" s="11">
        <v>2291.0</v>
      </c>
      <c r="C668" s="12">
        <v>0.548</v>
      </c>
      <c r="D668" s="2">
        <v>0.0013078703703703703</v>
      </c>
      <c r="E668" s="12">
        <v>1.07</v>
      </c>
      <c r="F668" s="12">
        <v>3.59</v>
      </c>
      <c r="G668" s="11">
        <v>8817.0</v>
      </c>
      <c r="H668" s="11">
        <v>2458.0</v>
      </c>
    </row>
    <row r="669">
      <c r="A669" s="10">
        <v>43037.0</v>
      </c>
      <c r="B669" s="11">
        <v>2208.0</v>
      </c>
      <c r="C669" s="12">
        <v>0.5556</v>
      </c>
      <c r="D669" s="2">
        <v>0.0013425925925925925</v>
      </c>
      <c r="E669" s="12">
        <v>1.08</v>
      </c>
      <c r="F669" s="12">
        <v>4.02</v>
      </c>
      <c r="G669" s="11">
        <v>9553.0</v>
      </c>
      <c r="H669" s="11">
        <v>2374.0</v>
      </c>
    </row>
    <row r="670">
      <c r="A670" s="10">
        <v>43038.0</v>
      </c>
      <c r="B670" s="11">
        <v>3041.0</v>
      </c>
      <c r="C670" s="12">
        <v>0.4779</v>
      </c>
      <c r="D670" s="2">
        <v>0.0016550925925925926</v>
      </c>
      <c r="E670" s="12">
        <v>1.14</v>
      </c>
      <c r="F670" s="12">
        <v>4.53</v>
      </c>
      <c r="G670" s="11">
        <v>15649.0</v>
      </c>
      <c r="H670" s="11">
        <v>3457.0</v>
      </c>
    </row>
    <row r="671">
      <c r="A671" s="10">
        <v>43039.0</v>
      </c>
      <c r="B671" s="11">
        <v>2597.0</v>
      </c>
      <c r="C671" s="12">
        <v>0.4272</v>
      </c>
      <c r="D671" s="2">
        <v>0.0018402777777777777</v>
      </c>
      <c r="E671" s="12">
        <v>1.18</v>
      </c>
      <c r="F671" s="12">
        <v>4.58</v>
      </c>
      <c r="G671" s="11">
        <v>13983.0</v>
      </c>
      <c r="H671" s="11">
        <v>3055.0</v>
      </c>
    </row>
    <row r="672">
      <c r="A672" s="10">
        <v>43040.0</v>
      </c>
      <c r="B672" s="11">
        <v>2833.0</v>
      </c>
      <c r="C672" s="12">
        <v>0.4453</v>
      </c>
      <c r="D672" s="2">
        <v>0.0017592592592592592</v>
      </c>
      <c r="E672" s="12">
        <v>1.12</v>
      </c>
      <c r="F672" s="12">
        <v>4.89</v>
      </c>
      <c r="G672" s="11">
        <v>15538.0</v>
      </c>
      <c r="H672" s="11">
        <v>3180.0</v>
      </c>
    </row>
    <row r="673">
      <c r="A673" s="10">
        <v>43041.0</v>
      </c>
      <c r="B673" s="11">
        <v>2860.0</v>
      </c>
      <c r="C673" s="12">
        <v>0.4585</v>
      </c>
      <c r="D673" s="2">
        <v>0.0014467592592592592</v>
      </c>
      <c r="E673" s="12">
        <v>1.11</v>
      </c>
      <c r="F673" s="12">
        <v>4.19</v>
      </c>
      <c r="G673" s="11">
        <v>13330.0</v>
      </c>
      <c r="H673" s="11">
        <v>3180.0</v>
      </c>
    </row>
    <row r="674">
      <c r="A674" s="10">
        <v>43042.0</v>
      </c>
      <c r="B674" s="11">
        <v>2722.0</v>
      </c>
      <c r="C674" s="12">
        <v>0.4978</v>
      </c>
      <c r="D674" s="2">
        <v>0.0022453703703703702</v>
      </c>
      <c r="E674" s="12">
        <v>1.11</v>
      </c>
      <c r="F674" s="12">
        <v>5.46</v>
      </c>
      <c r="G674" s="11">
        <v>16454.0</v>
      </c>
      <c r="H674" s="11">
        <v>3013.0</v>
      </c>
    </row>
    <row r="675">
      <c r="A675" s="10">
        <v>43043.0</v>
      </c>
      <c r="B675" s="11">
        <v>2041.0</v>
      </c>
      <c r="C675" s="12">
        <v>0.4882</v>
      </c>
      <c r="D675" s="2">
        <v>0.0018055555555555555</v>
      </c>
      <c r="E675" s="12">
        <v>1.14</v>
      </c>
      <c r="F675" s="12">
        <v>5.14</v>
      </c>
      <c r="G675" s="11">
        <v>11983.0</v>
      </c>
      <c r="H675" s="11">
        <v>2333.0</v>
      </c>
    </row>
    <row r="676">
      <c r="A676" s="10">
        <v>43044.0</v>
      </c>
      <c r="B676" s="11">
        <v>2569.0</v>
      </c>
      <c r="C676" s="12">
        <v>0.4602</v>
      </c>
      <c r="D676" s="2">
        <v>0.0016435185185185185</v>
      </c>
      <c r="E676" s="12">
        <v>1.09</v>
      </c>
      <c r="F676" s="12">
        <v>3.91</v>
      </c>
      <c r="G676" s="11">
        <v>10956.0</v>
      </c>
      <c r="H676" s="11">
        <v>2805.0</v>
      </c>
    </row>
    <row r="677">
      <c r="A677" s="10">
        <v>43045.0</v>
      </c>
      <c r="B677" s="11">
        <v>3388.0</v>
      </c>
      <c r="C677" s="12">
        <v>0.4474</v>
      </c>
      <c r="D677" s="2">
        <v>0.0014930555555555556</v>
      </c>
      <c r="E677" s="12">
        <v>1.13</v>
      </c>
      <c r="F677" s="12">
        <v>4.35</v>
      </c>
      <c r="G677" s="11">
        <v>16621.0</v>
      </c>
      <c r="H677" s="11">
        <v>3818.0</v>
      </c>
    </row>
    <row r="678">
      <c r="A678" s="10">
        <v>43046.0</v>
      </c>
      <c r="B678" s="11">
        <v>3624.0</v>
      </c>
      <c r="C678" s="12">
        <v>0.4725</v>
      </c>
      <c r="D678" s="2">
        <v>0.001261574074074074</v>
      </c>
      <c r="E678" s="12">
        <v>1.12</v>
      </c>
      <c r="F678" s="12">
        <v>3.97</v>
      </c>
      <c r="G678" s="11">
        <v>16079.0</v>
      </c>
      <c r="H678" s="11">
        <v>4055.0</v>
      </c>
    </row>
    <row r="679">
      <c r="A679" s="10">
        <v>43047.0</v>
      </c>
      <c r="B679" s="11">
        <v>3777.0</v>
      </c>
      <c r="C679" s="12">
        <v>0.4619</v>
      </c>
      <c r="D679" s="2">
        <v>0.0016782407407407408</v>
      </c>
      <c r="E679" s="12">
        <v>1.16</v>
      </c>
      <c r="F679" s="12">
        <v>3.79</v>
      </c>
      <c r="G679" s="11">
        <v>16649.0</v>
      </c>
      <c r="H679" s="11">
        <v>4388.0</v>
      </c>
    </row>
    <row r="680">
      <c r="A680" s="10">
        <v>43048.0</v>
      </c>
      <c r="B680" s="11">
        <v>3527.0</v>
      </c>
      <c r="C680" s="12">
        <v>0.4501</v>
      </c>
      <c r="D680" s="2">
        <v>0.0016550925925925926</v>
      </c>
      <c r="E680" s="12">
        <v>1.1</v>
      </c>
      <c r="F680" s="12">
        <v>4.5</v>
      </c>
      <c r="G680" s="11">
        <v>17482.0</v>
      </c>
      <c r="H680" s="11">
        <v>3888.0</v>
      </c>
    </row>
    <row r="681">
      <c r="A681" s="10">
        <v>43049.0</v>
      </c>
      <c r="B681" s="11">
        <v>2777.0</v>
      </c>
      <c r="C681" s="12">
        <v>0.5126</v>
      </c>
      <c r="D681" s="2">
        <v>0.001851851851851852</v>
      </c>
      <c r="E681" s="12">
        <v>1.2</v>
      </c>
      <c r="F681" s="12">
        <v>4.3</v>
      </c>
      <c r="G681" s="11">
        <v>14316.0</v>
      </c>
      <c r="H681" s="11">
        <v>3332.0</v>
      </c>
    </row>
    <row r="682">
      <c r="A682" s="10">
        <v>43050.0</v>
      </c>
      <c r="B682" s="11">
        <v>2263.0</v>
      </c>
      <c r="C682" s="12">
        <v>0.5301</v>
      </c>
      <c r="D682" s="2">
        <v>0.0015625</v>
      </c>
      <c r="E682" s="12">
        <v>1.12</v>
      </c>
      <c r="F682" s="12">
        <v>4.16</v>
      </c>
      <c r="G682" s="11">
        <v>10567.0</v>
      </c>
      <c r="H682" s="11">
        <v>2541.0</v>
      </c>
    </row>
    <row r="683">
      <c r="A683" s="10">
        <v>43051.0</v>
      </c>
      <c r="B683" s="11">
        <v>2458.0</v>
      </c>
      <c r="C683" s="12">
        <v>0.5437</v>
      </c>
      <c r="D683" s="2">
        <v>0.0017013888888888888</v>
      </c>
      <c r="E683" s="12">
        <v>1.16</v>
      </c>
      <c r="F683" s="12">
        <v>4.3</v>
      </c>
      <c r="G683" s="11">
        <v>12289.0</v>
      </c>
      <c r="H683" s="11">
        <v>2860.0</v>
      </c>
    </row>
    <row r="684">
      <c r="A684" s="10">
        <v>43052.0</v>
      </c>
      <c r="B684" s="11">
        <v>2902.0</v>
      </c>
      <c r="C684" s="12">
        <v>0.4213</v>
      </c>
      <c r="D684" s="2">
        <v>0.002627314814814815</v>
      </c>
      <c r="E684" s="12">
        <v>1.22</v>
      </c>
      <c r="F684" s="12">
        <v>5.0</v>
      </c>
      <c r="G684" s="11">
        <v>17621.0</v>
      </c>
      <c r="H684" s="11">
        <v>3527.0</v>
      </c>
    </row>
    <row r="685">
      <c r="A685" s="10">
        <v>43053.0</v>
      </c>
      <c r="B685" s="11">
        <v>3388.0</v>
      </c>
      <c r="C685" s="12">
        <v>0.4432</v>
      </c>
      <c r="D685" s="2">
        <v>0.0018402777777777777</v>
      </c>
      <c r="E685" s="12">
        <v>1.12</v>
      </c>
      <c r="F685" s="12">
        <v>4.51</v>
      </c>
      <c r="G685" s="11">
        <v>17093.0</v>
      </c>
      <c r="H685" s="11">
        <v>3791.0</v>
      </c>
    </row>
    <row r="686">
      <c r="A686" s="10">
        <v>43054.0</v>
      </c>
      <c r="B686" s="11">
        <v>3180.0</v>
      </c>
      <c r="C686" s="12">
        <v>0.4324</v>
      </c>
      <c r="D686" s="2">
        <v>0.0016435185185185185</v>
      </c>
      <c r="E686" s="12">
        <v>1.13</v>
      </c>
      <c r="F686" s="12">
        <v>4.27</v>
      </c>
      <c r="G686" s="11">
        <v>15371.0</v>
      </c>
      <c r="H686" s="11">
        <v>3596.0</v>
      </c>
    </row>
    <row r="687">
      <c r="A687" s="10">
        <v>43055.0</v>
      </c>
      <c r="B687" s="11">
        <v>3208.0</v>
      </c>
      <c r="C687" s="12">
        <v>0.423</v>
      </c>
      <c r="D687" s="2">
        <v>0.0016203703703703703</v>
      </c>
      <c r="E687" s="12">
        <v>1.13</v>
      </c>
      <c r="F687" s="12">
        <v>4.51</v>
      </c>
      <c r="G687" s="11">
        <v>16274.0</v>
      </c>
      <c r="H687" s="11">
        <v>3610.0</v>
      </c>
    </row>
    <row r="688">
      <c r="A688" s="10">
        <v>43056.0</v>
      </c>
      <c r="B688" s="11">
        <v>3027.0</v>
      </c>
      <c r="C688" s="12">
        <v>0.4309</v>
      </c>
      <c r="D688" s="2">
        <v>0.0016203703703703703</v>
      </c>
      <c r="E688" s="12">
        <v>1.13</v>
      </c>
      <c r="F688" s="12">
        <v>4.11</v>
      </c>
      <c r="G688" s="11">
        <v>14038.0</v>
      </c>
      <c r="H688" s="11">
        <v>3416.0</v>
      </c>
    </row>
    <row r="689">
      <c r="A689" s="10">
        <v>43057.0</v>
      </c>
      <c r="B689" s="11">
        <v>1916.0</v>
      </c>
      <c r="C689" s="12">
        <v>0.5225</v>
      </c>
      <c r="D689" s="2">
        <v>0.0012152777777777778</v>
      </c>
      <c r="E689" s="12">
        <v>1.14</v>
      </c>
      <c r="F689" s="12">
        <v>3.78</v>
      </c>
      <c r="G689" s="11">
        <v>8248.0</v>
      </c>
      <c r="H689" s="11">
        <v>2180.0</v>
      </c>
    </row>
    <row r="690">
      <c r="A690" s="10">
        <v>43058.0</v>
      </c>
      <c r="B690" s="11">
        <v>2124.0</v>
      </c>
      <c r="C690" s="12">
        <v>0.4968</v>
      </c>
      <c r="D690" s="2">
        <v>0.0018287037037037037</v>
      </c>
      <c r="E690" s="12">
        <v>1.1</v>
      </c>
      <c r="F690" s="12">
        <v>4.47</v>
      </c>
      <c r="G690" s="11">
        <v>10497.0</v>
      </c>
      <c r="H690" s="11">
        <v>2347.0</v>
      </c>
    </row>
    <row r="691">
      <c r="A691" s="10">
        <v>43059.0</v>
      </c>
      <c r="B691" s="11">
        <v>3208.0</v>
      </c>
      <c r="C691" s="12">
        <v>0.4501</v>
      </c>
      <c r="D691" s="2">
        <v>0.0017939814814814815</v>
      </c>
      <c r="E691" s="12">
        <v>1.13</v>
      </c>
      <c r="F691" s="12">
        <v>5.46</v>
      </c>
      <c r="G691" s="11">
        <v>19703.0</v>
      </c>
      <c r="H691" s="11">
        <v>3610.0</v>
      </c>
    </row>
    <row r="692">
      <c r="A692" s="10">
        <v>43060.0</v>
      </c>
      <c r="B692" s="11">
        <v>2777.0</v>
      </c>
      <c r="C692" s="12">
        <v>0.4448</v>
      </c>
      <c r="D692" s="2">
        <v>0.001979166666666667</v>
      </c>
      <c r="E692" s="12">
        <v>1.14</v>
      </c>
      <c r="F692" s="12">
        <v>4.37</v>
      </c>
      <c r="G692" s="11">
        <v>13774.0</v>
      </c>
      <c r="H692" s="11">
        <v>3152.0</v>
      </c>
    </row>
    <row r="693">
      <c r="A693" s="10">
        <v>43061.0</v>
      </c>
      <c r="B693" s="11">
        <v>2985.0</v>
      </c>
      <c r="C693" s="12">
        <v>0.4262</v>
      </c>
      <c r="D693" s="2">
        <v>0.001990740740740741</v>
      </c>
      <c r="E693" s="12">
        <v>1.14</v>
      </c>
      <c r="F693" s="12">
        <v>4.48</v>
      </c>
      <c r="G693" s="11">
        <v>15163.0</v>
      </c>
      <c r="H693" s="11">
        <v>3388.0</v>
      </c>
    </row>
    <row r="694">
      <c r="A694" s="10">
        <v>43062.0</v>
      </c>
      <c r="B694" s="11">
        <v>2902.0</v>
      </c>
      <c r="C694" s="12">
        <v>0.5104</v>
      </c>
      <c r="D694" s="2">
        <v>0.0012152777777777778</v>
      </c>
      <c r="E694" s="12">
        <v>1.14</v>
      </c>
      <c r="F694" s="12">
        <v>3.27</v>
      </c>
      <c r="G694" s="11">
        <v>10858.0</v>
      </c>
      <c r="H694" s="11">
        <v>3319.0</v>
      </c>
    </row>
    <row r="695">
      <c r="A695" s="10">
        <v>43063.0</v>
      </c>
      <c r="B695" s="11">
        <v>2944.0</v>
      </c>
      <c r="C695" s="12">
        <v>0.4121</v>
      </c>
      <c r="D695" s="2">
        <v>0.0021643518518518518</v>
      </c>
      <c r="E695" s="12">
        <v>1.1</v>
      </c>
      <c r="F695" s="12">
        <v>5.13</v>
      </c>
      <c r="G695" s="11">
        <v>16593.0</v>
      </c>
      <c r="H695" s="11">
        <v>3235.0</v>
      </c>
    </row>
    <row r="696">
      <c r="A696" s="10">
        <v>43064.0</v>
      </c>
      <c r="B696" s="11">
        <v>1999.0</v>
      </c>
      <c r="C696" s="12">
        <v>0.4509</v>
      </c>
      <c r="D696" s="2">
        <v>0.002662037037037037</v>
      </c>
      <c r="E696" s="12">
        <v>1.2</v>
      </c>
      <c r="F696" s="12">
        <v>4.3</v>
      </c>
      <c r="G696" s="11">
        <v>10317.0</v>
      </c>
      <c r="H696" s="11">
        <v>2402.0</v>
      </c>
    </row>
    <row r="697">
      <c r="A697" s="10">
        <v>43065.0</v>
      </c>
      <c r="B697" s="11">
        <v>2472.0</v>
      </c>
      <c r="C697" s="12">
        <v>0.4062</v>
      </c>
      <c r="D697" s="2">
        <v>0.0021643518518518518</v>
      </c>
      <c r="E697" s="12">
        <v>1.11</v>
      </c>
      <c r="F697" s="12">
        <v>4.87</v>
      </c>
      <c r="G697" s="11">
        <v>13316.0</v>
      </c>
      <c r="H697" s="11">
        <v>2735.0</v>
      </c>
    </row>
    <row r="698">
      <c r="A698" s="10">
        <v>43066.0</v>
      </c>
      <c r="B698" s="11">
        <v>4207.0</v>
      </c>
      <c r="C698" s="12">
        <v>0.4267</v>
      </c>
      <c r="D698" s="2">
        <v>0.0014467592592592592</v>
      </c>
      <c r="E698" s="12">
        <v>1.17</v>
      </c>
      <c r="F698" s="12">
        <v>4.03</v>
      </c>
      <c r="G698" s="11">
        <v>19787.0</v>
      </c>
      <c r="H698" s="11">
        <v>4915.0</v>
      </c>
    </row>
    <row r="699">
      <c r="A699" s="10">
        <v>43067.0</v>
      </c>
      <c r="B699" s="11">
        <v>3680.0</v>
      </c>
      <c r="C699" s="12">
        <v>0.4309</v>
      </c>
      <c r="D699" s="2">
        <v>0.0015393518518518519</v>
      </c>
      <c r="E699" s="12">
        <v>1.12</v>
      </c>
      <c r="F699" s="12">
        <v>4.17</v>
      </c>
      <c r="G699" s="11">
        <v>17190.0</v>
      </c>
      <c r="H699" s="11">
        <v>4124.0</v>
      </c>
    </row>
    <row r="700">
      <c r="A700" s="10">
        <v>43068.0</v>
      </c>
      <c r="B700" s="11">
        <v>3374.0</v>
      </c>
      <c r="C700" s="12">
        <v>0.4181</v>
      </c>
      <c r="D700" s="2">
        <v>0.001585648148148148</v>
      </c>
      <c r="E700" s="12">
        <v>1.08</v>
      </c>
      <c r="F700" s="12">
        <v>4.48</v>
      </c>
      <c r="G700" s="11">
        <v>16343.0</v>
      </c>
      <c r="H700" s="11">
        <v>3652.0</v>
      </c>
    </row>
    <row r="701">
      <c r="A701" s="10">
        <v>43069.0</v>
      </c>
      <c r="B701" s="11">
        <v>2999.0</v>
      </c>
      <c r="C701" s="12">
        <v>0.4689</v>
      </c>
      <c r="D701" s="2">
        <v>0.0018171296296296297</v>
      </c>
      <c r="E701" s="12">
        <v>1.12</v>
      </c>
      <c r="F701" s="12">
        <v>4.03</v>
      </c>
      <c r="G701" s="11">
        <v>13497.0</v>
      </c>
      <c r="H701" s="11">
        <v>3346.0</v>
      </c>
    </row>
    <row r="702">
      <c r="A702" s="10">
        <v>43070.0</v>
      </c>
      <c r="B702" s="11">
        <v>2763.0</v>
      </c>
      <c r="C702" s="12">
        <v>0.4267</v>
      </c>
      <c r="D702" s="2">
        <v>0.0013078703703703703</v>
      </c>
      <c r="E702" s="12">
        <v>1.13</v>
      </c>
      <c r="F702" s="12">
        <v>3.84</v>
      </c>
      <c r="G702" s="11">
        <v>12011.0</v>
      </c>
      <c r="H702" s="11">
        <v>3124.0</v>
      </c>
    </row>
    <row r="703">
      <c r="A703" s="10">
        <v>43071.0</v>
      </c>
      <c r="B703" s="11">
        <v>2138.0</v>
      </c>
      <c r="C703" s="12">
        <v>0.5204</v>
      </c>
      <c r="D703" s="2">
        <v>0.0015162037037037036</v>
      </c>
      <c r="E703" s="12">
        <v>1.12</v>
      </c>
      <c r="F703" s="12">
        <v>3.83</v>
      </c>
      <c r="G703" s="11">
        <v>9206.0</v>
      </c>
      <c r="H703" s="11">
        <v>2402.0</v>
      </c>
    </row>
    <row r="704">
      <c r="A704" s="10">
        <v>43072.0</v>
      </c>
      <c r="B704" s="11">
        <v>2249.0</v>
      </c>
      <c r="C704" s="12">
        <v>0.5293</v>
      </c>
      <c r="D704" s="2">
        <v>0.0015509259259259259</v>
      </c>
      <c r="E704" s="12">
        <v>1.17</v>
      </c>
      <c r="F704" s="12">
        <v>3.74</v>
      </c>
      <c r="G704" s="11">
        <v>9817.0</v>
      </c>
      <c r="H704" s="11">
        <v>2624.0</v>
      </c>
    </row>
    <row r="705">
      <c r="A705" s="10">
        <v>43073.0</v>
      </c>
      <c r="B705" s="11">
        <v>3180.0</v>
      </c>
      <c r="C705" s="12">
        <v>0.434</v>
      </c>
      <c r="D705" s="2">
        <v>0.001712962962962963</v>
      </c>
      <c r="E705" s="12">
        <v>1.16</v>
      </c>
      <c r="F705" s="12">
        <v>4.07</v>
      </c>
      <c r="G705" s="11">
        <v>14968.0</v>
      </c>
      <c r="H705" s="11">
        <v>3680.0</v>
      </c>
    </row>
    <row r="706">
      <c r="A706" s="10">
        <v>43074.0</v>
      </c>
      <c r="B706" s="11">
        <v>3249.0</v>
      </c>
      <c r="C706" s="12">
        <v>0.4553</v>
      </c>
      <c r="D706" s="2">
        <v>0.001736111111111111</v>
      </c>
      <c r="E706" s="12">
        <v>1.15</v>
      </c>
      <c r="F706" s="12">
        <v>4.15</v>
      </c>
      <c r="G706" s="11">
        <v>15454.0</v>
      </c>
      <c r="H706" s="11">
        <v>3721.0</v>
      </c>
    </row>
    <row r="707">
      <c r="A707" s="10">
        <v>43075.0</v>
      </c>
      <c r="B707" s="11">
        <v>3346.0</v>
      </c>
      <c r="C707" s="12">
        <v>0.408</v>
      </c>
      <c r="D707" s="2">
        <v>0.0021527777777777778</v>
      </c>
      <c r="E707" s="12">
        <v>1.15</v>
      </c>
      <c r="F707" s="12">
        <v>4.5</v>
      </c>
      <c r="G707" s="11">
        <v>17301.0</v>
      </c>
      <c r="H707" s="11">
        <v>3846.0</v>
      </c>
    </row>
    <row r="708">
      <c r="A708" s="10">
        <v>43076.0</v>
      </c>
      <c r="B708" s="11">
        <v>3374.0</v>
      </c>
      <c r="C708" s="12">
        <v>0.4275</v>
      </c>
      <c r="D708" s="2">
        <v>0.0021643518518518518</v>
      </c>
      <c r="E708" s="12">
        <v>1.14</v>
      </c>
      <c r="F708" s="12">
        <v>4.55</v>
      </c>
      <c r="G708" s="11">
        <v>17454.0</v>
      </c>
      <c r="H708" s="11">
        <v>3832.0</v>
      </c>
    </row>
    <row r="709">
      <c r="A709" s="10">
        <v>43077.0</v>
      </c>
      <c r="B709" s="11">
        <v>2749.0</v>
      </c>
      <c r="C709" s="12">
        <v>0.4069</v>
      </c>
      <c r="D709" s="2">
        <v>0.0017013888888888888</v>
      </c>
      <c r="E709" s="12">
        <v>1.14</v>
      </c>
      <c r="F709" s="12">
        <v>4.84</v>
      </c>
      <c r="G709" s="11">
        <v>15177.0</v>
      </c>
      <c r="H709" s="11">
        <v>3138.0</v>
      </c>
    </row>
    <row r="710">
      <c r="A710" s="10">
        <v>43078.0</v>
      </c>
      <c r="B710" s="11">
        <v>2069.0</v>
      </c>
      <c r="C710" s="12">
        <v>0.4516</v>
      </c>
      <c r="D710" s="2">
        <v>0.0023263888888888887</v>
      </c>
      <c r="E710" s="12">
        <v>1.11</v>
      </c>
      <c r="F710" s="12">
        <v>4.57</v>
      </c>
      <c r="G710" s="11">
        <v>10539.0</v>
      </c>
      <c r="H710" s="11">
        <v>2305.0</v>
      </c>
    </row>
    <row r="711">
      <c r="A711" s="10">
        <v>43079.0</v>
      </c>
      <c r="B711" s="11">
        <v>2430.0</v>
      </c>
      <c r="C711" s="12">
        <v>0.4636</v>
      </c>
      <c r="D711" s="2">
        <v>0.0021875</v>
      </c>
      <c r="E711" s="12">
        <v>1.1</v>
      </c>
      <c r="F711" s="12">
        <v>4.64</v>
      </c>
      <c r="G711" s="11">
        <v>12358.0</v>
      </c>
      <c r="H711" s="11">
        <v>2666.0</v>
      </c>
    </row>
    <row r="712">
      <c r="A712" s="10">
        <v>43080.0</v>
      </c>
      <c r="B712" s="11">
        <v>3235.0</v>
      </c>
      <c r="C712" s="12">
        <v>0.4</v>
      </c>
      <c r="D712" s="2">
        <v>0.0019444444444444444</v>
      </c>
      <c r="E712" s="12">
        <v>1.12</v>
      </c>
      <c r="F712" s="12">
        <v>4.5</v>
      </c>
      <c r="G712" s="11">
        <v>16260.0</v>
      </c>
      <c r="H712" s="11">
        <v>3610.0</v>
      </c>
    </row>
    <row r="713">
      <c r="A713" s="10">
        <v>43081.0</v>
      </c>
      <c r="B713" s="11">
        <v>8734.0</v>
      </c>
      <c r="C713" s="12">
        <v>0.6781</v>
      </c>
      <c r="D713" s="2">
        <v>7.523148148148148E-4</v>
      </c>
      <c r="E713" s="12">
        <v>1.07</v>
      </c>
      <c r="F713" s="12">
        <v>2.34</v>
      </c>
      <c r="G713" s="11">
        <v>21814.0</v>
      </c>
      <c r="H713" s="11">
        <v>9317.0</v>
      </c>
    </row>
    <row r="714">
      <c r="A714" s="10">
        <v>43082.0</v>
      </c>
      <c r="B714" s="11">
        <v>8067.0</v>
      </c>
      <c r="C714" s="12">
        <v>0.6528</v>
      </c>
      <c r="D714" s="2">
        <v>0.0012731481481481483</v>
      </c>
      <c r="E714" s="12">
        <v>1.12</v>
      </c>
      <c r="F714" s="12">
        <v>2.92</v>
      </c>
      <c r="G714" s="11">
        <v>26313.0</v>
      </c>
      <c r="H714" s="11">
        <v>8998.0</v>
      </c>
    </row>
    <row r="715">
      <c r="A715" s="10">
        <v>43083.0</v>
      </c>
      <c r="B715" s="11">
        <v>3416.0</v>
      </c>
      <c r="C715" s="12">
        <v>0.4668</v>
      </c>
      <c r="D715" s="2">
        <v>0.001261574074074074</v>
      </c>
      <c r="E715" s="12">
        <v>1.11</v>
      </c>
      <c r="F715" s="12">
        <v>3.43</v>
      </c>
      <c r="G715" s="11">
        <v>12955.0</v>
      </c>
      <c r="H715" s="11">
        <v>3777.0</v>
      </c>
    </row>
    <row r="716">
      <c r="A716" s="10">
        <v>43084.0</v>
      </c>
      <c r="B716" s="11">
        <v>3485.0</v>
      </c>
      <c r="C716" s="12">
        <v>0.5384</v>
      </c>
      <c r="D716" s="2">
        <v>0.0012037037037037038</v>
      </c>
      <c r="E716" s="12">
        <v>1.09</v>
      </c>
      <c r="F716" s="12">
        <v>3.57</v>
      </c>
      <c r="G716" s="11">
        <v>13524.0</v>
      </c>
      <c r="H716" s="11">
        <v>3791.0</v>
      </c>
    </row>
    <row r="717">
      <c r="A717" s="10">
        <v>43085.0</v>
      </c>
      <c r="B717" s="11">
        <v>2527.0</v>
      </c>
      <c r="C717" s="12">
        <v>0.51</v>
      </c>
      <c r="D717" s="2">
        <v>0.0015277777777777779</v>
      </c>
      <c r="E717" s="12">
        <v>1.09</v>
      </c>
      <c r="F717" s="12">
        <v>4.14</v>
      </c>
      <c r="G717" s="11">
        <v>11372.0</v>
      </c>
      <c r="H717" s="11">
        <v>2749.0</v>
      </c>
    </row>
    <row r="718">
      <c r="A718" s="10">
        <v>43086.0</v>
      </c>
      <c r="B718" s="11">
        <v>2499.0</v>
      </c>
      <c r="C718" s="12">
        <v>0.5053</v>
      </c>
      <c r="D718" s="2">
        <v>0.0016319444444444445</v>
      </c>
      <c r="E718" s="12">
        <v>1.1</v>
      </c>
      <c r="F718" s="12">
        <v>3.35</v>
      </c>
      <c r="G718" s="11">
        <v>9206.0</v>
      </c>
      <c r="H718" s="11">
        <v>2749.0</v>
      </c>
    </row>
    <row r="719">
      <c r="A719" s="10">
        <v>43087.0</v>
      </c>
      <c r="B719" s="11">
        <v>3735.0</v>
      </c>
      <c r="C719" s="12">
        <v>0.4243</v>
      </c>
      <c r="D719" s="2">
        <v>0.0015277777777777779</v>
      </c>
      <c r="E719" s="12">
        <v>1.1</v>
      </c>
      <c r="F719" s="12">
        <v>4.52</v>
      </c>
      <c r="G719" s="11">
        <v>18634.0</v>
      </c>
      <c r="H719" s="11">
        <v>4124.0</v>
      </c>
    </row>
    <row r="720">
      <c r="A720" s="10">
        <v>43088.0</v>
      </c>
      <c r="B720" s="11">
        <v>3444.0</v>
      </c>
      <c r="C720" s="12">
        <v>0.5036</v>
      </c>
      <c r="D720" s="2">
        <v>0.0015393518518518519</v>
      </c>
      <c r="E720" s="12">
        <v>1.1</v>
      </c>
      <c r="F720" s="12">
        <v>3.96</v>
      </c>
      <c r="G720" s="11">
        <v>14968.0</v>
      </c>
      <c r="H720" s="11">
        <v>3777.0</v>
      </c>
    </row>
    <row r="721">
      <c r="A721" s="10">
        <v>43089.0</v>
      </c>
      <c r="B721" s="11">
        <v>3194.0</v>
      </c>
      <c r="C721" s="12">
        <v>0.474</v>
      </c>
      <c r="D721" s="2">
        <v>0.0014351851851851852</v>
      </c>
      <c r="E721" s="12">
        <v>1.09</v>
      </c>
      <c r="F721" s="12">
        <v>4.15</v>
      </c>
      <c r="G721" s="11">
        <v>14469.0</v>
      </c>
      <c r="H721" s="11">
        <v>3485.0</v>
      </c>
    </row>
    <row r="722">
      <c r="A722" s="10">
        <v>43090.0</v>
      </c>
      <c r="B722" s="11">
        <v>2860.0</v>
      </c>
      <c r="C722" s="12">
        <v>0.5044</v>
      </c>
      <c r="D722" s="2">
        <v>0.0011111111111111111</v>
      </c>
      <c r="E722" s="12">
        <v>1.11</v>
      </c>
      <c r="F722" s="12">
        <v>3.47</v>
      </c>
      <c r="G722" s="11">
        <v>10983.0</v>
      </c>
      <c r="H722" s="11">
        <v>3166.0</v>
      </c>
    </row>
    <row r="723">
      <c r="A723" s="10">
        <v>43091.0</v>
      </c>
      <c r="B723" s="11">
        <v>2458.0</v>
      </c>
      <c r="C723" s="12">
        <v>0.4922</v>
      </c>
      <c r="D723" s="2">
        <v>0.0013541666666666667</v>
      </c>
      <c r="E723" s="12">
        <v>1.09</v>
      </c>
      <c r="F723" s="12">
        <v>3.65</v>
      </c>
      <c r="G723" s="11">
        <v>9775.0</v>
      </c>
      <c r="H723" s="11">
        <v>2680.0</v>
      </c>
    </row>
    <row r="724">
      <c r="A724" s="10">
        <v>43092.0</v>
      </c>
      <c r="B724" s="11">
        <v>1944.0</v>
      </c>
      <c r="C724" s="12">
        <v>0.5424</v>
      </c>
      <c r="D724" s="2">
        <v>0.0016898148148148148</v>
      </c>
      <c r="E724" s="12">
        <v>1.09</v>
      </c>
      <c r="F724" s="12">
        <v>3.94</v>
      </c>
      <c r="G724" s="11">
        <v>8373.0</v>
      </c>
      <c r="H724" s="11">
        <v>2124.0</v>
      </c>
    </row>
    <row r="725">
      <c r="A725" s="10">
        <v>43093.0</v>
      </c>
      <c r="B725" s="11">
        <v>1819.0</v>
      </c>
      <c r="C725" s="12">
        <v>0.5942</v>
      </c>
      <c r="D725" s="2">
        <v>0.0015046296296296296</v>
      </c>
      <c r="E725" s="12">
        <v>1.09</v>
      </c>
      <c r="F725" s="12">
        <v>3.57</v>
      </c>
      <c r="G725" s="11">
        <v>7082.0</v>
      </c>
      <c r="H725" s="11">
        <v>1986.0</v>
      </c>
    </row>
    <row r="726">
      <c r="A726" s="10">
        <v>43094.0</v>
      </c>
      <c r="B726" s="11">
        <v>2027.0</v>
      </c>
      <c r="C726" s="12">
        <v>0.5734</v>
      </c>
      <c r="D726" s="2">
        <v>0.0011574074074074073</v>
      </c>
      <c r="E726" s="12">
        <v>1.08</v>
      </c>
      <c r="F726" s="12">
        <v>3.22</v>
      </c>
      <c r="G726" s="11">
        <v>7012.0</v>
      </c>
      <c r="H726" s="11">
        <v>2180.0</v>
      </c>
    </row>
    <row r="727">
      <c r="A727" s="10">
        <v>43095.0</v>
      </c>
      <c r="B727" s="11">
        <v>2208.0</v>
      </c>
      <c r="C727" s="12">
        <v>0.5217</v>
      </c>
      <c r="D727" s="2">
        <v>0.0017476851851851852</v>
      </c>
      <c r="E727" s="12">
        <v>1.16</v>
      </c>
      <c r="F727" s="12">
        <v>3.49</v>
      </c>
      <c r="G727" s="11">
        <v>8914.0</v>
      </c>
      <c r="H727" s="11">
        <v>2555.0</v>
      </c>
    </row>
    <row r="728">
      <c r="A728" s="10">
        <v>43096.0</v>
      </c>
      <c r="B728" s="11">
        <v>2680.0</v>
      </c>
      <c r="C728" s="12">
        <v>0.5096</v>
      </c>
      <c r="D728" s="2">
        <v>0.0010763888888888889</v>
      </c>
      <c r="E728" s="12">
        <v>1.09</v>
      </c>
      <c r="F728" s="12">
        <v>3.08</v>
      </c>
      <c r="G728" s="11">
        <v>8970.0</v>
      </c>
      <c r="H728" s="11">
        <v>2916.0</v>
      </c>
    </row>
    <row r="729">
      <c r="A729" s="10">
        <v>43097.0</v>
      </c>
      <c r="B729" s="11">
        <v>2291.0</v>
      </c>
      <c r="C729" s="12">
        <v>0.4748</v>
      </c>
      <c r="D729" s="2">
        <v>0.0013194444444444445</v>
      </c>
      <c r="E729" s="12">
        <v>1.08</v>
      </c>
      <c r="F729" s="12">
        <v>3.91</v>
      </c>
      <c r="G729" s="11">
        <v>9706.0</v>
      </c>
      <c r="H729" s="11">
        <v>2485.0</v>
      </c>
    </row>
    <row r="730">
      <c r="A730" s="10">
        <v>43098.0</v>
      </c>
      <c r="B730" s="11">
        <v>1847.0</v>
      </c>
      <c r="C730" s="12">
        <v>0.4424</v>
      </c>
      <c r="D730" s="2">
        <v>0.0013773148148148147</v>
      </c>
      <c r="E730" s="12">
        <v>1.11</v>
      </c>
      <c r="F730" s="12">
        <v>4.01</v>
      </c>
      <c r="G730" s="11">
        <v>8178.0</v>
      </c>
      <c r="H730" s="11">
        <v>2041.0</v>
      </c>
    </row>
    <row r="731">
      <c r="A731" s="10">
        <v>43099.0</v>
      </c>
      <c r="B731" s="11">
        <v>1666.0</v>
      </c>
      <c r="C731" s="12">
        <v>0.4443</v>
      </c>
      <c r="D731" s="2">
        <v>0.001585648148148148</v>
      </c>
      <c r="E731" s="12">
        <v>1.13</v>
      </c>
      <c r="F731" s="12">
        <v>3.65</v>
      </c>
      <c r="G731" s="11">
        <v>6845.0</v>
      </c>
      <c r="H731" s="11">
        <v>1875.0</v>
      </c>
    </row>
    <row r="732">
      <c r="A732" s="10">
        <v>43100.0</v>
      </c>
      <c r="B732" s="11">
        <v>1514.0</v>
      </c>
      <c r="C732" s="12">
        <v>0.4915</v>
      </c>
      <c r="D732" s="2">
        <v>0.0017824074074074075</v>
      </c>
      <c r="E732" s="12">
        <v>1.05</v>
      </c>
      <c r="F732" s="12">
        <v>4.02</v>
      </c>
      <c r="G732" s="11">
        <v>6360.0</v>
      </c>
      <c r="H732" s="11">
        <v>1583.0</v>
      </c>
    </row>
    <row r="733">
      <c r="A733" s="10">
        <v>43101.0</v>
      </c>
      <c r="B733" s="11">
        <v>1763.0</v>
      </c>
      <c r="C733" s="12">
        <v>0.5142</v>
      </c>
      <c r="D733" s="2">
        <v>9.490740740740741E-4</v>
      </c>
      <c r="E733" s="12">
        <v>1.12</v>
      </c>
      <c r="F733" s="12">
        <v>3.26</v>
      </c>
      <c r="G733" s="11">
        <v>6429.0</v>
      </c>
      <c r="H733" s="11">
        <v>1972.0</v>
      </c>
    </row>
    <row r="734">
      <c r="A734" s="10">
        <v>43102.0</v>
      </c>
      <c r="B734" s="11">
        <v>2749.0</v>
      </c>
      <c r="C734" s="12">
        <v>0.4267</v>
      </c>
      <c r="D734" s="2">
        <v>0.0020717592592592593</v>
      </c>
      <c r="E734" s="12">
        <v>1.14</v>
      </c>
      <c r="F734" s="12">
        <v>4.95</v>
      </c>
      <c r="G734" s="11">
        <v>15454.0</v>
      </c>
      <c r="H734" s="11">
        <v>3124.0</v>
      </c>
    </row>
    <row r="735">
      <c r="A735" s="10">
        <v>43103.0</v>
      </c>
      <c r="B735" s="11">
        <v>2666.0</v>
      </c>
      <c r="C735" s="12">
        <v>0.556</v>
      </c>
      <c r="D735" s="2">
        <v>0.0013773148148148147</v>
      </c>
      <c r="E735" s="12">
        <v>1.11</v>
      </c>
      <c r="F735" s="12">
        <v>3.63</v>
      </c>
      <c r="G735" s="11">
        <v>10789.0</v>
      </c>
      <c r="H735" s="11">
        <v>2971.0</v>
      </c>
    </row>
    <row r="736">
      <c r="A736" s="10">
        <v>43104.0</v>
      </c>
      <c r="B736" s="11">
        <v>2666.0</v>
      </c>
      <c r="C736" s="12">
        <v>0.4929</v>
      </c>
      <c r="D736" s="2">
        <v>0.00125</v>
      </c>
      <c r="E736" s="12">
        <v>1.11</v>
      </c>
      <c r="F736" s="12">
        <v>3.91</v>
      </c>
      <c r="G736" s="11">
        <v>11567.0</v>
      </c>
      <c r="H736" s="11">
        <v>2958.0</v>
      </c>
    </row>
    <row r="737">
      <c r="A737" s="10">
        <v>43105.0</v>
      </c>
      <c r="B737" s="11">
        <v>2416.0</v>
      </c>
      <c r="C737" s="12">
        <v>0.4716</v>
      </c>
      <c r="D737" s="2">
        <v>0.0014467592592592592</v>
      </c>
      <c r="E737" s="12">
        <v>1.12</v>
      </c>
      <c r="F737" s="12">
        <v>4.33</v>
      </c>
      <c r="G737" s="11">
        <v>11719.0</v>
      </c>
      <c r="H737" s="11">
        <v>2708.0</v>
      </c>
    </row>
    <row r="738">
      <c r="A738" s="10">
        <v>43106.0</v>
      </c>
      <c r="B738" s="11">
        <v>1888.0</v>
      </c>
      <c r="C738" s="12">
        <v>0.5278</v>
      </c>
      <c r="D738" s="2">
        <v>0.0013541666666666667</v>
      </c>
      <c r="E738" s="12">
        <v>1.06</v>
      </c>
      <c r="F738" s="12">
        <v>3.32</v>
      </c>
      <c r="G738" s="11">
        <v>6637.0</v>
      </c>
      <c r="H738" s="11">
        <v>1999.0</v>
      </c>
    </row>
    <row r="739">
      <c r="A739" s="10">
        <v>43107.0</v>
      </c>
      <c r="B739" s="11">
        <v>2027.0</v>
      </c>
      <c r="C739" s="12">
        <v>0.4935</v>
      </c>
      <c r="D739" s="2">
        <v>0.0013078703703703703</v>
      </c>
      <c r="E739" s="12">
        <v>1.07</v>
      </c>
      <c r="F739" s="12">
        <v>3.26</v>
      </c>
      <c r="G739" s="11">
        <v>7054.0</v>
      </c>
      <c r="H739" s="11">
        <v>2166.0</v>
      </c>
    </row>
    <row r="740">
      <c r="A740" s="10">
        <v>43108.0</v>
      </c>
      <c r="B740" s="11">
        <v>2694.0</v>
      </c>
      <c r="C740" s="12">
        <v>0.4466</v>
      </c>
      <c r="D740" s="2">
        <v>0.0013194444444444445</v>
      </c>
      <c r="E740" s="12">
        <v>1.11</v>
      </c>
      <c r="F740" s="12">
        <v>4.31</v>
      </c>
      <c r="G740" s="11">
        <v>12858.0</v>
      </c>
      <c r="H740" s="11">
        <v>2985.0</v>
      </c>
    </row>
    <row r="741">
      <c r="A741" s="10">
        <v>43109.0</v>
      </c>
      <c r="B741" s="11">
        <v>3166.0</v>
      </c>
      <c r="C741" s="12">
        <v>0.4753</v>
      </c>
      <c r="D741" s="2">
        <v>0.001388888888888889</v>
      </c>
      <c r="E741" s="12">
        <v>1.06</v>
      </c>
      <c r="F741" s="12">
        <v>3.57</v>
      </c>
      <c r="G741" s="11">
        <v>11983.0</v>
      </c>
      <c r="H741" s="11">
        <v>3360.0</v>
      </c>
    </row>
    <row r="742">
      <c r="A742" s="10">
        <v>43110.0</v>
      </c>
      <c r="B742" s="11">
        <v>2999.0</v>
      </c>
      <c r="C742" s="12">
        <v>0.4768</v>
      </c>
      <c r="D742" s="2">
        <v>0.001388888888888889</v>
      </c>
      <c r="E742" s="12">
        <v>1.1</v>
      </c>
      <c r="F742" s="12">
        <v>4.4</v>
      </c>
      <c r="G742" s="11">
        <v>14469.0</v>
      </c>
      <c r="H742" s="11">
        <v>3291.0</v>
      </c>
    </row>
    <row r="743">
      <c r="A743" s="10">
        <v>43111.0</v>
      </c>
      <c r="B743" s="11">
        <v>2902.0</v>
      </c>
      <c r="C743" s="12">
        <v>0.5582</v>
      </c>
      <c r="D743" s="2">
        <v>0.001412037037037037</v>
      </c>
      <c r="E743" s="12">
        <v>1.07</v>
      </c>
      <c r="F743" s="12">
        <v>3.4</v>
      </c>
      <c r="G743" s="11">
        <v>10567.0</v>
      </c>
      <c r="H743" s="11">
        <v>3110.0</v>
      </c>
    </row>
    <row r="744">
      <c r="A744" s="10">
        <v>43112.0</v>
      </c>
      <c r="B744" s="11">
        <v>2583.0</v>
      </c>
      <c r="C744" s="12">
        <v>0.4951</v>
      </c>
      <c r="D744" s="2">
        <v>0.001412037037037037</v>
      </c>
      <c r="E744" s="12">
        <v>1.11</v>
      </c>
      <c r="F744" s="12">
        <v>3.86</v>
      </c>
      <c r="G744" s="11">
        <v>11053.0</v>
      </c>
      <c r="H744" s="11">
        <v>2860.0</v>
      </c>
    </row>
    <row r="745">
      <c r="A745" s="10">
        <v>43113.0</v>
      </c>
      <c r="B745" s="11">
        <v>2055.0</v>
      </c>
      <c r="C745" s="12">
        <v>0.5678</v>
      </c>
      <c r="D745" s="2">
        <v>8.796296296296296E-4</v>
      </c>
      <c r="E745" s="12">
        <v>1.09</v>
      </c>
      <c r="F745" s="12">
        <v>3.2</v>
      </c>
      <c r="G745" s="11">
        <v>7193.0</v>
      </c>
      <c r="H745" s="11">
        <v>2249.0</v>
      </c>
    </row>
    <row r="746">
      <c r="A746" s="10">
        <v>43114.0</v>
      </c>
      <c r="B746" s="11">
        <v>2097.0</v>
      </c>
      <c r="C746" s="12">
        <v>0.5305</v>
      </c>
      <c r="D746" s="2">
        <v>0.0013078703703703703</v>
      </c>
      <c r="E746" s="12">
        <v>1.09</v>
      </c>
      <c r="F746" s="12">
        <v>3.66</v>
      </c>
      <c r="G746" s="11">
        <v>8331.0</v>
      </c>
      <c r="H746" s="11">
        <v>2277.0</v>
      </c>
    </row>
    <row r="747">
      <c r="A747" s="10">
        <v>43115.0</v>
      </c>
      <c r="B747" s="11">
        <v>2958.0</v>
      </c>
      <c r="C747" s="12">
        <v>0.464</v>
      </c>
      <c r="D747" s="2">
        <v>0.0018981481481481482</v>
      </c>
      <c r="E747" s="12">
        <v>1.1</v>
      </c>
      <c r="F747" s="12">
        <v>3.67</v>
      </c>
      <c r="G747" s="11">
        <v>11969.0</v>
      </c>
      <c r="H747" s="11">
        <v>3263.0</v>
      </c>
    </row>
    <row r="748">
      <c r="A748" s="10">
        <v>43116.0</v>
      </c>
      <c r="B748" s="11">
        <v>3027.0</v>
      </c>
      <c r="C748" s="12">
        <v>0.5241</v>
      </c>
      <c r="D748" s="2">
        <v>0.001585648148148148</v>
      </c>
      <c r="E748" s="12">
        <v>1.14</v>
      </c>
      <c r="F748" s="12">
        <v>3.22</v>
      </c>
      <c r="G748" s="11">
        <v>11094.0</v>
      </c>
      <c r="H748" s="11">
        <v>3444.0</v>
      </c>
    </row>
    <row r="749">
      <c r="A749" s="10">
        <v>43117.0</v>
      </c>
      <c r="B749" s="11">
        <v>2902.0</v>
      </c>
      <c r="C749" s="12">
        <v>0.5085</v>
      </c>
      <c r="D749" s="2">
        <v>0.0014467592592592592</v>
      </c>
      <c r="E749" s="12">
        <v>1.12</v>
      </c>
      <c r="F749" s="12">
        <v>3.55</v>
      </c>
      <c r="G749" s="11">
        <v>11539.0</v>
      </c>
      <c r="H749" s="11">
        <v>3249.0</v>
      </c>
    </row>
    <row r="750">
      <c r="A750" s="10">
        <v>43118.0</v>
      </c>
      <c r="B750" s="11">
        <v>2527.0</v>
      </c>
      <c r="C750" s="12">
        <v>0.4638</v>
      </c>
      <c r="D750" s="2">
        <v>0.0021527777777777778</v>
      </c>
      <c r="E750" s="12">
        <v>1.14</v>
      </c>
      <c r="F750" s="12">
        <v>3.84</v>
      </c>
      <c r="G750" s="11">
        <v>11025.0</v>
      </c>
      <c r="H750" s="11">
        <v>2874.0</v>
      </c>
    </row>
    <row r="751">
      <c r="A751" s="10">
        <v>43119.0</v>
      </c>
      <c r="B751" s="11">
        <v>2458.0</v>
      </c>
      <c r="C751" s="12">
        <v>0.4087</v>
      </c>
      <c r="D751" s="2">
        <v>0.0021064814814814813</v>
      </c>
      <c r="E751" s="12">
        <v>1.15</v>
      </c>
      <c r="F751" s="12">
        <v>4.64</v>
      </c>
      <c r="G751" s="11">
        <v>13094.0</v>
      </c>
      <c r="H751" s="11">
        <v>2819.0</v>
      </c>
    </row>
    <row r="752">
      <c r="A752" s="10">
        <v>43120.0</v>
      </c>
      <c r="B752" s="11">
        <v>2083.0</v>
      </c>
      <c r="C752" s="12">
        <v>0.565</v>
      </c>
      <c r="D752" s="2">
        <v>0.0010416666666666667</v>
      </c>
      <c r="E752" s="12">
        <v>1.03</v>
      </c>
      <c r="F752" s="12">
        <v>3.43</v>
      </c>
      <c r="G752" s="11">
        <v>7331.0</v>
      </c>
      <c r="H752" s="11">
        <v>2138.0</v>
      </c>
    </row>
    <row r="753">
      <c r="A753" s="10">
        <v>43121.0</v>
      </c>
      <c r="B753" s="11">
        <v>1972.0</v>
      </c>
      <c r="C753" s="12">
        <v>0.5161</v>
      </c>
      <c r="D753" s="2">
        <v>0.0018287037037037037</v>
      </c>
      <c r="E753" s="12">
        <v>1.11</v>
      </c>
      <c r="F753" s="12">
        <v>3.55</v>
      </c>
      <c r="G753" s="11">
        <v>7748.0</v>
      </c>
      <c r="H753" s="11">
        <v>2180.0</v>
      </c>
    </row>
    <row r="754">
      <c r="A754" s="10">
        <v>43122.0</v>
      </c>
      <c r="B754" s="11">
        <v>2847.0</v>
      </c>
      <c r="C754" s="12">
        <v>0.4802</v>
      </c>
      <c r="D754" s="2">
        <v>0.0018171296296296297</v>
      </c>
      <c r="E754" s="12">
        <v>1.1</v>
      </c>
      <c r="F754" s="12">
        <v>4.16</v>
      </c>
      <c r="G754" s="11">
        <v>12997.0</v>
      </c>
      <c r="H754" s="11">
        <v>3124.0</v>
      </c>
    </row>
    <row r="755">
      <c r="A755" s="10">
        <v>43123.0</v>
      </c>
      <c r="B755" s="11">
        <v>2722.0</v>
      </c>
      <c r="C755" s="12">
        <v>0.5322</v>
      </c>
      <c r="D755" s="2">
        <v>0.0013078703703703703</v>
      </c>
      <c r="E755" s="12">
        <v>1.11</v>
      </c>
      <c r="F755" s="12">
        <v>4.02</v>
      </c>
      <c r="G755" s="11">
        <v>12164.0</v>
      </c>
      <c r="H755" s="11">
        <v>3027.0</v>
      </c>
    </row>
    <row r="756">
      <c r="A756" s="10">
        <v>43124.0</v>
      </c>
      <c r="B756" s="11">
        <v>2874.0</v>
      </c>
      <c r="C756" s="12">
        <v>0.4337</v>
      </c>
      <c r="D756" s="2">
        <v>0.002013888888888889</v>
      </c>
      <c r="E756" s="12">
        <v>1.09</v>
      </c>
      <c r="F756" s="12">
        <v>4.4</v>
      </c>
      <c r="G756" s="11">
        <v>13816.0</v>
      </c>
      <c r="H756" s="11">
        <v>3138.0</v>
      </c>
    </row>
    <row r="757">
      <c r="A757" s="10">
        <v>43125.0</v>
      </c>
      <c r="B757" s="11">
        <v>3208.0</v>
      </c>
      <c r="C757" s="12">
        <v>0.5567</v>
      </c>
      <c r="D757" s="2">
        <v>0.0016782407407407408</v>
      </c>
      <c r="E757" s="12">
        <v>1.14</v>
      </c>
      <c r="F757" s="12">
        <v>4.11</v>
      </c>
      <c r="G757" s="11">
        <v>15052.0</v>
      </c>
      <c r="H757" s="11">
        <v>3666.0</v>
      </c>
    </row>
    <row r="758">
      <c r="A758" s="10">
        <v>43126.0</v>
      </c>
      <c r="B758" s="11">
        <v>2541.0</v>
      </c>
      <c r="C758" s="12">
        <v>0.5146</v>
      </c>
      <c r="D758" s="2">
        <v>0.0015625</v>
      </c>
      <c r="E758" s="12">
        <v>1.11</v>
      </c>
      <c r="F758" s="12">
        <v>4.35</v>
      </c>
      <c r="G758" s="11">
        <v>12330.0</v>
      </c>
      <c r="H758" s="11">
        <v>2833.0</v>
      </c>
    </row>
    <row r="759">
      <c r="A759" s="10">
        <v>43127.0</v>
      </c>
      <c r="B759" s="11">
        <v>1986.0</v>
      </c>
      <c r="C759" s="12">
        <v>0.5627</v>
      </c>
      <c r="D759" s="2">
        <v>0.0011342592592592593</v>
      </c>
      <c r="E759" s="12">
        <v>1.06</v>
      </c>
      <c r="F759" s="12">
        <v>3.36</v>
      </c>
      <c r="G759" s="11">
        <v>7054.0</v>
      </c>
      <c r="H759" s="11">
        <v>2097.0</v>
      </c>
    </row>
    <row r="760">
      <c r="A760" s="10">
        <v>43128.0</v>
      </c>
      <c r="B760" s="11">
        <v>2083.0</v>
      </c>
      <c r="C760" s="12">
        <v>0.5063</v>
      </c>
      <c r="D760" s="2">
        <v>0.0015393518518518519</v>
      </c>
      <c r="E760" s="12">
        <v>1.07</v>
      </c>
      <c r="F760" s="12">
        <v>4.03</v>
      </c>
      <c r="G760" s="11">
        <v>8956.0</v>
      </c>
      <c r="H760" s="11">
        <v>2222.0</v>
      </c>
    </row>
    <row r="761">
      <c r="A761" s="10">
        <v>43129.0</v>
      </c>
      <c r="B761" s="11">
        <v>2833.0</v>
      </c>
      <c r="C761" s="12">
        <v>0.4605</v>
      </c>
      <c r="D761" s="2">
        <v>0.002013888888888889</v>
      </c>
      <c r="E761" s="12">
        <v>1.12</v>
      </c>
      <c r="F761" s="12">
        <v>4.61</v>
      </c>
      <c r="G761" s="11">
        <v>14607.0</v>
      </c>
      <c r="H761" s="11">
        <v>3166.0</v>
      </c>
    </row>
    <row r="762">
      <c r="A762" s="10">
        <v>43130.0</v>
      </c>
      <c r="B762" s="11">
        <v>2847.0</v>
      </c>
      <c r="C762" s="12">
        <v>0.474</v>
      </c>
      <c r="D762" s="2">
        <v>0.0021643518518518518</v>
      </c>
      <c r="E762" s="12">
        <v>1.12</v>
      </c>
      <c r="F762" s="12">
        <v>3.9</v>
      </c>
      <c r="G762" s="11">
        <v>12469.0</v>
      </c>
      <c r="H762" s="11">
        <v>3194.0</v>
      </c>
    </row>
    <row r="763">
      <c r="A763" s="10">
        <v>43131.0</v>
      </c>
      <c r="B763" s="11">
        <v>2847.0</v>
      </c>
      <c r="C763" s="12">
        <v>0.4426</v>
      </c>
      <c r="D763" s="2">
        <v>0.0016782407407407408</v>
      </c>
      <c r="E763" s="12">
        <v>1.1</v>
      </c>
      <c r="F763" s="12">
        <v>3.79</v>
      </c>
      <c r="G763" s="11">
        <v>11900.0</v>
      </c>
      <c r="H763" s="11">
        <v>3138.0</v>
      </c>
    </row>
    <row r="764">
      <c r="A764" s="10">
        <v>43132.0</v>
      </c>
      <c r="B764" s="11">
        <v>2847.0</v>
      </c>
      <c r="C764" s="12">
        <v>0.4217</v>
      </c>
      <c r="D764" s="2">
        <v>0.0020717592592592593</v>
      </c>
      <c r="E764" s="12">
        <v>1.12</v>
      </c>
      <c r="F764" s="12">
        <v>5.11</v>
      </c>
      <c r="G764" s="11">
        <v>16315.0</v>
      </c>
      <c r="H764" s="11">
        <v>3194.0</v>
      </c>
    </row>
    <row r="765">
      <c r="A765" s="10">
        <v>43133.0</v>
      </c>
      <c r="B765" s="11">
        <v>2541.0</v>
      </c>
      <c r="C765" s="12">
        <v>0.5002</v>
      </c>
      <c r="D765" s="2">
        <v>0.0014814814814814814</v>
      </c>
      <c r="E765" s="12">
        <v>1.08</v>
      </c>
      <c r="F765" s="12">
        <v>3.93</v>
      </c>
      <c r="G765" s="11">
        <v>10817.0</v>
      </c>
      <c r="H765" s="11">
        <v>2749.0</v>
      </c>
    </row>
    <row r="766">
      <c r="A766" s="10">
        <v>43134.0</v>
      </c>
      <c r="B766" s="11">
        <v>1930.0</v>
      </c>
      <c r="C766" s="12">
        <v>0.6104</v>
      </c>
      <c r="D766" s="2">
        <v>0.0011805555555555556</v>
      </c>
      <c r="E766" s="12">
        <v>1.11</v>
      </c>
      <c r="F766" s="12">
        <v>3.28</v>
      </c>
      <c r="G766" s="11">
        <v>7012.0</v>
      </c>
      <c r="H766" s="11">
        <v>2138.0</v>
      </c>
    </row>
    <row r="767">
      <c r="A767" s="10">
        <v>43135.0</v>
      </c>
      <c r="B767" s="11">
        <v>2097.0</v>
      </c>
      <c r="C767" s="12">
        <v>0.5277</v>
      </c>
      <c r="D767" s="2">
        <v>9.606481481481482E-4</v>
      </c>
      <c r="E767" s="12">
        <v>1.07</v>
      </c>
      <c r="F767" s="12">
        <v>3.63</v>
      </c>
      <c r="G767" s="11">
        <v>8123.0</v>
      </c>
      <c r="H767" s="11">
        <v>2236.0</v>
      </c>
    </row>
    <row r="768">
      <c r="A768" s="10">
        <v>43136.0</v>
      </c>
      <c r="B768" s="11">
        <v>2902.0</v>
      </c>
      <c r="C768" s="12">
        <v>0.5113</v>
      </c>
      <c r="D768" s="2">
        <v>0.0012847222222222223</v>
      </c>
      <c r="E768" s="12">
        <v>1.07</v>
      </c>
      <c r="F768" s="12">
        <v>3.86</v>
      </c>
      <c r="G768" s="11">
        <v>11955.0</v>
      </c>
      <c r="H768" s="11">
        <v>3096.0</v>
      </c>
    </row>
    <row r="769">
      <c r="A769" s="10">
        <v>43137.0</v>
      </c>
      <c r="B769" s="11">
        <v>2666.0</v>
      </c>
      <c r="C769" s="12">
        <v>0.4027</v>
      </c>
      <c r="D769" s="2">
        <v>0.0015393518518518519</v>
      </c>
      <c r="E769" s="12">
        <v>1.15</v>
      </c>
      <c r="F769" s="12">
        <v>4.29</v>
      </c>
      <c r="G769" s="11">
        <v>13163.0</v>
      </c>
      <c r="H769" s="11">
        <v>3069.0</v>
      </c>
    </row>
    <row r="770">
      <c r="A770" s="10">
        <v>43138.0</v>
      </c>
      <c r="B770" s="11">
        <v>2749.0</v>
      </c>
      <c r="C770" s="12">
        <v>0.4865</v>
      </c>
      <c r="D770" s="2">
        <v>0.0014583333333333334</v>
      </c>
      <c r="E770" s="12">
        <v>1.12</v>
      </c>
      <c r="F770" s="12">
        <v>4.03</v>
      </c>
      <c r="G770" s="11">
        <v>12427.0</v>
      </c>
      <c r="H770" s="11">
        <v>3083.0</v>
      </c>
    </row>
    <row r="771">
      <c r="A771" s="10">
        <v>43139.0</v>
      </c>
      <c r="B771" s="11">
        <v>2791.0</v>
      </c>
      <c r="C771" s="12">
        <v>0.5337</v>
      </c>
      <c r="D771" s="2">
        <v>0.0015393518518518519</v>
      </c>
      <c r="E771" s="12">
        <v>1.1</v>
      </c>
      <c r="F771" s="12">
        <v>3.8</v>
      </c>
      <c r="G771" s="11">
        <v>11664.0</v>
      </c>
      <c r="H771" s="11">
        <v>3069.0</v>
      </c>
    </row>
    <row r="772">
      <c r="A772" s="10">
        <v>43140.0</v>
      </c>
      <c r="B772" s="11">
        <v>2694.0</v>
      </c>
      <c r="C772" s="12">
        <v>0.4933</v>
      </c>
      <c r="D772" s="2">
        <v>0.0015162037037037036</v>
      </c>
      <c r="E772" s="12">
        <v>1.13</v>
      </c>
      <c r="F772" s="12">
        <v>3.29</v>
      </c>
      <c r="G772" s="11">
        <v>9997.0</v>
      </c>
      <c r="H772" s="11">
        <v>3041.0</v>
      </c>
    </row>
    <row r="773">
      <c r="A773" s="10">
        <v>43141.0</v>
      </c>
      <c r="B773" s="11">
        <v>2347.0</v>
      </c>
      <c r="C773" s="12">
        <v>0.461</v>
      </c>
      <c r="D773" s="2">
        <v>8.912037037037037E-4</v>
      </c>
      <c r="E773" s="12">
        <v>1.06</v>
      </c>
      <c r="F773" s="12">
        <v>2.86</v>
      </c>
      <c r="G773" s="11">
        <v>7137.0</v>
      </c>
      <c r="H773" s="11">
        <v>2499.0</v>
      </c>
    </row>
    <row r="774">
      <c r="A774" s="10">
        <v>43142.0</v>
      </c>
      <c r="B774" s="11">
        <v>2610.0</v>
      </c>
      <c r="C774" s="12">
        <v>0.4199</v>
      </c>
      <c r="D774" s="2">
        <v>0.002025462962962963</v>
      </c>
      <c r="E774" s="12">
        <v>1.06</v>
      </c>
      <c r="F774" s="12">
        <v>3.95</v>
      </c>
      <c r="G774" s="11">
        <v>10969.0</v>
      </c>
      <c r="H774" s="11">
        <v>2777.0</v>
      </c>
    </row>
    <row r="775">
      <c r="A775" s="10">
        <v>43143.0</v>
      </c>
      <c r="B775" s="11">
        <v>3471.0</v>
      </c>
      <c r="C775" s="12">
        <v>0.4258</v>
      </c>
      <c r="D775" s="2">
        <v>0.0014814814814814814</v>
      </c>
      <c r="E775" s="12">
        <v>1.05</v>
      </c>
      <c r="F775" s="12">
        <v>3.91</v>
      </c>
      <c r="G775" s="11">
        <v>14274.0</v>
      </c>
      <c r="H775" s="11">
        <v>3652.0</v>
      </c>
    </row>
    <row r="776">
      <c r="A776" s="10">
        <v>43144.0</v>
      </c>
      <c r="B776" s="11">
        <v>3208.0</v>
      </c>
      <c r="C776" s="12">
        <v>0.3945</v>
      </c>
      <c r="D776" s="2">
        <v>0.001400462962962963</v>
      </c>
      <c r="E776" s="12">
        <v>1.09</v>
      </c>
      <c r="F776" s="12">
        <v>3.69</v>
      </c>
      <c r="G776" s="11">
        <v>12872.0</v>
      </c>
      <c r="H776" s="11">
        <v>3485.0</v>
      </c>
    </row>
    <row r="777">
      <c r="A777" s="10">
        <v>43145.0</v>
      </c>
      <c r="B777" s="11">
        <v>3235.0</v>
      </c>
      <c r="C777" s="12">
        <v>0.4876</v>
      </c>
      <c r="D777" s="2">
        <v>0.0014236111111111112</v>
      </c>
      <c r="E777" s="12">
        <v>1.05</v>
      </c>
      <c r="F777" s="12">
        <v>3.09</v>
      </c>
      <c r="G777" s="11">
        <v>10470.0</v>
      </c>
      <c r="H777" s="11">
        <v>3388.0</v>
      </c>
    </row>
    <row r="778">
      <c r="A778" s="10">
        <v>43146.0</v>
      </c>
      <c r="B778" s="11">
        <v>2874.0</v>
      </c>
      <c r="C778" s="12">
        <v>0.5</v>
      </c>
      <c r="D778" s="2">
        <v>0.001736111111111111</v>
      </c>
      <c r="E778" s="12">
        <v>1.1</v>
      </c>
      <c r="F778" s="12">
        <v>3.71</v>
      </c>
      <c r="G778" s="11">
        <v>11747.0</v>
      </c>
      <c r="H778" s="11">
        <v>3166.0</v>
      </c>
    </row>
    <row r="779">
      <c r="A779" s="10">
        <v>43147.0</v>
      </c>
      <c r="B779" s="11">
        <v>2610.0</v>
      </c>
      <c r="C779" s="12">
        <v>0.5122</v>
      </c>
      <c r="D779" s="2">
        <v>0.0014351851851851852</v>
      </c>
      <c r="E779" s="12">
        <v>1.08</v>
      </c>
      <c r="F779" s="12">
        <v>3.29</v>
      </c>
      <c r="G779" s="11">
        <v>9262.0</v>
      </c>
      <c r="H779" s="11">
        <v>2819.0</v>
      </c>
    </row>
    <row r="780">
      <c r="A780" s="10">
        <v>43148.0</v>
      </c>
      <c r="B780" s="11">
        <v>2236.0</v>
      </c>
      <c r="C780" s="12">
        <v>0.5116</v>
      </c>
      <c r="D780" s="2">
        <v>8.101851851851852E-4</v>
      </c>
      <c r="E780" s="12">
        <v>1.08</v>
      </c>
      <c r="F780" s="12">
        <v>2.72</v>
      </c>
      <c r="G780" s="11">
        <v>6582.0</v>
      </c>
      <c r="H780" s="11">
        <v>2416.0</v>
      </c>
    </row>
    <row r="781">
      <c r="A781" s="10">
        <v>43149.0</v>
      </c>
      <c r="B781" s="11">
        <v>2458.0</v>
      </c>
      <c r="C781" s="12">
        <v>0.5078</v>
      </c>
      <c r="D781" s="2">
        <v>0.0011689814814814816</v>
      </c>
      <c r="E781" s="12">
        <v>1.09</v>
      </c>
      <c r="F781" s="12">
        <v>2.88</v>
      </c>
      <c r="G781" s="11">
        <v>7720.0</v>
      </c>
      <c r="H781" s="11">
        <v>2680.0</v>
      </c>
    </row>
    <row r="782">
      <c r="A782" s="10">
        <v>43150.0</v>
      </c>
      <c r="B782" s="11">
        <v>2583.0</v>
      </c>
      <c r="C782" s="12">
        <v>0.4736</v>
      </c>
      <c r="D782" s="2">
        <v>0.0015277777777777779</v>
      </c>
      <c r="E782" s="12">
        <v>1.11</v>
      </c>
      <c r="F782" s="12">
        <v>3.64</v>
      </c>
      <c r="G782" s="11">
        <v>10470.0</v>
      </c>
      <c r="H782" s="11">
        <v>2874.0</v>
      </c>
    </row>
    <row r="783">
      <c r="A783" s="10">
        <v>43151.0</v>
      </c>
      <c r="B783" s="11">
        <v>3305.0</v>
      </c>
      <c r="C783" s="12">
        <v>0.4656</v>
      </c>
      <c r="D783" s="2">
        <v>0.0010069444444444444</v>
      </c>
      <c r="E783" s="12">
        <v>1.1</v>
      </c>
      <c r="F783" s="12">
        <v>3.71</v>
      </c>
      <c r="G783" s="11">
        <v>13510.0</v>
      </c>
      <c r="H783" s="11">
        <v>3638.0</v>
      </c>
    </row>
    <row r="784">
      <c r="A784" s="10">
        <v>43152.0</v>
      </c>
      <c r="B784" s="11">
        <v>3263.0</v>
      </c>
      <c r="C784" s="12">
        <v>0.4782</v>
      </c>
      <c r="D784" s="2">
        <v>0.0015162037037037036</v>
      </c>
      <c r="E784" s="12">
        <v>1.08</v>
      </c>
      <c r="F784" s="12">
        <v>4.29</v>
      </c>
      <c r="G784" s="11">
        <v>15066.0</v>
      </c>
      <c r="H784" s="11">
        <v>3513.0</v>
      </c>
    </row>
    <row r="785">
      <c r="A785" s="10">
        <v>43153.0</v>
      </c>
      <c r="B785" s="11">
        <v>3277.0</v>
      </c>
      <c r="C785" s="12">
        <v>0.4924</v>
      </c>
      <c r="D785" s="2">
        <v>0.0015393518518518519</v>
      </c>
      <c r="E785" s="12">
        <v>1.12</v>
      </c>
      <c r="F785" s="12">
        <v>3.83</v>
      </c>
      <c r="G785" s="11">
        <v>14024.0</v>
      </c>
      <c r="H785" s="11">
        <v>3666.0</v>
      </c>
    </row>
    <row r="786">
      <c r="A786" s="10">
        <v>43154.0</v>
      </c>
      <c r="B786" s="11">
        <v>2680.0</v>
      </c>
      <c r="C786" s="12">
        <v>0.4389</v>
      </c>
      <c r="D786" s="2">
        <v>0.001412037037037037</v>
      </c>
      <c r="E786" s="12">
        <v>1.15</v>
      </c>
      <c r="F786" s="12">
        <v>4.24</v>
      </c>
      <c r="G786" s="11">
        <v>13024.0</v>
      </c>
      <c r="H786" s="11">
        <v>3069.0</v>
      </c>
    </row>
    <row r="787">
      <c r="A787" s="10">
        <v>43155.0</v>
      </c>
      <c r="B787" s="11">
        <v>2166.0</v>
      </c>
      <c r="C787" s="12">
        <v>0.5302</v>
      </c>
      <c r="D787" s="2">
        <v>0.001388888888888889</v>
      </c>
      <c r="E787" s="12">
        <v>1.06</v>
      </c>
      <c r="F787" s="12">
        <v>3.15</v>
      </c>
      <c r="G787" s="11">
        <v>7262.0</v>
      </c>
      <c r="H787" s="11">
        <v>2305.0</v>
      </c>
    </row>
    <row r="788">
      <c r="A788" s="10">
        <v>43156.0</v>
      </c>
      <c r="B788" s="11">
        <v>2263.0</v>
      </c>
      <c r="C788" s="12">
        <v>0.5562</v>
      </c>
      <c r="D788" s="2">
        <v>9.837962962962962E-4</v>
      </c>
      <c r="E788" s="12">
        <v>1.09</v>
      </c>
      <c r="F788" s="12">
        <v>3.14</v>
      </c>
      <c r="G788" s="11">
        <v>7762.0</v>
      </c>
      <c r="H788" s="11">
        <v>2472.0</v>
      </c>
    </row>
    <row r="789">
      <c r="A789" s="10">
        <v>43157.0</v>
      </c>
      <c r="B789" s="11">
        <v>3805.0</v>
      </c>
      <c r="C789" s="12">
        <v>0.4033</v>
      </c>
      <c r="D789" s="2">
        <v>0.0011342592592592593</v>
      </c>
      <c r="E789" s="12">
        <v>1.09</v>
      </c>
      <c r="F789" s="12">
        <v>3.53</v>
      </c>
      <c r="G789" s="11">
        <v>14691.0</v>
      </c>
      <c r="H789" s="11">
        <v>4166.0</v>
      </c>
    </row>
    <row r="790">
      <c r="A790" s="10">
        <v>43158.0</v>
      </c>
      <c r="B790" s="11">
        <v>3388.0</v>
      </c>
      <c r="C790" s="12">
        <v>0.4707</v>
      </c>
      <c r="D790" s="2">
        <v>0.0013078703703703703</v>
      </c>
      <c r="E790" s="12">
        <v>1.05</v>
      </c>
      <c r="F790" s="12">
        <v>3.7</v>
      </c>
      <c r="G790" s="11">
        <v>13191.0</v>
      </c>
      <c r="H790" s="11">
        <v>3569.0</v>
      </c>
    </row>
    <row r="791">
      <c r="A791" s="10">
        <v>43159.0</v>
      </c>
      <c r="B791" s="11">
        <v>2902.0</v>
      </c>
      <c r="C791" s="12">
        <v>0.4937</v>
      </c>
      <c r="D791" s="2">
        <v>0.0011342592592592593</v>
      </c>
      <c r="E791" s="12">
        <v>1.11</v>
      </c>
      <c r="F791" s="12">
        <v>3.75</v>
      </c>
      <c r="G791" s="11">
        <v>12122.0</v>
      </c>
      <c r="H791" s="11">
        <v>3235.0</v>
      </c>
    </row>
    <row r="792">
      <c r="A792" s="10">
        <v>43160.0</v>
      </c>
      <c r="B792" s="11">
        <v>2916.0</v>
      </c>
      <c r="C792" s="12">
        <v>0.5343</v>
      </c>
      <c r="D792" s="2">
        <v>9.143518518518518E-4</v>
      </c>
      <c r="E792" s="12">
        <v>1.11</v>
      </c>
      <c r="F792" s="12">
        <v>3.28</v>
      </c>
      <c r="G792" s="11">
        <v>10664.0</v>
      </c>
      <c r="H792" s="11">
        <v>3249.0</v>
      </c>
    </row>
    <row r="793">
      <c r="A793" s="10">
        <v>43161.0</v>
      </c>
      <c r="B793" s="11">
        <v>2819.0</v>
      </c>
      <c r="C793" s="12">
        <v>0.4719</v>
      </c>
      <c r="D793" s="2">
        <v>0.001574074074074074</v>
      </c>
      <c r="E793" s="12">
        <v>1.05</v>
      </c>
      <c r="F793" s="12">
        <v>4.11</v>
      </c>
      <c r="G793" s="11">
        <v>12219.0</v>
      </c>
      <c r="H793" s="11">
        <v>2971.0</v>
      </c>
    </row>
    <row r="794">
      <c r="A794" s="10">
        <v>43162.0</v>
      </c>
      <c r="B794" s="11">
        <v>2263.0</v>
      </c>
      <c r="C794" s="12">
        <v>0.5029</v>
      </c>
      <c r="D794" s="2">
        <v>0.0017013888888888888</v>
      </c>
      <c r="E794" s="12">
        <v>1.06</v>
      </c>
      <c r="F794" s="12">
        <v>4.14</v>
      </c>
      <c r="G794" s="11">
        <v>9942.0</v>
      </c>
      <c r="H794" s="11">
        <v>2402.0</v>
      </c>
    </row>
    <row r="795">
      <c r="A795" s="10">
        <v>43163.0</v>
      </c>
      <c r="B795" s="11">
        <v>2208.0</v>
      </c>
      <c r="C795" s="12">
        <v>0.5113</v>
      </c>
      <c r="D795" s="2">
        <v>0.0013078703703703703</v>
      </c>
      <c r="E795" s="12">
        <v>1.12</v>
      </c>
      <c r="F795" s="12">
        <v>3.53</v>
      </c>
      <c r="G795" s="11">
        <v>8720.0</v>
      </c>
      <c r="H795" s="11">
        <v>2472.0</v>
      </c>
    </row>
    <row r="796">
      <c r="A796" s="10">
        <v>43164.0</v>
      </c>
      <c r="B796" s="11">
        <v>2944.0</v>
      </c>
      <c r="C796" s="12">
        <v>0.4643</v>
      </c>
      <c r="D796" s="2">
        <v>0.0015393518518518519</v>
      </c>
      <c r="E796" s="12">
        <v>1.13</v>
      </c>
      <c r="F796" s="12">
        <v>4.45</v>
      </c>
      <c r="G796" s="11">
        <v>14760.0</v>
      </c>
      <c r="H796" s="11">
        <v>3319.0</v>
      </c>
    </row>
    <row r="797">
      <c r="A797" s="10">
        <v>43165.0</v>
      </c>
      <c r="B797" s="11">
        <v>3499.0</v>
      </c>
      <c r="C797" s="12">
        <v>0.482</v>
      </c>
      <c r="D797" s="2">
        <v>0.0012037037037037038</v>
      </c>
      <c r="E797" s="12">
        <v>1.1</v>
      </c>
      <c r="F797" s="12">
        <v>3.51</v>
      </c>
      <c r="G797" s="11">
        <v>13455.0</v>
      </c>
      <c r="H797" s="11">
        <v>3832.0</v>
      </c>
    </row>
    <row r="798">
      <c r="A798" s="10">
        <v>43166.0</v>
      </c>
      <c r="B798" s="11">
        <v>2999.0</v>
      </c>
      <c r="C798" s="12">
        <v>0.4558</v>
      </c>
      <c r="D798" s="2">
        <v>0.001400462962962963</v>
      </c>
      <c r="E798" s="12">
        <v>1.1</v>
      </c>
      <c r="F798" s="12">
        <v>4.3</v>
      </c>
      <c r="G798" s="11">
        <v>14149.0</v>
      </c>
      <c r="H798" s="11">
        <v>3291.0</v>
      </c>
    </row>
    <row r="799">
      <c r="A799" s="10">
        <v>43167.0</v>
      </c>
      <c r="B799" s="11">
        <v>2902.0</v>
      </c>
      <c r="C799" s="12">
        <v>0.4933</v>
      </c>
      <c r="D799" s="2">
        <v>0.0011574074074074073</v>
      </c>
      <c r="E799" s="12">
        <v>1.08</v>
      </c>
      <c r="F799" s="12">
        <v>3.76</v>
      </c>
      <c r="G799" s="11">
        <v>11761.0</v>
      </c>
      <c r="H799" s="11">
        <v>3124.0</v>
      </c>
    </row>
    <row r="800">
      <c r="A800" s="10">
        <v>43168.0</v>
      </c>
      <c r="B800" s="11">
        <v>2624.0</v>
      </c>
      <c r="C800" s="12">
        <v>0.4902</v>
      </c>
      <c r="D800" s="2">
        <v>0.001412037037037037</v>
      </c>
      <c r="E800" s="12">
        <v>1.07</v>
      </c>
      <c r="F800" s="12">
        <v>3.76</v>
      </c>
      <c r="G800" s="11">
        <v>10553.0</v>
      </c>
      <c r="H800" s="11">
        <v>2805.0</v>
      </c>
    </row>
    <row r="801">
      <c r="A801" s="10">
        <v>43169.0</v>
      </c>
      <c r="B801" s="11">
        <v>2152.0</v>
      </c>
      <c r="C801" s="12">
        <v>0.4912</v>
      </c>
      <c r="D801" s="2">
        <v>0.0013773148148148147</v>
      </c>
      <c r="E801" s="12">
        <v>1.08</v>
      </c>
      <c r="F801" s="12">
        <v>4.18</v>
      </c>
      <c r="G801" s="11">
        <v>9692.0</v>
      </c>
      <c r="H801" s="11">
        <v>2319.0</v>
      </c>
    </row>
    <row r="802">
      <c r="A802" s="10">
        <v>43170.0</v>
      </c>
      <c r="B802" s="11">
        <v>2097.0</v>
      </c>
      <c r="C802" s="12">
        <v>0.5089</v>
      </c>
      <c r="D802" s="2">
        <v>0.0013773148148148147</v>
      </c>
      <c r="E802" s="12">
        <v>1.09</v>
      </c>
      <c r="F802" s="12">
        <v>3.47</v>
      </c>
      <c r="G802" s="11">
        <v>7942.0</v>
      </c>
      <c r="H802" s="11">
        <v>2291.0</v>
      </c>
    </row>
    <row r="803">
      <c r="A803" s="10">
        <v>43171.0</v>
      </c>
      <c r="B803" s="11">
        <v>3277.0</v>
      </c>
      <c r="C803" s="12">
        <v>0.4773</v>
      </c>
      <c r="D803" s="2">
        <v>0.0015277777777777779</v>
      </c>
      <c r="E803" s="12">
        <v>1.13</v>
      </c>
      <c r="F803" s="12">
        <v>3.66</v>
      </c>
      <c r="G803" s="11">
        <v>13524.0</v>
      </c>
      <c r="H803" s="11">
        <v>3694.0</v>
      </c>
    </row>
    <row r="804">
      <c r="A804" s="10">
        <v>43172.0</v>
      </c>
      <c r="B804" s="11">
        <v>3208.0</v>
      </c>
      <c r="C804" s="12">
        <v>0.459</v>
      </c>
      <c r="D804" s="2">
        <v>0.0015625</v>
      </c>
      <c r="E804" s="12">
        <v>1.11</v>
      </c>
      <c r="F804" s="12">
        <v>3.7</v>
      </c>
      <c r="G804" s="11">
        <v>13191.0</v>
      </c>
      <c r="H804" s="11">
        <v>3569.0</v>
      </c>
    </row>
    <row r="805">
      <c r="A805" s="10">
        <v>43173.0</v>
      </c>
      <c r="B805" s="11">
        <v>3221.0</v>
      </c>
      <c r="C805" s="12">
        <v>0.5039</v>
      </c>
      <c r="D805" s="2">
        <v>9.490740740740741E-4</v>
      </c>
      <c r="E805" s="12">
        <v>1.09</v>
      </c>
      <c r="F805" s="12">
        <v>3.45</v>
      </c>
      <c r="G805" s="11">
        <v>12066.0</v>
      </c>
      <c r="H805" s="11">
        <v>3499.0</v>
      </c>
    </row>
    <row r="806">
      <c r="A806" s="10">
        <v>43174.0</v>
      </c>
      <c r="B806" s="11">
        <v>3652.0</v>
      </c>
      <c r="C806" s="12">
        <v>0.4028</v>
      </c>
      <c r="D806" s="2">
        <v>0.0017592592592592592</v>
      </c>
      <c r="E806" s="12">
        <v>1.08</v>
      </c>
      <c r="F806" s="12">
        <v>4.26</v>
      </c>
      <c r="G806" s="11">
        <v>16760.0</v>
      </c>
      <c r="H806" s="11">
        <v>3930.0</v>
      </c>
    </row>
    <row r="807">
      <c r="A807" s="10">
        <v>43175.0</v>
      </c>
      <c r="B807" s="11">
        <v>2999.0</v>
      </c>
      <c r="C807" s="12">
        <v>0.4085</v>
      </c>
      <c r="D807" s="2">
        <v>0.0016666666666666668</v>
      </c>
      <c r="E807" s="12">
        <v>1.09</v>
      </c>
      <c r="F807" s="12">
        <v>4.19</v>
      </c>
      <c r="G807" s="11">
        <v>13677.0</v>
      </c>
      <c r="H807" s="11">
        <v>3263.0</v>
      </c>
    </row>
    <row r="808">
      <c r="A808" s="10">
        <v>43176.0</v>
      </c>
      <c r="B808" s="11">
        <v>2097.0</v>
      </c>
      <c r="C808" s="12">
        <v>0.4698</v>
      </c>
      <c r="D808" s="2">
        <v>0.0014699074074074074</v>
      </c>
      <c r="E808" s="12">
        <v>1.1</v>
      </c>
      <c r="F808" s="12">
        <v>3.83</v>
      </c>
      <c r="G808" s="11">
        <v>8817.0</v>
      </c>
      <c r="H808" s="11">
        <v>2305.0</v>
      </c>
    </row>
    <row r="809">
      <c r="A809" s="10">
        <v>43177.0</v>
      </c>
      <c r="B809" s="11">
        <v>2277.0</v>
      </c>
      <c r="C809" s="12">
        <v>0.5397</v>
      </c>
      <c r="D809" s="2">
        <v>0.0016087962962962963</v>
      </c>
      <c r="E809" s="12">
        <v>1.07</v>
      </c>
      <c r="F809" s="12">
        <v>4.06</v>
      </c>
      <c r="G809" s="11">
        <v>9928.0</v>
      </c>
      <c r="H809" s="11">
        <v>2444.0</v>
      </c>
    </row>
    <row r="810">
      <c r="A810" s="10">
        <v>43178.0</v>
      </c>
      <c r="B810" s="11">
        <v>3541.0</v>
      </c>
      <c r="C810" s="12">
        <v>0.4626</v>
      </c>
      <c r="D810" s="2">
        <v>0.001238425925925926</v>
      </c>
      <c r="E810" s="12">
        <v>1.1</v>
      </c>
      <c r="F810" s="12">
        <v>4.28</v>
      </c>
      <c r="G810" s="11">
        <v>16718.0</v>
      </c>
      <c r="H810" s="11">
        <v>3902.0</v>
      </c>
    </row>
    <row r="811">
      <c r="A811" s="10">
        <v>43179.0</v>
      </c>
      <c r="B811" s="11">
        <v>3110.0</v>
      </c>
      <c r="C811" s="12">
        <v>0.3945</v>
      </c>
      <c r="D811" s="2">
        <v>0.0016666666666666668</v>
      </c>
      <c r="E811" s="12">
        <v>1.12</v>
      </c>
      <c r="F811" s="12">
        <v>4.45</v>
      </c>
      <c r="G811" s="11">
        <v>15524.0</v>
      </c>
      <c r="H811" s="11">
        <v>3485.0</v>
      </c>
    </row>
    <row r="812">
      <c r="A812" s="10">
        <v>43180.0</v>
      </c>
      <c r="B812" s="11">
        <v>4318.0</v>
      </c>
      <c r="C812" s="12">
        <v>0.4502</v>
      </c>
      <c r="D812" s="2">
        <v>0.0017476851851851852</v>
      </c>
      <c r="E812" s="12">
        <v>1.1</v>
      </c>
      <c r="F812" s="12">
        <v>4.01</v>
      </c>
      <c r="G812" s="11">
        <v>19065.0</v>
      </c>
      <c r="H812" s="11">
        <v>4749.0</v>
      </c>
    </row>
    <row r="813">
      <c r="A813" s="10">
        <v>43181.0</v>
      </c>
      <c r="B813" s="11">
        <v>3513.0</v>
      </c>
      <c r="C813" s="12">
        <v>0.4787</v>
      </c>
      <c r="D813" s="2">
        <v>0.0019328703703703704</v>
      </c>
      <c r="E813" s="12">
        <v>1.11</v>
      </c>
      <c r="F813" s="12">
        <v>3.71</v>
      </c>
      <c r="G813" s="11">
        <v>14427.0</v>
      </c>
      <c r="H813" s="11">
        <v>3888.0</v>
      </c>
    </row>
    <row r="814">
      <c r="A814" s="10">
        <v>43182.0</v>
      </c>
      <c r="B814" s="11">
        <v>3055.0</v>
      </c>
      <c r="C814" s="12">
        <v>0.437</v>
      </c>
      <c r="D814" s="2">
        <v>0.0016550925925925926</v>
      </c>
      <c r="E814" s="12">
        <v>1.05</v>
      </c>
      <c r="F814" s="12">
        <v>4.01</v>
      </c>
      <c r="G814" s="11">
        <v>12858.0</v>
      </c>
      <c r="H814" s="11">
        <v>3208.0</v>
      </c>
    </row>
    <row r="815">
      <c r="A815" s="10">
        <v>43183.0</v>
      </c>
      <c r="B815" s="11">
        <v>2291.0</v>
      </c>
      <c r="C815" s="12">
        <v>0.4457</v>
      </c>
      <c r="D815" s="2">
        <v>0.0016898148148148148</v>
      </c>
      <c r="E815" s="12">
        <v>1.06</v>
      </c>
      <c r="F815" s="12">
        <v>4.25</v>
      </c>
      <c r="G815" s="11">
        <v>10317.0</v>
      </c>
      <c r="H815" s="11">
        <v>2430.0</v>
      </c>
    </row>
    <row r="816">
      <c r="A816" s="10">
        <v>43184.0</v>
      </c>
      <c r="B816" s="11">
        <v>2124.0</v>
      </c>
      <c r="C816" s="12">
        <v>0.4489</v>
      </c>
      <c r="D816" s="2">
        <v>0.0014467592592592592</v>
      </c>
      <c r="E816" s="12">
        <v>1.09</v>
      </c>
      <c r="F816" s="12">
        <v>4.09</v>
      </c>
      <c r="G816" s="11">
        <v>9484.0</v>
      </c>
      <c r="H816" s="11">
        <v>2319.0</v>
      </c>
    </row>
    <row r="817">
      <c r="A817" s="10">
        <v>43185.0</v>
      </c>
      <c r="B817" s="11">
        <v>3152.0</v>
      </c>
      <c r="C817" s="12">
        <v>0.4124</v>
      </c>
      <c r="D817" s="2">
        <v>0.0013425925925925925</v>
      </c>
      <c r="E817" s="12">
        <v>1.13</v>
      </c>
      <c r="F817" s="12">
        <v>3.67</v>
      </c>
      <c r="G817" s="11">
        <v>13108.0</v>
      </c>
      <c r="H817" s="11">
        <v>3569.0</v>
      </c>
    </row>
    <row r="818">
      <c r="A818" s="10">
        <v>43186.0</v>
      </c>
      <c r="B818" s="11">
        <v>3888.0</v>
      </c>
      <c r="C818" s="12">
        <v>0.4014</v>
      </c>
      <c r="D818" s="2">
        <v>0.0018287037037037037</v>
      </c>
      <c r="E818" s="12">
        <v>1.12</v>
      </c>
      <c r="F818" s="12">
        <v>4.95</v>
      </c>
      <c r="G818" s="11">
        <v>21592.0</v>
      </c>
      <c r="H818" s="11">
        <v>4360.0</v>
      </c>
    </row>
    <row r="819">
      <c r="A819" s="10">
        <v>43187.0</v>
      </c>
      <c r="B819" s="11">
        <v>3596.0</v>
      </c>
      <c r="C819" s="12">
        <v>0.4788</v>
      </c>
      <c r="D819" s="2">
        <v>0.0016898148148148148</v>
      </c>
      <c r="E819" s="12">
        <v>1.1</v>
      </c>
      <c r="F819" s="12">
        <v>3.79</v>
      </c>
      <c r="G819" s="11">
        <v>14927.0</v>
      </c>
      <c r="H819" s="11">
        <v>3943.0</v>
      </c>
    </row>
    <row r="820">
      <c r="A820" s="10">
        <v>43188.0</v>
      </c>
      <c r="B820" s="11">
        <v>3221.0</v>
      </c>
      <c r="C820" s="12">
        <v>0.3601</v>
      </c>
      <c r="D820" s="2">
        <v>0.002025462962962963</v>
      </c>
      <c r="E820" s="12">
        <v>1.13</v>
      </c>
      <c r="F820" s="12">
        <v>4.54</v>
      </c>
      <c r="G820" s="11">
        <v>16440.0</v>
      </c>
      <c r="H820" s="11">
        <v>3624.0</v>
      </c>
    </row>
    <row r="821">
      <c r="A821" s="10">
        <v>43189.0</v>
      </c>
      <c r="B821" s="11">
        <v>2527.0</v>
      </c>
      <c r="C821" s="12">
        <v>0.3666</v>
      </c>
      <c r="D821" s="2">
        <v>0.0019560185185185184</v>
      </c>
      <c r="E821" s="12">
        <v>1.15</v>
      </c>
      <c r="F821" s="12">
        <v>4.67</v>
      </c>
      <c r="G821" s="11">
        <v>13622.0</v>
      </c>
      <c r="H821" s="11">
        <v>2916.0</v>
      </c>
    </row>
    <row r="822">
      <c r="A822" s="10">
        <v>43190.0</v>
      </c>
      <c r="B822" s="11">
        <v>1805.0</v>
      </c>
      <c r="C822" s="12">
        <v>0.4862</v>
      </c>
      <c r="D822" s="2">
        <v>0.0016087962962962963</v>
      </c>
      <c r="E822" s="12">
        <v>1.11</v>
      </c>
      <c r="F822" s="12">
        <v>3.68</v>
      </c>
      <c r="G822" s="11">
        <v>7359.0</v>
      </c>
      <c r="H822" s="11">
        <v>1999.0</v>
      </c>
    </row>
    <row r="823">
      <c r="A823" s="10">
        <v>43191.0</v>
      </c>
      <c r="B823" s="11">
        <v>2097.0</v>
      </c>
      <c r="C823" s="12">
        <v>0.4941</v>
      </c>
      <c r="D823" s="2">
        <v>0.0014814814814814814</v>
      </c>
      <c r="E823" s="12">
        <v>1.1</v>
      </c>
      <c r="F823" s="12">
        <v>3.46</v>
      </c>
      <c r="G823" s="11">
        <v>7984.0</v>
      </c>
      <c r="H823" s="11">
        <v>2305.0</v>
      </c>
    </row>
    <row r="824">
      <c r="A824" s="10">
        <v>43192.0</v>
      </c>
      <c r="B824" s="11">
        <v>3013.0</v>
      </c>
      <c r="C824" s="12">
        <v>0.4251</v>
      </c>
      <c r="D824" s="2">
        <v>0.0014351851851851852</v>
      </c>
      <c r="E824" s="12">
        <v>1.14</v>
      </c>
      <c r="F824" s="12">
        <v>3.92</v>
      </c>
      <c r="G824" s="11">
        <v>13455.0</v>
      </c>
      <c r="H824" s="11">
        <v>3430.0</v>
      </c>
    </row>
    <row r="825">
      <c r="A825" s="10">
        <v>43193.0</v>
      </c>
      <c r="B825" s="11">
        <v>3319.0</v>
      </c>
      <c r="C825" s="12">
        <v>0.4962</v>
      </c>
      <c r="D825" s="2">
        <v>0.0017824074074074075</v>
      </c>
      <c r="E825" s="12">
        <v>1.1</v>
      </c>
      <c r="F825" s="12">
        <v>4.16</v>
      </c>
      <c r="G825" s="11">
        <v>15121.0</v>
      </c>
      <c r="H825" s="11">
        <v>3638.0</v>
      </c>
    </row>
    <row r="826">
      <c r="A826" s="10">
        <v>43194.0</v>
      </c>
      <c r="B826" s="11">
        <v>3096.0</v>
      </c>
      <c r="C826" s="12">
        <v>0.4651</v>
      </c>
      <c r="D826" s="2">
        <v>0.001099537037037037</v>
      </c>
      <c r="E826" s="12">
        <v>1.16</v>
      </c>
      <c r="F826" s="12">
        <v>3.85</v>
      </c>
      <c r="G826" s="11">
        <v>13802.0</v>
      </c>
      <c r="H826" s="11">
        <v>3582.0</v>
      </c>
    </row>
    <row r="827">
      <c r="A827" s="10">
        <v>43195.0</v>
      </c>
      <c r="B827" s="11">
        <v>2874.0</v>
      </c>
      <c r="C827" s="12">
        <v>0.393</v>
      </c>
      <c r="D827" s="2">
        <v>0.0017592592592592592</v>
      </c>
      <c r="E827" s="12">
        <v>1.13</v>
      </c>
      <c r="F827" s="12">
        <v>4.15</v>
      </c>
      <c r="G827" s="11">
        <v>13497.0</v>
      </c>
      <c r="H827" s="11">
        <v>3249.0</v>
      </c>
    </row>
    <row r="828">
      <c r="A828" s="10">
        <v>43196.0</v>
      </c>
      <c r="B828" s="11">
        <v>2624.0</v>
      </c>
      <c r="C828" s="12">
        <v>0.3983</v>
      </c>
      <c r="D828" s="2">
        <v>0.001585648148148148</v>
      </c>
      <c r="E828" s="12">
        <v>1.09</v>
      </c>
      <c r="F828" s="12">
        <v>5.14</v>
      </c>
      <c r="G828" s="11">
        <v>14691.0</v>
      </c>
      <c r="H828" s="11">
        <v>2860.0</v>
      </c>
    </row>
    <row r="829">
      <c r="A829" s="10">
        <v>43197.0</v>
      </c>
      <c r="B829" s="11">
        <v>1999.0</v>
      </c>
      <c r="C829" s="12">
        <v>0.4243</v>
      </c>
      <c r="D829" s="2">
        <v>0.001863425925925926</v>
      </c>
      <c r="E829" s="12">
        <v>1.15</v>
      </c>
      <c r="F829" s="12">
        <v>4.54</v>
      </c>
      <c r="G829" s="11">
        <v>10400.0</v>
      </c>
      <c r="H829" s="11">
        <v>2291.0</v>
      </c>
    </row>
    <row r="830">
      <c r="A830" s="10">
        <v>43198.0</v>
      </c>
      <c r="B830" s="11">
        <v>2291.0</v>
      </c>
      <c r="C830" s="12">
        <v>0.5133</v>
      </c>
      <c r="D830" s="2">
        <v>0.0011226851851851851</v>
      </c>
      <c r="E830" s="12">
        <v>1.13</v>
      </c>
      <c r="F830" s="12">
        <v>3.4</v>
      </c>
      <c r="G830" s="11">
        <v>8831.0</v>
      </c>
      <c r="H830" s="11">
        <v>2597.0</v>
      </c>
    </row>
    <row r="831">
      <c r="A831" s="10">
        <v>43199.0</v>
      </c>
      <c r="B831" s="11">
        <v>3096.0</v>
      </c>
      <c r="C831" s="12">
        <v>0.4511</v>
      </c>
      <c r="D831" s="2">
        <v>0.0018981481481481482</v>
      </c>
      <c r="E831" s="12">
        <v>1.1</v>
      </c>
      <c r="F831" s="12">
        <v>4.37</v>
      </c>
      <c r="G831" s="11">
        <v>14913.0</v>
      </c>
      <c r="H831" s="11">
        <v>3416.0</v>
      </c>
    </row>
    <row r="832">
      <c r="A832" s="10">
        <v>43200.0</v>
      </c>
      <c r="B832" s="11">
        <v>3138.0</v>
      </c>
      <c r="C832" s="12">
        <v>0.38</v>
      </c>
      <c r="D832" s="2">
        <v>0.0017939814814814815</v>
      </c>
      <c r="E832" s="12">
        <v>1.14</v>
      </c>
      <c r="F832" s="12">
        <v>3.96</v>
      </c>
      <c r="G832" s="11">
        <v>14191.0</v>
      </c>
      <c r="H832" s="11">
        <v>3582.0</v>
      </c>
    </row>
    <row r="833">
      <c r="A833" s="10">
        <v>43201.0</v>
      </c>
      <c r="B833" s="11">
        <v>3110.0</v>
      </c>
      <c r="C833" s="12">
        <v>0.4245</v>
      </c>
      <c r="D833" s="2">
        <v>0.001875</v>
      </c>
      <c r="E833" s="12">
        <v>1.09</v>
      </c>
      <c r="F833" s="12">
        <v>4.44</v>
      </c>
      <c r="G833" s="11">
        <v>15107.0</v>
      </c>
      <c r="H833" s="11">
        <v>3402.0</v>
      </c>
    </row>
    <row r="834">
      <c r="A834" s="10">
        <v>43202.0</v>
      </c>
      <c r="B834" s="11">
        <v>3138.0</v>
      </c>
      <c r="C834" s="12">
        <v>0.4837</v>
      </c>
      <c r="D834" s="2">
        <v>0.0019212962962962964</v>
      </c>
      <c r="E834" s="12">
        <v>1.1</v>
      </c>
      <c r="F834" s="12">
        <v>3.76</v>
      </c>
      <c r="G834" s="11">
        <v>12941.0</v>
      </c>
      <c r="H834" s="11">
        <v>3444.0</v>
      </c>
    </row>
    <row r="835">
      <c r="A835" s="10">
        <v>43203.0</v>
      </c>
      <c r="B835" s="11">
        <v>2694.0</v>
      </c>
      <c r="C835" s="12">
        <v>0.4549</v>
      </c>
      <c r="D835" s="2">
        <v>0.001412037037037037</v>
      </c>
      <c r="E835" s="12">
        <v>1.09</v>
      </c>
      <c r="F835" s="12">
        <v>3.99</v>
      </c>
      <c r="G835" s="11">
        <v>11705.0</v>
      </c>
      <c r="H835" s="11">
        <v>2930.0</v>
      </c>
    </row>
    <row r="836">
      <c r="A836" s="10">
        <v>43204.0</v>
      </c>
      <c r="B836" s="11">
        <v>1833.0</v>
      </c>
      <c r="C836" s="12">
        <v>0.4081</v>
      </c>
      <c r="D836" s="2">
        <v>0.0019444444444444444</v>
      </c>
      <c r="E836" s="12">
        <v>1.11</v>
      </c>
      <c r="F836" s="12">
        <v>4.16</v>
      </c>
      <c r="G836" s="11">
        <v>8484.0</v>
      </c>
      <c r="H836" s="11">
        <v>2041.0</v>
      </c>
    </row>
    <row r="837">
      <c r="A837" s="10">
        <v>43205.0</v>
      </c>
      <c r="B837" s="11">
        <v>2027.0</v>
      </c>
      <c r="C837" s="12">
        <v>0.4878</v>
      </c>
      <c r="D837" s="2">
        <v>0.0015625</v>
      </c>
      <c r="E837" s="12">
        <v>1.11</v>
      </c>
      <c r="F837" s="12">
        <v>4.26</v>
      </c>
      <c r="G837" s="11">
        <v>9581.0</v>
      </c>
      <c r="H837" s="11">
        <v>2249.0</v>
      </c>
    </row>
    <row r="838">
      <c r="A838" s="10">
        <v>43206.0</v>
      </c>
      <c r="B838" s="11">
        <v>2985.0</v>
      </c>
      <c r="C838" s="12">
        <v>0.4286</v>
      </c>
      <c r="D838" s="2">
        <v>0.0016435185185185185</v>
      </c>
      <c r="E838" s="12">
        <v>1.14</v>
      </c>
      <c r="F838" s="12">
        <v>4.28</v>
      </c>
      <c r="G838" s="11">
        <v>14552.0</v>
      </c>
      <c r="H838" s="11">
        <v>3402.0</v>
      </c>
    </row>
    <row r="839">
      <c r="A839" s="10">
        <v>43207.0</v>
      </c>
      <c r="B839" s="11">
        <v>3194.0</v>
      </c>
      <c r="C839" s="12">
        <v>0.4843</v>
      </c>
      <c r="D839" s="2">
        <v>0.0016782407407407408</v>
      </c>
      <c r="E839" s="12">
        <v>1.1</v>
      </c>
      <c r="F839" s="12">
        <v>3.76</v>
      </c>
      <c r="G839" s="11">
        <v>13274.0</v>
      </c>
      <c r="H839" s="11">
        <v>3527.0</v>
      </c>
    </row>
    <row r="840">
      <c r="A840" s="10">
        <v>43208.0</v>
      </c>
      <c r="B840" s="11">
        <v>3110.0</v>
      </c>
      <c r="C840" s="12">
        <v>0.4167</v>
      </c>
      <c r="D840" s="2">
        <v>0.0015393518518518519</v>
      </c>
      <c r="E840" s="12">
        <v>1.13</v>
      </c>
      <c r="F840" s="12">
        <v>4.3</v>
      </c>
      <c r="G840" s="11">
        <v>15038.0</v>
      </c>
      <c r="H840" s="11">
        <v>3499.0</v>
      </c>
    </row>
    <row r="841">
      <c r="A841" s="10">
        <v>43209.0</v>
      </c>
      <c r="B841" s="11">
        <v>2985.0</v>
      </c>
      <c r="C841" s="12">
        <v>0.4506</v>
      </c>
      <c r="D841" s="2">
        <v>0.0015972222222222223</v>
      </c>
      <c r="E841" s="12">
        <v>1.13</v>
      </c>
      <c r="F841" s="12">
        <v>4.3</v>
      </c>
      <c r="G841" s="11">
        <v>14455.0</v>
      </c>
      <c r="H841" s="11">
        <v>3360.0</v>
      </c>
    </row>
    <row r="842">
      <c r="A842" s="10">
        <v>43210.0</v>
      </c>
      <c r="B842" s="11">
        <v>2569.0</v>
      </c>
      <c r="C842" s="12">
        <v>0.4506</v>
      </c>
      <c r="D842" s="2">
        <v>0.0014814814814814814</v>
      </c>
      <c r="E842" s="12">
        <v>1.09</v>
      </c>
      <c r="F842" s="12">
        <v>4.06</v>
      </c>
      <c r="G842" s="11">
        <v>11400.0</v>
      </c>
      <c r="H842" s="11">
        <v>2805.0</v>
      </c>
    </row>
    <row r="843">
      <c r="A843" s="10">
        <v>43211.0</v>
      </c>
      <c r="B843" s="11">
        <v>1916.0</v>
      </c>
      <c r="C843" s="12">
        <v>0.5134</v>
      </c>
      <c r="D843" s="2">
        <v>0.0014236111111111112</v>
      </c>
      <c r="E843" s="12">
        <v>1.07</v>
      </c>
      <c r="F843" s="12">
        <v>3.95</v>
      </c>
      <c r="G843" s="11">
        <v>8109.0</v>
      </c>
      <c r="H843" s="11">
        <v>2055.0</v>
      </c>
    </row>
    <row r="844">
      <c r="A844" s="10">
        <v>43212.0</v>
      </c>
      <c r="B844" s="11">
        <v>1999.0</v>
      </c>
      <c r="C844" s="12">
        <v>0.4881</v>
      </c>
      <c r="D844" s="2">
        <v>0.0019212962962962964</v>
      </c>
      <c r="E844" s="12">
        <v>1.15</v>
      </c>
      <c r="F844" s="12">
        <v>4.54</v>
      </c>
      <c r="G844" s="11">
        <v>10456.0</v>
      </c>
      <c r="H844" s="11">
        <v>2305.0</v>
      </c>
    </row>
    <row r="845">
      <c r="A845" s="10">
        <v>43213.0</v>
      </c>
      <c r="B845" s="11">
        <v>3041.0</v>
      </c>
      <c r="C845" s="12">
        <v>0.4241</v>
      </c>
      <c r="D845" s="2">
        <v>0.001875</v>
      </c>
      <c r="E845" s="12">
        <v>1.14</v>
      </c>
      <c r="F845" s="12">
        <v>4.92</v>
      </c>
      <c r="G845" s="11">
        <v>17079.0</v>
      </c>
      <c r="H845" s="11">
        <v>3471.0</v>
      </c>
    </row>
    <row r="846">
      <c r="A846" s="10">
        <v>43214.0</v>
      </c>
      <c r="B846" s="11">
        <v>2999.0</v>
      </c>
      <c r="C846" s="12">
        <v>0.4068</v>
      </c>
      <c r="D846" s="2">
        <v>0.0015509259259259259</v>
      </c>
      <c r="E846" s="12">
        <v>1.12</v>
      </c>
      <c r="F846" s="12">
        <v>4.9</v>
      </c>
      <c r="G846" s="11">
        <v>16385.0</v>
      </c>
      <c r="H846" s="11">
        <v>3346.0</v>
      </c>
    </row>
    <row r="847">
      <c r="A847" s="10">
        <v>43215.0</v>
      </c>
      <c r="B847" s="11">
        <v>3027.0</v>
      </c>
      <c r="C847" s="12">
        <v>0.4875</v>
      </c>
      <c r="D847" s="2">
        <v>0.0016782407407407408</v>
      </c>
      <c r="E847" s="12">
        <v>1.11</v>
      </c>
      <c r="F847" s="12">
        <v>4.09</v>
      </c>
      <c r="G847" s="11">
        <v>13733.0</v>
      </c>
      <c r="H847" s="11">
        <v>3360.0</v>
      </c>
    </row>
    <row r="848">
      <c r="A848" s="10">
        <v>43216.0</v>
      </c>
      <c r="B848" s="11">
        <v>3013.0</v>
      </c>
      <c r="C848" s="12">
        <v>0.4582</v>
      </c>
      <c r="D848" s="2">
        <v>0.0012731481481481483</v>
      </c>
      <c r="E848" s="12">
        <v>1.16</v>
      </c>
      <c r="F848" s="12">
        <v>3.75</v>
      </c>
      <c r="G848" s="11">
        <v>13080.0</v>
      </c>
      <c r="H848" s="11">
        <v>3485.0</v>
      </c>
    </row>
    <row r="849">
      <c r="A849" s="10">
        <v>43217.0</v>
      </c>
      <c r="B849" s="11">
        <v>2597.0</v>
      </c>
      <c r="C849" s="12">
        <v>0.4519</v>
      </c>
      <c r="D849" s="2">
        <v>0.0010532407407407407</v>
      </c>
      <c r="E849" s="12">
        <v>1.11</v>
      </c>
      <c r="F849" s="12">
        <v>3.49</v>
      </c>
      <c r="G849" s="11">
        <v>10067.0</v>
      </c>
      <c r="H849" s="11">
        <v>2888.0</v>
      </c>
    </row>
    <row r="850">
      <c r="A850" s="10">
        <v>43218.0</v>
      </c>
      <c r="B850" s="11">
        <v>1958.0</v>
      </c>
      <c r="C850" s="12">
        <v>0.4666</v>
      </c>
      <c r="D850" s="2">
        <v>0.0020833333333333333</v>
      </c>
      <c r="E850" s="12">
        <v>1.06</v>
      </c>
      <c r="F850" s="12">
        <v>4.46</v>
      </c>
      <c r="G850" s="11">
        <v>9289.0</v>
      </c>
      <c r="H850" s="11">
        <v>2083.0</v>
      </c>
    </row>
    <row r="851">
      <c r="A851" s="10">
        <v>43219.0</v>
      </c>
      <c r="B851" s="11">
        <v>1986.0</v>
      </c>
      <c r="C851" s="12">
        <v>0.5388</v>
      </c>
      <c r="D851" s="2">
        <v>0.0010763888888888889</v>
      </c>
      <c r="E851" s="12">
        <v>1.08</v>
      </c>
      <c r="F851" s="12">
        <v>3.33</v>
      </c>
      <c r="G851" s="11">
        <v>7123.0</v>
      </c>
      <c r="H851" s="11">
        <v>2138.0</v>
      </c>
    </row>
    <row r="852">
      <c r="A852" s="10">
        <v>43220.0</v>
      </c>
      <c r="B852" s="11">
        <v>2791.0</v>
      </c>
      <c r="C852" s="12">
        <v>0.3811</v>
      </c>
      <c r="D852" s="2">
        <v>0.0020486111111111113</v>
      </c>
      <c r="E852" s="12">
        <v>1.11</v>
      </c>
      <c r="F852" s="12">
        <v>4.48</v>
      </c>
      <c r="G852" s="11">
        <v>13885.0</v>
      </c>
      <c r="H852" s="11">
        <v>3096.0</v>
      </c>
    </row>
    <row r="853">
      <c r="A853" s="10">
        <v>43221.0</v>
      </c>
      <c r="B853" s="11">
        <v>2874.0</v>
      </c>
      <c r="C853" s="12">
        <v>0.4229</v>
      </c>
      <c r="D853" s="2">
        <v>0.0010648148148148149</v>
      </c>
      <c r="E853" s="12">
        <v>1.1</v>
      </c>
      <c r="F853" s="12">
        <v>3.88</v>
      </c>
      <c r="G853" s="11">
        <v>12233.0</v>
      </c>
      <c r="H853" s="11">
        <v>3152.0</v>
      </c>
    </row>
    <row r="854">
      <c r="A854" s="10">
        <v>43222.0</v>
      </c>
      <c r="B854" s="11">
        <v>3013.0</v>
      </c>
      <c r="C854" s="12">
        <v>0.4959</v>
      </c>
      <c r="D854" s="2">
        <v>0.0017476851851851852</v>
      </c>
      <c r="E854" s="12">
        <v>1.13</v>
      </c>
      <c r="F854" s="12">
        <v>3.82</v>
      </c>
      <c r="G854" s="11">
        <v>13066.0</v>
      </c>
      <c r="H854" s="11">
        <v>3416.0</v>
      </c>
    </row>
    <row r="855">
      <c r="A855" s="10">
        <v>43223.0</v>
      </c>
      <c r="B855" s="11">
        <v>3083.0</v>
      </c>
      <c r="C855" s="12">
        <v>0.4322</v>
      </c>
      <c r="D855" s="2">
        <v>0.0020949074074074073</v>
      </c>
      <c r="E855" s="12">
        <v>1.13</v>
      </c>
      <c r="F855" s="12">
        <v>4.33</v>
      </c>
      <c r="G855" s="11">
        <v>15038.0</v>
      </c>
      <c r="H855" s="11">
        <v>3471.0</v>
      </c>
    </row>
    <row r="856">
      <c r="A856" s="10">
        <v>43224.0</v>
      </c>
      <c r="B856" s="11">
        <v>2708.0</v>
      </c>
      <c r="C856" s="12">
        <v>0.4757</v>
      </c>
      <c r="D856" s="2">
        <v>0.0017476851851851852</v>
      </c>
      <c r="E856" s="12">
        <v>1.15</v>
      </c>
      <c r="F856" s="12">
        <v>4.05</v>
      </c>
      <c r="G856" s="11">
        <v>12650.0</v>
      </c>
      <c r="H856" s="11">
        <v>3124.0</v>
      </c>
    </row>
    <row r="857">
      <c r="A857" s="10">
        <v>43225.0</v>
      </c>
      <c r="B857" s="11">
        <v>1791.0</v>
      </c>
      <c r="C857" s="12">
        <v>0.513</v>
      </c>
      <c r="D857" s="2">
        <v>0.0021759259259259258</v>
      </c>
      <c r="E857" s="12">
        <v>1.18</v>
      </c>
      <c r="F857" s="12">
        <v>4.74</v>
      </c>
      <c r="G857" s="11">
        <v>9997.0</v>
      </c>
      <c r="H857" s="11">
        <v>2111.0</v>
      </c>
    </row>
    <row r="858">
      <c r="A858" s="10">
        <v>43226.0</v>
      </c>
      <c r="B858" s="11">
        <v>2027.0</v>
      </c>
      <c r="C858" s="12">
        <v>0.4423</v>
      </c>
      <c r="D858" s="2">
        <v>0.0019212962962962964</v>
      </c>
      <c r="E858" s="12">
        <v>1.07</v>
      </c>
      <c r="F858" s="12">
        <v>3.63</v>
      </c>
      <c r="G858" s="11">
        <v>7873.0</v>
      </c>
      <c r="H858" s="11">
        <v>2166.0</v>
      </c>
    </row>
    <row r="859">
      <c r="A859" s="10">
        <v>43227.0</v>
      </c>
      <c r="B859" s="11">
        <v>2985.0</v>
      </c>
      <c r="C859" s="12">
        <v>0.446</v>
      </c>
      <c r="D859" s="2">
        <v>0.0017592592592592592</v>
      </c>
      <c r="E859" s="12">
        <v>1.12</v>
      </c>
      <c r="F859" s="12">
        <v>4.31</v>
      </c>
      <c r="G859" s="11">
        <v>14371.0</v>
      </c>
      <c r="H859" s="11">
        <v>3332.0</v>
      </c>
    </row>
    <row r="860">
      <c r="A860" s="10">
        <v>43228.0</v>
      </c>
      <c r="B860" s="11">
        <v>3666.0</v>
      </c>
      <c r="C860" s="12">
        <v>0.4915</v>
      </c>
      <c r="D860" s="2">
        <v>0.0018171296296296297</v>
      </c>
      <c r="E860" s="12">
        <v>1.12</v>
      </c>
      <c r="F860" s="12">
        <v>4.47</v>
      </c>
      <c r="G860" s="11">
        <v>18329.0</v>
      </c>
      <c r="H860" s="11">
        <v>4096.0</v>
      </c>
    </row>
    <row r="861">
      <c r="A861" s="10">
        <v>43229.0</v>
      </c>
      <c r="B861" s="11">
        <v>3457.0</v>
      </c>
      <c r="C861" s="12">
        <v>0.3878</v>
      </c>
      <c r="D861" s="2">
        <v>0.0019560185185185184</v>
      </c>
      <c r="E861" s="12">
        <v>1.11</v>
      </c>
      <c r="F861" s="12">
        <v>4.78</v>
      </c>
      <c r="G861" s="11">
        <v>18301.0</v>
      </c>
      <c r="H861" s="11">
        <v>3832.0</v>
      </c>
    </row>
    <row r="862">
      <c r="A862" s="10">
        <v>43230.0</v>
      </c>
      <c r="B862" s="11">
        <v>3666.0</v>
      </c>
      <c r="C862" s="12">
        <v>0.4276</v>
      </c>
      <c r="D862" s="2">
        <v>0.001736111111111111</v>
      </c>
      <c r="E862" s="12">
        <v>1.15</v>
      </c>
      <c r="F862" s="12">
        <v>4.29</v>
      </c>
      <c r="G862" s="11">
        <v>18093.0</v>
      </c>
      <c r="H862" s="11">
        <v>4221.0</v>
      </c>
    </row>
    <row r="863">
      <c r="A863" s="10">
        <v>43231.0</v>
      </c>
      <c r="B863" s="11">
        <v>2888.0</v>
      </c>
      <c r="C863" s="12">
        <v>0.4382</v>
      </c>
      <c r="D863" s="2">
        <v>0.0013310185185185185</v>
      </c>
      <c r="E863" s="12">
        <v>1.09</v>
      </c>
      <c r="F863" s="12">
        <v>4.02</v>
      </c>
      <c r="G863" s="11">
        <v>12608.0</v>
      </c>
      <c r="H863" s="11">
        <v>3138.0</v>
      </c>
    </row>
    <row r="864">
      <c r="A864" s="10">
        <v>43232.0</v>
      </c>
      <c r="B864" s="11">
        <v>2124.0</v>
      </c>
      <c r="C864" s="12">
        <v>0.5367</v>
      </c>
      <c r="D864" s="2">
        <v>0.0013425925925925925</v>
      </c>
      <c r="E864" s="12">
        <v>1.07</v>
      </c>
      <c r="F864" s="12">
        <v>3.56</v>
      </c>
      <c r="G864" s="11">
        <v>8109.0</v>
      </c>
      <c r="H864" s="11">
        <v>2277.0</v>
      </c>
    </row>
    <row r="865">
      <c r="A865" s="10">
        <v>43233.0</v>
      </c>
      <c r="B865" s="11">
        <v>2027.0</v>
      </c>
      <c r="C865" s="12">
        <v>0.4806</v>
      </c>
      <c r="D865" s="2">
        <v>0.001724537037037037</v>
      </c>
      <c r="E865" s="12">
        <v>1.07</v>
      </c>
      <c r="F865" s="12">
        <v>3.78</v>
      </c>
      <c r="G865" s="11">
        <v>8178.0</v>
      </c>
      <c r="H865" s="11">
        <v>2166.0</v>
      </c>
    </row>
    <row r="866">
      <c r="A866" s="10">
        <v>43234.0</v>
      </c>
      <c r="B866" s="11">
        <v>2985.0</v>
      </c>
      <c r="C866" s="12">
        <v>0.4083</v>
      </c>
      <c r="D866" s="2">
        <v>0.0016435185185185185</v>
      </c>
      <c r="E866" s="12">
        <v>1.14</v>
      </c>
      <c r="F866" s="12">
        <v>4.13</v>
      </c>
      <c r="G866" s="11">
        <v>14038.0</v>
      </c>
      <c r="H866" s="11">
        <v>3402.0</v>
      </c>
    </row>
    <row r="867">
      <c r="A867" s="10">
        <v>43235.0</v>
      </c>
      <c r="B867" s="11">
        <v>2971.0</v>
      </c>
      <c r="C867" s="12">
        <v>0.3736</v>
      </c>
      <c r="D867" s="2">
        <v>0.0016087962962962963</v>
      </c>
      <c r="E867" s="12">
        <v>1.13</v>
      </c>
      <c r="F867" s="12">
        <v>4.41</v>
      </c>
      <c r="G867" s="11">
        <v>14760.0</v>
      </c>
      <c r="H867" s="11">
        <v>3346.0</v>
      </c>
    </row>
    <row r="868">
      <c r="A868" s="10">
        <v>43236.0</v>
      </c>
      <c r="B868" s="11">
        <v>2958.0</v>
      </c>
      <c r="C868" s="12">
        <v>0.481</v>
      </c>
      <c r="D868" s="2">
        <v>0.0014814814814814814</v>
      </c>
      <c r="E868" s="12">
        <v>1.11</v>
      </c>
      <c r="F868" s="12">
        <v>3.85</v>
      </c>
      <c r="G868" s="11">
        <v>12663.0</v>
      </c>
      <c r="H868" s="11">
        <v>3291.0</v>
      </c>
    </row>
    <row r="869">
      <c r="A869" s="10">
        <v>43237.0</v>
      </c>
      <c r="B869" s="11">
        <v>3110.0</v>
      </c>
      <c r="C869" s="12">
        <v>0.4484</v>
      </c>
      <c r="D869" s="2">
        <v>0.0015162037037037036</v>
      </c>
      <c r="E869" s="12">
        <v>1.17</v>
      </c>
      <c r="F869" s="12">
        <v>4.03</v>
      </c>
      <c r="G869" s="11">
        <v>14594.0</v>
      </c>
      <c r="H869" s="11">
        <v>3624.0</v>
      </c>
    </row>
    <row r="870">
      <c r="A870" s="10">
        <v>43238.0</v>
      </c>
      <c r="B870" s="11">
        <v>2860.0</v>
      </c>
      <c r="C870" s="12">
        <v>0.3998</v>
      </c>
      <c r="D870" s="2">
        <v>0.0019212962962962964</v>
      </c>
      <c r="E870" s="12">
        <v>1.12</v>
      </c>
      <c r="F870" s="12">
        <v>5.27</v>
      </c>
      <c r="G870" s="11">
        <v>16829.0</v>
      </c>
      <c r="H870" s="11">
        <v>3194.0</v>
      </c>
    </row>
    <row r="871">
      <c r="A871" s="10">
        <v>43239.0</v>
      </c>
      <c r="B871" s="11">
        <v>1763.0</v>
      </c>
      <c r="C871" s="12">
        <v>0.5143</v>
      </c>
      <c r="D871" s="2">
        <v>0.001238425925925926</v>
      </c>
      <c r="E871" s="12">
        <v>1.13</v>
      </c>
      <c r="F871" s="12">
        <v>4.41</v>
      </c>
      <c r="G871" s="11">
        <v>8817.0</v>
      </c>
      <c r="H871" s="11">
        <v>1999.0</v>
      </c>
    </row>
    <row r="872">
      <c r="A872" s="10">
        <v>43240.0</v>
      </c>
      <c r="B872" s="11">
        <v>1944.0</v>
      </c>
      <c r="C872" s="12">
        <v>0.4801</v>
      </c>
      <c r="D872" s="2">
        <v>0.0014467592592592592</v>
      </c>
      <c r="E872" s="12">
        <v>1.07</v>
      </c>
      <c r="F872" s="12">
        <v>4.61</v>
      </c>
      <c r="G872" s="11">
        <v>9609.0</v>
      </c>
      <c r="H872" s="11">
        <v>2083.0</v>
      </c>
    </row>
    <row r="873">
      <c r="A873" s="10">
        <v>43241.0</v>
      </c>
      <c r="B873" s="11">
        <v>2819.0</v>
      </c>
      <c r="C873" s="12">
        <v>0.4208</v>
      </c>
      <c r="D873" s="2">
        <v>0.002002314814814815</v>
      </c>
      <c r="E873" s="12">
        <v>1.18</v>
      </c>
      <c r="F873" s="12">
        <v>4.53</v>
      </c>
      <c r="G873" s="11">
        <v>15080.0</v>
      </c>
      <c r="H873" s="11">
        <v>3332.0</v>
      </c>
    </row>
    <row r="874">
      <c r="A874" s="10">
        <v>43242.0</v>
      </c>
      <c r="B874" s="11">
        <v>3332.0</v>
      </c>
      <c r="C874" s="12">
        <v>0.3772</v>
      </c>
      <c r="D874" s="2">
        <v>0.0021064814814814813</v>
      </c>
      <c r="E874" s="12">
        <v>1.14</v>
      </c>
      <c r="F874" s="12">
        <v>5.5</v>
      </c>
      <c r="G874" s="11">
        <v>20842.0</v>
      </c>
      <c r="H874" s="11">
        <v>3791.0</v>
      </c>
    </row>
    <row r="875">
      <c r="A875" s="10">
        <v>43243.0</v>
      </c>
      <c r="B875" s="11">
        <v>3013.0</v>
      </c>
      <c r="C875" s="12">
        <v>0.3333</v>
      </c>
      <c r="D875" s="2">
        <v>0.0021412037037037038</v>
      </c>
      <c r="E875" s="12">
        <v>1.2</v>
      </c>
      <c r="F875" s="12">
        <v>5.57</v>
      </c>
      <c r="G875" s="11">
        <v>20203.0</v>
      </c>
      <c r="H875" s="11">
        <v>3624.0</v>
      </c>
    </row>
    <row r="876">
      <c r="A876" s="10">
        <v>43244.0</v>
      </c>
      <c r="B876" s="11">
        <v>2999.0</v>
      </c>
      <c r="C876" s="12">
        <v>0.4266</v>
      </c>
      <c r="D876" s="2">
        <v>0.0021180555555555558</v>
      </c>
      <c r="E876" s="12">
        <v>1.11</v>
      </c>
      <c r="F876" s="12">
        <v>5.12</v>
      </c>
      <c r="G876" s="11">
        <v>16996.0</v>
      </c>
      <c r="H876" s="11">
        <v>3319.0</v>
      </c>
    </row>
    <row r="877">
      <c r="A877" s="10">
        <v>43245.0</v>
      </c>
      <c r="B877" s="11">
        <v>2472.0</v>
      </c>
      <c r="C877" s="12">
        <v>0.4271</v>
      </c>
      <c r="D877" s="2">
        <v>0.0016898148148148148</v>
      </c>
      <c r="E877" s="12">
        <v>1.12</v>
      </c>
      <c r="F877" s="12">
        <v>4.75</v>
      </c>
      <c r="G877" s="11">
        <v>13136.0</v>
      </c>
      <c r="H877" s="11">
        <v>2763.0</v>
      </c>
    </row>
    <row r="878">
      <c r="A878" s="10">
        <v>43246.0</v>
      </c>
      <c r="B878" s="11">
        <v>1847.0</v>
      </c>
      <c r="C878" s="12">
        <v>0.5292</v>
      </c>
      <c r="D878" s="2">
        <v>0.0014814814814814814</v>
      </c>
      <c r="E878" s="12">
        <v>1.04</v>
      </c>
      <c r="F878" s="12">
        <v>4.13</v>
      </c>
      <c r="G878" s="11">
        <v>7915.0</v>
      </c>
      <c r="H878" s="11">
        <v>1916.0</v>
      </c>
    </row>
    <row r="879">
      <c r="A879" s="10">
        <v>43247.0</v>
      </c>
      <c r="B879" s="11">
        <v>1916.0</v>
      </c>
      <c r="C879" s="12">
        <v>0.4472</v>
      </c>
      <c r="D879" s="2">
        <v>0.0016898148148148148</v>
      </c>
      <c r="E879" s="12">
        <v>1.1</v>
      </c>
      <c r="F879" s="12">
        <v>4.28</v>
      </c>
      <c r="G879" s="11">
        <v>9025.0</v>
      </c>
      <c r="H879" s="11">
        <v>2111.0</v>
      </c>
    </row>
    <row r="880">
      <c r="A880" s="10">
        <v>43248.0</v>
      </c>
      <c r="B880" s="11">
        <v>2249.0</v>
      </c>
      <c r="C880" s="12">
        <v>0.5594</v>
      </c>
      <c r="D880" s="2">
        <v>0.001400462962962963</v>
      </c>
      <c r="E880" s="12">
        <v>1.09</v>
      </c>
      <c r="F880" s="12">
        <v>3.41</v>
      </c>
      <c r="G880" s="11">
        <v>8387.0</v>
      </c>
      <c r="H880" s="11">
        <v>2458.0</v>
      </c>
    </row>
    <row r="881">
      <c r="A881" s="10">
        <v>43249.0</v>
      </c>
      <c r="B881" s="11">
        <v>2958.0</v>
      </c>
      <c r="C881" s="12">
        <v>0.4026</v>
      </c>
      <c r="D881" s="2">
        <v>0.0022453703703703702</v>
      </c>
      <c r="E881" s="12">
        <v>1.13</v>
      </c>
      <c r="F881" s="12">
        <v>4.83</v>
      </c>
      <c r="G881" s="11">
        <v>16163.0</v>
      </c>
      <c r="H881" s="11">
        <v>3346.0</v>
      </c>
    </row>
    <row r="882">
      <c r="A882" s="10">
        <v>43250.0</v>
      </c>
      <c r="B882" s="11">
        <v>2833.0</v>
      </c>
      <c r="C882" s="12">
        <v>0.4092</v>
      </c>
      <c r="D882" s="2">
        <v>0.0021875</v>
      </c>
      <c r="E882" s="12">
        <v>1.08</v>
      </c>
      <c r="F882" s="12">
        <v>4.16</v>
      </c>
      <c r="G882" s="11">
        <v>12705.0</v>
      </c>
      <c r="H882" s="11">
        <v>3055.0</v>
      </c>
    </row>
    <row r="883">
      <c r="A883" s="10">
        <v>43251.0</v>
      </c>
      <c r="B883" s="11">
        <v>2763.0</v>
      </c>
      <c r="C883" s="12">
        <v>0.4505</v>
      </c>
      <c r="D883" s="2">
        <v>0.001990740740740741</v>
      </c>
      <c r="E883" s="12">
        <v>1.12</v>
      </c>
      <c r="F883" s="12">
        <v>4.87</v>
      </c>
      <c r="G883" s="11">
        <v>15024.0</v>
      </c>
      <c r="H883" s="11">
        <v>3083.0</v>
      </c>
    </row>
    <row r="884">
      <c r="A884" s="10">
        <v>43252.0</v>
      </c>
      <c r="B884" s="11">
        <v>2999.0</v>
      </c>
      <c r="C884" s="12">
        <v>0.3495</v>
      </c>
      <c r="D884" s="2">
        <v>0.0018287037037037037</v>
      </c>
      <c r="E884" s="12">
        <v>1.14</v>
      </c>
      <c r="F884" s="12">
        <v>5.56</v>
      </c>
      <c r="G884" s="11">
        <v>18995.0</v>
      </c>
      <c r="H884" s="11">
        <v>3416.0</v>
      </c>
    </row>
    <row r="885">
      <c r="A885" s="10">
        <v>43253.0</v>
      </c>
      <c r="B885" s="11">
        <v>1944.0</v>
      </c>
      <c r="C885" s="12">
        <v>0.4681</v>
      </c>
      <c r="D885" s="2">
        <v>0.0016087962962962963</v>
      </c>
      <c r="E885" s="12">
        <v>1.11</v>
      </c>
      <c r="F885" s="12">
        <v>4.33</v>
      </c>
      <c r="G885" s="11">
        <v>9387.0</v>
      </c>
      <c r="H885" s="11">
        <v>2166.0</v>
      </c>
    </row>
    <row r="886">
      <c r="A886" s="10">
        <v>43254.0</v>
      </c>
      <c r="B886" s="11">
        <v>2069.0</v>
      </c>
      <c r="C886" s="12">
        <v>0.4662</v>
      </c>
      <c r="D886" s="2">
        <v>0.0021759259259259258</v>
      </c>
      <c r="E886" s="12">
        <v>1.09</v>
      </c>
      <c r="F886" s="12">
        <v>4.86</v>
      </c>
      <c r="G886" s="11">
        <v>10997.0</v>
      </c>
      <c r="H886" s="11">
        <v>2263.0</v>
      </c>
    </row>
    <row r="887">
      <c r="A887" s="10">
        <v>43255.0</v>
      </c>
      <c r="B887" s="11">
        <v>3360.0</v>
      </c>
      <c r="C887" s="12">
        <v>0.4361</v>
      </c>
      <c r="D887" s="2">
        <v>0.002384259259259259</v>
      </c>
      <c r="E887" s="12">
        <v>1.1</v>
      </c>
      <c r="F887" s="12">
        <v>4.49</v>
      </c>
      <c r="G887" s="11">
        <v>16593.0</v>
      </c>
      <c r="H887" s="11">
        <v>3694.0</v>
      </c>
    </row>
    <row r="888">
      <c r="A888" s="10">
        <v>43256.0</v>
      </c>
      <c r="B888" s="11">
        <v>3110.0</v>
      </c>
      <c r="C888" s="12">
        <v>0.4143</v>
      </c>
      <c r="D888" s="2">
        <v>0.0018865740740740742</v>
      </c>
      <c r="E888" s="12">
        <v>1.12</v>
      </c>
      <c r="F888" s="12">
        <v>4.4</v>
      </c>
      <c r="G888" s="11">
        <v>15343.0</v>
      </c>
      <c r="H888" s="11">
        <v>3485.0</v>
      </c>
    </row>
    <row r="889">
      <c r="A889" s="10">
        <v>43257.0</v>
      </c>
      <c r="B889" s="11">
        <v>3249.0</v>
      </c>
      <c r="C889" s="12">
        <v>0.502</v>
      </c>
      <c r="D889" s="2">
        <v>0.001574074074074074</v>
      </c>
      <c r="E889" s="12">
        <v>1.15</v>
      </c>
      <c r="F889" s="12">
        <v>4.02</v>
      </c>
      <c r="G889" s="11">
        <v>15010.0</v>
      </c>
      <c r="H889" s="11">
        <v>3735.0</v>
      </c>
    </row>
    <row r="890">
      <c r="A890" s="10">
        <v>43258.0</v>
      </c>
      <c r="B890" s="11">
        <v>3041.0</v>
      </c>
      <c r="C890" s="12">
        <v>0.4999</v>
      </c>
      <c r="D890" s="2">
        <v>0.001736111111111111</v>
      </c>
      <c r="E890" s="12">
        <v>1.17</v>
      </c>
      <c r="F890" s="12">
        <v>4.09</v>
      </c>
      <c r="G890" s="11">
        <v>14524.0</v>
      </c>
      <c r="H890" s="11">
        <v>3555.0</v>
      </c>
    </row>
    <row r="891">
      <c r="A891" s="10">
        <v>43259.0</v>
      </c>
      <c r="B891" s="11">
        <v>2583.0</v>
      </c>
      <c r="C891" s="12">
        <v>0.4653</v>
      </c>
      <c r="D891" s="2">
        <v>0.0024652777777777776</v>
      </c>
      <c r="E891" s="12">
        <v>1.16</v>
      </c>
      <c r="F891" s="12">
        <v>4.94</v>
      </c>
      <c r="G891" s="11">
        <v>14760.0</v>
      </c>
      <c r="H891" s="11">
        <v>2985.0</v>
      </c>
    </row>
    <row r="892">
      <c r="A892" s="10">
        <v>43260.0</v>
      </c>
      <c r="B892" s="11">
        <v>1916.0</v>
      </c>
      <c r="C892" s="12">
        <v>0.4998</v>
      </c>
      <c r="D892" s="2">
        <v>0.0016666666666666668</v>
      </c>
      <c r="E892" s="12">
        <v>1.09</v>
      </c>
      <c r="F892" s="12">
        <v>4.07</v>
      </c>
      <c r="G892" s="11">
        <v>8470.0</v>
      </c>
      <c r="H892" s="11">
        <v>2083.0</v>
      </c>
    </row>
    <row r="893">
      <c r="A893" s="10">
        <v>43261.0</v>
      </c>
      <c r="B893" s="11">
        <v>1930.0</v>
      </c>
      <c r="C893" s="12">
        <v>0.4405</v>
      </c>
      <c r="D893" s="2">
        <v>0.0020486111111111113</v>
      </c>
      <c r="E893" s="12">
        <v>1.09</v>
      </c>
      <c r="F893" s="12">
        <v>5.12</v>
      </c>
      <c r="G893" s="11">
        <v>10803.0</v>
      </c>
      <c r="H893" s="11">
        <v>2111.0</v>
      </c>
    </row>
    <row r="894">
      <c r="A894" s="10">
        <v>43262.0</v>
      </c>
      <c r="B894" s="11">
        <v>2860.0</v>
      </c>
      <c r="C894" s="12">
        <v>0.4303</v>
      </c>
      <c r="D894" s="2">
        <v>0.002025462962962963</v>
      </c>
      <c r="E894" s="12">
        <v>1.15</v>
      </c>
      <c r="F894" s="12">
        <v>5.19</v>
      </c>
      <c r="G894" s="11">
        <v>17079.0</v>
      </c>
      <c r="H894" s="11">
        <v>3291.0</v>
      </c>
    </row>
    <row r="895">
      <c r="A895" s="10">
        <v>43263.0</v>
      </c>
      <c r="B895" s="11">
        <v>2902.0</v>
      </c>
      <c r="C895" s="12">
        <v>0.3713</v>
      </c>
      <c r="D895" s="2">
        <v>0.001863425925925926</v>
      </c>
      <c r="E895" s="12">
        <v>1.13</v>
      </c>
      <c r="F895" s="12">
        <v>4.65</v>
      </c>
      <c r="G895" s="11">
        <v>15302.0</v>
      </c>
      <c r="H895" s="11">
        <v>3291.0</v>
      </c>
    </row>
    <row r="896">
      <c r="A896" s="10">
        <v>43264.0</v>
      </c>
      <c r="B896" s="11">
        <v>2666.0</v>
      </c>
      <c r="C896" s="12">
        <v>0.416</v>
      </c>
      <c r="D896" s="2">
        <v>0.0016666666666666668</v>
      </c>
      <c r="E896" s="12">
        <v>1.11</v>
      </c>
      <c r="F896" s="12">
        <v>3.58</v>
      </c>
      <c r="G896" s="11">
        <v>10636.0</v>
      </c>
      <c r="H896" s="11">
        <v>2971.0</v>
      </c>
    </row>
    <row r="897">
      <c r="A897" s="10">
        <v>43265.0</v>
      </c>
      <c r="B897" s="11">
        <v>2194.0</v>
      </c>
      <c r="C897" s="12">
        <v>0.4137</v>
      </c>
      <c r="D897" s="2">
        <v>0.0014467592592592592</v>
      </c>
      <c r="E897" s="12">
        <v>1.21</v>
      </c>
      <c r="F897" s="12">
        <v>3.95</v>
      </c>
      <c r="G897" s="11">
        <v>10470.0</v>
      </c>
      <c r="H897" s="11">
        <v>2652.0</v>
      </c>
    </row>
    <row r="898">
      <c r="A898" s="10">
        <v>43266.0</v>
      </c>
      <c r="B898" s="11">
        <v>1930.0</v>
      </c>
      <c r="C898" s="12">
        <v>0.426</v>
      </c>
      <c r="D898" s="2">
        <v>0.0015625</v>
      </c>
      <c r="E898" s="12">
        <v>1.17</v>
      </c>
      <c r="F898" s="12">
        <v>4.42</v>
      </c>
      <c r="G898" s="11">
        <v>9942.0</v>
      </c>
      <c r="H898" s="11">
        <v>2249.0</v>
      </c>
    </row>
    <row r="899">
      <c r="A899" s="10">
        <v>43267.0</v>
      </c>
      <c r="B899" s="11">
        <v>1389.0</v>
      </c>
      <c r="C899" s="12">
        <v>0.4602</v>
      </c>
      <c r="D899" s="2">
        <v>0.0017013888888888888</v>
      </c>
      <c r="E899" s="12">
        <v>1.13</v>
      </c>
      <c r="F899" s="12">
        <v>4.98</v>
      </c>
      <c r="G899" s="11">
        <v>7817.0</v>
      </c>
      <c r="H899" s="11">
        <v>1569.0</v>
      </c>
    </row>
    <row r="900">
      <c r="A900" s="10">
        <v>43268.0</v>
      </c>
      <c r="B900" s="11">
        <v>1541.0</v>
      </c>
      <c r="C900" s="12">
        <v>0.4131</v>
      </c>
      <c r="D900" s="2">
        <v>0.0015393518518518519</v>
      </c>
      <c r="E900" s="12">
        <v>1.09</v>
      </c>
      <c r="F900" s="12">
        <v>3.85</v>
      </c>
      <c r="G900" s="11">
        <v>6471.0</v>
      </c>
      <c r="H900" s="11">
        <v>1680.0</v>
      </c>
    </row>
    <row r="901">
      <c r="A901" s="10">
        <v>43269.0</v>
      </c>
      <c r="B901" s="11">
        <v>2708.0</v>
      </c>
      <c r="C901" s="12">
        <v>0.4027</v>
      </c>
      <c r="D901" s="2">
        <v>0.0024652777777777776</v>
      </c>
      <c r="E901" s="12">
        <v>1.13</v>
      </c>
      <c r="F901" s="12">
        <v>4.91</v>
      </c>
      <c r="G901" s="11">
        <v>15066.0</v>
      </c>
      <c r="H901" s="11">
        <v>3069.0</v>
      </c>
    </row>
    <row r="902">
      <c r="A902" s="10">
        <v>43270.0</v>
      </c>
      <c r="B902" s="11">
        <v>2763.0</v>
      </c>
      <c r="C902" s="12">
        <v>0.4751</v>
      </c>
      <c r="D902" s="2">
        <v>0.0019212962962962964</v>
      </c>
      <c r="E902" s="12">
        <v>1.11</v>
      </c>
      <c r="F902" s="12">
        <v>4.23</v>
      </c>
      <c r="G902" s="11">
        <v>12969.0</v>
      </c>
      <c r="H902" s="11">
        <v>3069.0</v>
      </c>
    </row>
    <row r="903">
      <c r="A903" s="10">
        <v>43271.0</v>
      </c>
      <c r="B903" s="11">
        <v>2444.0</v>
      </c>
      <c r="C903" s="12">
        <v>0.5079</v>
      </c>
      <c r="D903" s="2">
        <v>0.0018171296296296297</v>
      </c>
      <c r="E903" s="12">
        <v>1.09</v>
      </c>
      <c r="F903" s="12">
        <v>4.58</v>
      </c>
      <c r="G903" s="11">
        <v>12136.0</v>
      </c>
      <c r="H903" s="11">
        <v>2652.0</v>
      </c>
    </row>
    <row r="904">
      <c r="A904" s="10">
        <v>43272.0</v>
      </c>
      <c r="B904" s="11">
        <v>2485.0</v>
      </c>
      <c r="C904" s="12">
        <v>0.43</v>
      </c>
      <c r="D904" s="2">
        <v>0.0016435185185185185</v>
      </c>
      <c r="E904" s="12">
        <v>1.12</v>
      </c>
      <c r="F904" s="12">
        <v>3.86</v>
      </c>
      <c r="G904" s="11">
        <v>10720.0</v>
      </c>
      <c r="H904" s="11">
        <v>2777.0</v>
      </c>
    </row>
    <row r="905">
      <c r="A905" s="10">
        <v>43273.0</v>
      </c>
      <c r="B905" s="11">
        <v>2166.0</v>
      </c>
      <c r="C905" s="12">
        <v>0.4354</v>
      </c>
      <c r="D905" s="2">
        <v>0.0019097222222222222</v>
      </c>
      <c r="E905" s="12">
        <v>1.09</v>
      </c>
      <c r="F905" s="12">
        <v>4.26</v>
      </c>
      <c r="G905" s="11">
        <v>10067.0</v>
      </c>
      <c r="H905" s="11">
        <v>2361.0</v>
      </c>
    </row>
    <row r="906">
      <c r="A906" s="10">
        <v>43274.0</v>
      </c>
      <c r="B906" s="11">
        <v>1652.0</v>
      </c>
      <c r="C906" s="12">
        <v>0.4016</v>
      </c>
      <c r="D906" s="2">
        <v>0.0019675925925925924</v>
      </c>
      <c r="E906" s="12">
        <v>1.07</v>
      </c>
      <c r="F906" s="12">
        <v>5.04</v>
      </c>
      <c r="G906" s="11">
        <v>8887.0</v>
      </c>
      <c r="H906" s="11">
        <v>1763.0</v>
      </c>
    </row>
    <row r="907">
      <c r="A907" s="10">
        <v>43275.0</v>
      </c>
      <c r="B907" s="11">
        <v>1611.0</v>
      </c>
      <c r="C907" s="12">
        <v>0.4729</v>
      </c>
      <c r="D907" s="2">
        <v>0.0014467592592592592</v>
      </c>
      <c r="E907" s="12">
        <v>1.11</v>
      </c>
      <c r="F907" s="12">
        <v>3.81</v>
      </c>
      <c r="G907" s="11">
        <v>6832.0</v>
      </c>
      <c r="H907" s="11">
        <v>1791.0</v>
      </c>
    </row>
    <row r="908">
      <c r="A908" s="10">
        <v>43276.0</v>
      </c>
      <c r="B908" s="11">
        <v>2944.0</v>
      </c>
      <c r="C908" s="12">
        <v>0.4225</v>
      </c>
      <c r="D908" s="2">
        <v>0.0018865740740740742</v>
      </c>
      <c r="E908" s="12">
        <v>1.09</v>
      </c>
      <c r="F908" s="12">
        <v>4.09</v>
      </c>
      <c r="G908" s="11">
        <v>13177.0</v>
      </c>
      <c r="H908" s="11">
        <v>3221.0</v>
      </c>
    </row>
    <row r="909">
      <c r="A909" s="10">
        <v>43277.0</v>
      </c>
      <c r="B909" s="11">
        <v>2374.0</v>
      </c>
      <c r="C909" s="12">
        <v>0.4432</v>
      </c>
      <c r="D909" s="2">
        <v>0.0015046296296296296</v>
      </c>
      <c r="E909" s="12">
        <v>1.13</v>
      </c>
      <c r="F909" s="12">
        <v>3.89</v>
      </c>
      <c r="G909" s="11">
        <v>10483.0</v>
      </c>
      <c r="H909" s="11">
        <v>2694.0</v>
      </c>
    </row>
    <row r="910">
      <c r="A910" s="10">
        <v>43278.0</v>
      </c>
      <c r="B910" s="11">
        <v>2541.0</v>
      </c>
      <c r="C910" s="12">
        <v>0.4046</v>
      </c>
      <c r="D910" s="2">
        <v>0.0016203703703703703</v>
      </c>
      <c r="E910" s="12">
        <v>1.12</v>
      </c>
      <c r="F910" s="12">
        <v>4.34</v>
      </c>
      <c r="G910" s="11">
        <v>12344.0</v>
      </c>
      <c r="H910" s="11">
        <v>2847.0</v>
      </c>
    </row>
    <row r="911">
      <c r="A911" s="10">
        <v>43279.0</v>
      </c>
      <c r="B911" s="11">
        <v>2236.0</v>
      </c>
      <c r="C911" s="12">
        <v>0.4161</v>
      </c>
      <c r="D911" s="2">
        <v>0.002025462962962963</v>
      </c>
      <c r="E911" s="12">
        <v>1.15</v>
      </c>
      <c r="F911" s="12">
        <v>5.98</v>
      </c>
      <c r="G911" s="11">
        <v>15357.0</v>
      </c>
      <c r="H911" s="11">
        <v>2569.0</v>
      </c>
    </row>
    <row r="912">
      <c r="A912" s="10">
        <v>43280.0</v>
      </c>
      <c r="B912" s="11">
        <v>2055.0</v>
      </c>
      <c r="C912" s="12">
        <v>0.3758</v>
      </c>
      <c r="D912" s="2">
        <v>0.002962962962962963</v>
      </c>
      <c r="E912" s="12">
        <v>1.11</v>
      </c>
      <c r="F912" s="12">
        <v>5.53</v>
      </c>
      <c r="G912" s="11">
        <v>12677.0</v>
      </c>
      <c r="H912" s="11">
        <v>2291.0</v>
      </c>
    </row>
    <row r="913">
      <c r="A913" s="10">
        <v>43281.0</v>
      </c>
      <c r="B913" s="11">
        <v>1444.0</v>
      </c>
      <c r="C913" s="12">
        <v>0.4602</v>
      </c>
      <c r="D913" s="2">
        <v>0.001412037037037037</v>
      </c>
      <c r="E913" s="12">
        <v>1.09</v>
      </c>
      <c r="F913" s="12">
        <v>3.48</v>
      </c>
      <c r="G913" s="11">
        <v>5457.0</v>
      </c>
      <c r="H913" s="11">
        <v>1569.0</v>
      </c>
    </row>
    <row r="914">
      <c r="A914" s="10">
        <v>43282.0</v>
      </c>
      <c r="B914" s="11">
        <v>1555.0</v>
      </c>
      <c r="C914" s="12">
        <v>0.4835</v>
      </c>
      <c r="D914" s="2">
        <v>0.0020486111111111113</v>
      </c>
      <c r="E914" s="12">
        <v>1.09</v>
      </c>
      <c r="F914" s="12">
        <v>3.52</v>
      </c>
      <c r="G914" s="11">
        <v>5957.0</v>
      </c>
      <c r="H914" s="11">
        <v>1694.0</v>
      </c>
    </row>
    <row r="915">
      <c r="A915" s="10">
        <v>43283.0</v>
      </c>
      <c r="B915" s="11">
        <v>2541.0</v>
      </c>
      <c r="C915" s="12">
        <v>0.4198</v>
      </c>
      <c r="D915" s="2">
        <v>0.0023263888888888887</v>
      </c>
      <c r="E915" s="12">
        <v>1.16</v>
      </c>
      <c r="F915" s="12">
        <v>4.35</v>
      </c>
      <c r="G915" s="11">
        <v>12816.0</v>
      </c>
      <c r="H915" s="11">
        <v>2944.0</v>
      </c>
    </row>
    <row r="916">
      <c r="A916" s="10">
        <v>43284.0</v>
      </c>
      <c r="B916" s="11">
        <v>2388.0</v>
      </c>
      <c r="C916" s="12">
        <v>0.5105</v>
      </c>
      <c r="D916" s="2">
        <v>0.0020949074074074073</v>
      </c>
      <c r="E916" s="12">
        <v>1.12</v>
      </c>
      <c r="F916" s="12">
        <v>4.09</v>
      </c>
      <c r="G916" s="11">
        <v>10900.0</v>
      </c>
      <c r="H916" s="11">
        <v>2666.0</v>
      </c>
    </row>
    <row r="917">
      <c r="A917" s="10">
        <v>43285.0</v>
      </c>
      <c r="B917" s="11">
        <v>1944.0</v>
      </c>
      <c r="C917" s="12">
        <v>0.5306</v>
      </c>
      <c r="D917" s="2">
        <v>0.0012037037037037038</v>
      </c>
      <c r="E917" s="12">
        <v>1.05</v>
      </c>
      <c r="F917" s="12">
        <v>3.34</v>
      </c>
      <c r="G917" s="11">
        <v>6818.0</v>
      </c>
      <c r="H917" s="11">
        <v>2041.0</v>
      </c>
    </row>
    <row r="918">
      <c r="A918" s="10">
        <v>43286.0</v>
      </c>
      <c r="B918" s="11">
        <v>2124.0</v>
      </c>
      <c r="C918" s="12">
        <v>0.4269</v>
      </c>
      <c r="D918" s="2">
        <v>0.0013773148148148147</v>
      </c>
      <c r="E918" s="12">
        <v>1.07</v>
      </c>
      <c r="F918" s="12">
        <v>4.16</v>
      </c>
      <c r="G918" s="11">
        <v>9470.0</v>
      </c>
      <c r="H918" s="11">
        <v>2277.0</v>
      </c>
    </row>
    <row r="919">
      <c r="A919" s="10">
        <v>43287.0</v>
      </c>
      <c r="B919" s="11">
        <v>1916.0</v>
      </c>
      <c r="C919" s="12">
        <v>0.3851</v>
      </c>
      <c r="D919" s="2">
        <v>0.002534722222222222</v>
      </c>
      <c r="E919" s="12">
        <v>1.17</v>
      </c>
      <c r="F919" s="12">
        <v>5.24</v>
      </c>
      <c r="G919" s="11">
        <v>11719.0</v>
      </c>
      <c r="H919" s="11">
        <v>2236.0</v>
      </c>
    </row>
    <row r="920">
      <c r="A920" s="10">
        <v>43288.0</v>
      </c>
      <c r="B920" s="11">
        <v>1347.0</v>
      </c>
      <c r="C920" s="12">
        <v>0.4685</v>
      </c>
      <c r="D920" s="2">
        <v>0.0011342592592592593</v>
      </c>
      <c r="E920" s="12">
        <v>1.14</v>
      </c>
      <c r="F920" s="12">
        <v>3.87</v>
      </c>
      <c r="G920" s="11">
        <v>5957.0</v>
      </c>
      <c r="H920" s="11">
        <v>1541.0</v>
      </c>
    </row>
    <row r="921">
      <c r="A921" s="10">
        <v>43289.0</v>
      </c>
      <c r="B921" s="11">
        <v>1583.0</v>
      </c>
      <c r="C921" s="12">
        <v>0.5244</v>
      </c>
      <c r="D921" s="2">
        <v>0.0017476851851851852</v>
      </c>
      <c r="E921" s="12">
        <v>1.09</v>
      </c>
      <c r="F921" s="12">
        <v>3.12</v>
      </c>
      <c r="G921" s="11">
        <v>5374.0</v>
      </c>
      <c r="H921" s="11">
        <v>1722.0</v>
      </c>
    </row>
    <row r="922">
      <c r="A922" s="10">
        <v>43290.0</v>
      </c>
      <c r="B922" s="11">
        <v>2638.0</v>
      </c>
      <c r="C922" s="12">
        <v>0.4019</v>
      </c>
      <c r="D922" s="2">
        <v>0.0021296296296296298</v>
      </c>
      <c r="E922" s="12">
        <v>1.13</v>
      </c>
      <c r="F922" s="12">
        <v>4.86</v>
      </c>
      <c r="G922" s="11">
        <v>14441.0</v>
      </c>
      <c r="H922" s="11">
        <v>2971.0</v>
      </c>
    </row>
    <row r="923">
      <c r="A923" s="10">
        <v>43291.0</v>
      </c>
      <c r="B923" s="11">
        <v>2416.0</v>
      </c>
      <c r="C923" s="12">
        <v>0.3853</v>
      </c>
      <c r="D923" s="2">
        <v>0.0025578703703703705</v>
      </c>
      <c r="E923" s="12">
        <v>1.18</v>
      </c>
      <c r="F923" s="12">
        <v>5.79</v>
      </c>
      <c r="G923" s="11">
        <v>16482.0</v>
      </c>
      <c r="H923" s="11">
        <v>2847.0</v>
      </c>
    </row>
    <row r="924">
      <c r="A924" s="10">
        <v>43292.0</v>
      </c>
      <c r="B924" s="11">
        <v>2388.0</v>
      </c>
      <c r="C924" s="12">
        <v>0.3799</v>
      </c>
      <c r="D924" s="2">
        <v>0.001979166666666667</v>
      </c>
      <c r="E924" s="12">
        <v>1.16</v>
      </c>
      <c r="F924" s="12">
        <v>4.31</v>
      </c>
      <c r="G924" s="11">
        <v>11955.0</v>
      </c>
      <c r="H924" s="11">
        <v>2777.0</v>
      </c>
    </row>
    <row r="925">
      <c r="A925" s="10">
        <v>43293.0</v>
      </c>
      <c r="B925" s="11">
        <v>2388.0</v>
      </c>
      <c r="C925" s="12">
        <v>0.4386</v>
      </c>
      <c r="D925" s="2">
        <v>0.0019328703703703704</v>
      </c>
      <c r="E925" s="12">
        <v>1.14</v>
      </c>
      <c r="F925" s="12">
        <v>4.51</v>
      </c>
      <c r="G925" s="11">
        <v>12275.0</v>
      </c>
      <c r="H925" s="11">
        <v>2722.0</v>
      </c>
    </row>
    <row r="926">
      <c r="A926" s="10">
        <v>43294.0</v>
      </c>
      <c r="B926" s="11">
        <v>2222.0</v>
      </c>
      <c r="C926" s="12">
        <v>0.3695</v>
      </c>
      <c r="D926" s="2">
        <v>0.0019444444444444444</v>
      </c>
      <c r="E926" s="12">
        <v>1.1</v>
      </c>
      <c r="F926" s="12">
        <v>4.69</v>
      </c>
      <c r="G926" s="11">
        <v>11455.0</v>
      </c>
      <c r="H926" s="11">
        <v>2444.0</v>
      </c>
    </row>
    <row r="927">
      <c r="A927" s="10">
        <v>43295.0</v>
      </c>
      <c r="B927" s="11">
        <v>1444.0</v>
      </c>
      <c r="C927" s="12">
        <v>0.4493</v>
      </c>
      <c r="D927" s="2">
        <v>0.0015393518518518519</v>
      </c>
      <c r="E927" s="12">
        <v>1.13</v>
      </c>
      <c r="F927" s="12">
        <v>3.81</v>
      </c>
      <c r="G927" s="11">
        <v>6235.0</v>
      </c>
      <c r="H927" s="11">
        <v>1638.0</v>
      </c>
    </row>
    <row r="928">
      <c r="A928" s="10">
        <v>43296.0</v>
      </c>
      <c r="B928" s="11">
        <v>1666.0</v>
      </c>
      <c r="C928" s="12">
        <v>0.4149</v>
      </c>
      <c r="D928" s="2">
        <v>0.0020486111111111113</v>
      </c>
      <c r="E928" s="12">
        <v>1.13</v>
      </c>
      <c r="F928" s="12">
        <v>4.84</v>
      </c>
      <c r="G928" s="11">
        <v>9081.0</v>
      </c>
      <c r="H928" s="11">
        <v>1875.0</v>
      </c>
    </row>
    <row r="929">
      <c r="A929" s="10">
        <v>43297.0</v>
      </c>
      <c r="B929" s="11">
        <v>2888.0</v>
      </c>
      <c r="C929" s="12">
        <v>0.414</v>
      </c>
      <c r="D929" s="2">
        <v>0.0015625</v>
      </c>
      <c r="E929" s="12">
        <v>1.09</v>
      </c>
      <c r="F929" s="12">
        <v>3.96</v>
      </c>
      <c r="G929" s="11">
        <v>12497.0</v>
      </c>
      <c r="H929" s="11">
        <v>3152.0</v>
      </c>
    </row>
    <row r="930">
      <c r="A930" s="10">
        <v>43298.0</v>
      </c>
      <c r="B930" s="11">
        <v>2680.0</v>
      </c>
      <c r="C930" s="12">
        <v>0.4075</v>
      </c>
      <c r="D930" s="2">
        <v>0.0016203703703703703</v>
      </c>
      <c r="E930" s="12">
        <v>1.12</v>
      </c>
      <c r="F930" s="12">
        <v>4.56</v>
      </c>
      <c r="G930" s="11">
        <v>13677.0</v>
      </c>
      <c r="H930" s="11">
        <v>2999.0</v>
      </c>
    </row>
    <row r="931">
      <c r="A931" s="10">
        <v>43299.0</v>
      </c>
      <c r="B931" s="11">
        <v>2624.0</v>
      </c>
      <c r="C931" s="12">
        <v>0.4037</v>
      </c>
      <c r="D931" s="2">
        <v>0.002384259259259259</v>
      </c>
      <c r="E931" s="12">
        <v>1.1</v>
      </c>
      <c r="F931" s="12">
        <v>4.71</v>
      </c>
      <c r="G931" s="11">
        <v>13608.0</v>
      </c>
      <c r="H931" s="11">
        <v>2888.0</v>
      </c>
    </row>
    <row r="932">
      <c r="A932" s="10">
        <v>43300.0</v>
      </c>
      <c r="B932" s="11">
        <v>2347.0</v>
      </c>
      <c r="C932" s="12">
        <v>0.4124</v>
      </c>
      <c r="D932" s="2">
        <v>0.0016782407407407408</v>
      </c>
      <c r="E932" s="12">
        <v>1.15</v>
      </c>
      <c r="F932" s="12">
        <v>4.43</v>
      </c>
      <c r="G932" s="11">
        <v>11941.0</v>
      </c>
      <c r="H932" s="11">
        <v>2694.0</v>
      </c>
    </row>
    <row r="933">
      <c r="A933" s="10">
        <v>43301.0</v>
      </c>
      <c r="B933" s="11">
        <v>1999.0</v>
      </c>
      <c r="C933" s="12">
        <v>0.3532</v>
      </c>
      <c r="D933" s="2">
        <v>0.0019328703703703704</v>
      </c>
      <c r="E933" s="12">
        <v>1.16</v>
      </c>
      <c r="F933" s="12">
        <v>4.64</v>
      </c>
      <c r="G933" s="11">
        <v>10761.0</v>
      </c>
      <c r="H933" s="11">
        <v>2319.0</v>
      </c>
    </row>
    <row r="934">
      <c r="A934" s="10">
        <v>43302.0</v>
      </c>
      <c r="B934" s="11">
        <v>1402.0</v>
      </c>
      <c r="C934" s="12">
        <v>0.4997</v>
      </c>
      <c r="D934" s="2">
        <v>0.0014814814814814814</v>
      </c>
      <c r="E934" s="12">
        <v>1.13</v>
      </c>
      <c r="F934" s="12">
        <v>3.23</v>
      </c>
      <c r="G934" s="11">
        <v>5110.0</v>
      </c>
      <c r="H934" s="11">
        <v>1583.0</v>
      </c>
    </row>
    <row r="935">
      <c r="A935" s="10">
        <v>43303.0</v>
      </c>
      <c r="B935" s="11">
        <v>1597.0</v>
      </c>
      <c r="C935" s="12">
        <v>0.5234</v>
      </c>
      <c r="D935" s="2">
        <v>0.0014236111111111112</v>
      </c>
      <c r="E935" s="12">
        <v>1.1</v>
      </c>
      <c r="F935" s="12">
        <v>3.59</v>
      </c>
      <c r="G935" s="11">
        <v>6276.0</v>
      </c>
      <c r="H935" s="11">
        <v>1750.0</v>
      </c>
    </row>
    <row r="936">
      <c r="A936" s="10">
        <v>43304.0</v>
      </c>
      <c r="B936" s="11">
        <v>2583.0</v>
      </c>
      <c r="C936" s="12">
        <v>0.3895</v>
      </c>
      <c r="D936" s="2">
        <v>0.0021759259259259258</v>
      </c>
      <c r="E936" s="12">
        <v>1.12</v>
      </c>
      <c r="F936" s="12">
        <v>4.49</v>
      </c>
      <c r="G936" s="11">
        <v>12969.0</v>
      </c>
      <c r="H936" s="11">
        <v>2888.0</v>
      </c>
    </row>
    <row r="937">
      <c r="A937" s="10">
        <v>43305.0</v>
      </c>
      <c r="B937" s="11">
        <v>2472.0</v>
      </c>
      <c r="C937" s="12">
        <v>0.3551</v>
      </c>
      <c r="D937" s="2">
        <v>0.0020601851851851853</v>
      </c>
      <c r="E937" s="12">
        <v>1.12</v>
      </c>
      <c r="F937" s="12">
        <v>5.82</v>
      </c>
      <c r="G937" s="11">
        <v>16163.0</v>
      </c>
      <c r="H937" s="11">
        <v>2777.0</v>
      </c>
    </row>
    <row r="938">
      <c r="A938" s="10">
        <v>43306.0</v>
      </c>
      <c r="B938" s="11">
        <v>2305.0</v>
      </c>
      <c r="C938" s="12">
        <v>0.3761</v>
      </c>
      <c r="D938" s="2">
        <v>0.0017708333333333332</v>
      </c>
      <c r="E938" s="12">
        <v>1.22</v>
      </c>
      <c r="F938" s="12">
        <v>4.51</v>
      </c>
      <c r="G938" s="11">
        <v>12663.0</v>
      </c>
      <c r="H938" s="11">
        <v>2805.0</v>
      </c>
    </row>
    <row r="939">
      <c r="A939" s="10">
        <v>43307.0</v>
      </c>
      <c r="B939" s="11">
        <v>2652.0</v>
      </c>
      <c r="C939" s="12">
        <v>0.3972</v>
      </c>
      <c r="D939" s="2">
        <v>0.0021064814814814813</v>
      </c>
      <c r="E939" s="12">
        <v>1.12</v>
      </c>
      <c r="F939" s="12">
        <v>4.7</v>
      </c>
      <c r="G939" s="11">
        <v>13955.0</v>
      </c>
      <c r="H939" s="11">
        <v>2971.0</v>
      </c>
    </row>
    <row r="940">
      <c r="A940" s="10">
        <v>43308.0</v>
      </c>
      <c r="B940" s="11">
        <v>2263.0</v>
      </c>
      <c r="C940" s="12">
        <v>0.3729</v>
      </c>
      <c r="D940" s="2">
        <v>0.0022337962962962962</v>
      </c>
      <c r="E940" s="12">
        <v>1.14</v>
      </c>
      <c r="F940" s="12">
        <v>4.83</v>
      </c>
      <c r="G940" s="11">
        <v>12414.0</v>
      </c>
      <c r="H940" s="11">
        <v>2569.0</v>
      </c>
    </row>
    <row r="941">
      <c r="A941" s="10">
        <v>43309.0</v>
      </c>
      <c r="B941" s="11">
        <v>1375.0</v>
      </c>
      <c r="C941" s="12">
        <v>0.4491</v>
      </c>
      <c r="D941" s="2">
        <v>0.001875</v>
      </c>
      <c r="E941" s="12">
        <v>1.1</v>
      </c>
      <c r="F941" s="12">
        <v>4.13</v>
      </c>
      <c r="G941" s="11">
        <v>6248.0</v>
      </c>
      <c r="H941" s="11">
        <v>1514.0</v>
      </c>
    </row>
    <row r="942">
      <c r="A942" s="10">
        <v>43310.0</v>
      </c>
      <c r="B942" s="11">
        <v>1638.0</v>
      </c>
      <c r="C942" s="12">
        <v>0.4126</v>
      </c>
      <c r="D942" s="2">
        <v>0.001875</v>
      </c>
      <c r="E942" s="12">
        <v>1.07</v>
      </c>
      <c r="F942" s="12">
        <v>4.43</v>
      </c>
      <c r="G942" s="11">
        <v>7748.0</v>
      </c>
      <c r="H942" s="11">
        <v>1750.0</v>
      </c>
    </row>
    <row r="943">
      <c r="A943" s="10">
        <v>43311.0</v>
      </c>
      <c r="B943" s="11">
        <v>2583.0</v>
      </c>
      <c r="C943" s="12">
        <v>0.3877</v>
      </c>
      <c r="D943" s="2">
        <v>0.0024074074074074076</v>
      </c>
      <c r="E943" s="12">
        <v>1.15</v>
      </c>
      <c r="F943" s="12">
        <v>5.13</v>
      </c>
      <c r="G943" s="11">
        <v>15232.0</v>
      </c>
      <c r="H943" s="11">
        <v>2971.0</v>
      </c>
    </row>
    <row r="944">
      <c r="A944" s="10">
        <v>43312.0</v>
      </c>
      <c r="B944" s="11">
        <v>2513.0</v>
      </c>
      <c r="C944" s="12">
        <v>0.4678</v>
      </c>
      <c r="D944" s="2">
        <v>0.0017013888888888888</v>
      </c>
      <c r="E944" s="12">
        <v>1.2</v>
      </c>
      <c r="F944" s="12">
        <v>4.48</v>
      </c>
      <c r="G944" s="11">
        <v>13566.0</v>
      </c>
      <c r="H944" s="11">
        <v>3027.0</v>
      </c>
    </row>
    <row r="945">
      <c r="A945" s="10">
        <v>43313.0</v>
      </c>
      <c r="B945" s="11">
        <v>2291.0</v>
      </c>
      <c r="C945" s="12">
        <v>0.3979</v>
      </c>
      <c r="D945" s="2">
        <v>0.0030324074074074073</v>
      </c>
      <c r="E945" s="12">
        <v>1.19</v>
      </c>
      <c r="F945" s="12">
        <v>5.68</v>
      </c>
      <c r="G945" s="11">
        <v>15468.0</v>
      </c>
      <c r="H945" s="11">
        <v>2722.0</v>
      </c>
    </row>
    <row r="946">
      <c r="A946" s="10">
        <v>43314.0</v>
      </c>
      <c r="B946" s="11">
        <v>2541.0</v>
      </c>
      <c r="C946" s="12">
        <v>0.4854</v>
      </c>
      <c r="D946" s="2">
        <v>0.0012962962962962963</v>
      </c>
      <c r="E946" s="12">
        <v>1.11</v>
      </c>
      <c r="F946" s="12">
        <v>3.9</v>
      </c>
      <c r="G946" s="11">
        <v>11053.0</v>
      </c>
      <c r="H946" s="11">
        <v>2833.0</v>
      </c>
    </row>
    <row r="947">
      <c r="A947" s="10">
        <v>43315.0</v>
      </c>
      <c r="B947" s="11">
        <v>2527.0</v>
      </c>
      <c r="C947" s="12">
        <v>0.4922</v>
      </c>
      <c r="D947" s="2">
        <v>0.0017476851851851852</v>
      </c>
      <c r="E947" s="12">
        <v>1.06</v>
      </c>
      <c r="F947" s="12">
        <v>3.98</v>
      </c>
      <c r="G947" s="11">
        <v>10664.0</v>
      </c>
      <c r="H947" s="11">
        <v>2680.0</v>
      </c>
    </row>
    <row r="948">
      <c r="A948" s="10">
        <v>43316.0</v>
      </c>
      <c r="B948" s="11">
        <v>1500.0</v>
      </c>
      <c r="C948" s="12">
        <v>0.4493</v>
      </c>
      <c r="D948" s="2">
        <v>0.0015046296296296296</v>
      </c>
      <c r="E948" s="12">
        <v>1.09</v>
      </c>
      <c r="F948" s="12">
        <v>4.39</v>
      </c>
      <c r="G948" s="11">
        <v>7193.0</v>
      </c>
      <c r="H948" s="11">
        <v>1638.0</v>
      </c>
    </row>
    <row r="949">
      <c r="A949" s="10">
        <v>43317.0</v>
      </c>
      <c r="B949" s="11">
        <v>1527.0</v>
      </c>
      <c r="C949" s="12">
        <v>0.4046</v>
      </c>
      <c r="D949" s="2">
        <v>0.0017592592592592592</v>
      </c>
      <c r="E949" s="12">
        <v>1.15</v>
      </c>
      <c r="F949" s="12">
        <v>4.56</v>
      </c>
      <c r="G949" s="11">
        <v>7984.0</v>
      </c>
      <c r="H949" s="11">
        <v>1750.0</v>
      </c>
    </row>
    <row r="950">
      <c r="A950" s="10">
        <v>43318.0</v>
      </c>
      <c r="B950" s="11">
        <v>2638.0</v>
      </c>
      <c r="C950" s="12">
        <v>0.3428</v>
      </c>
      <c r="D950" s="2">
        <v>0.0018865740740740742</v>
      </c>
      <c r="E950" s="12">
        <v>1.12</v>
      </c>
      <c r="F950" s="12">
        <v>4.89</v>
      </c>
      <c r="G950" s="11">
        <v>14455.0</v>
      </c>
      <c r="H950" s="11">
        <v>2958.0</v>
      </c>
    </row>
    <row r="951">
      <c r="A951" s="10">
        <v>43319.0</v>
      </c>
      <c r="B951" s="11">
        <v>2555.0</v>
      </c>
      <c r="C951" s="12">
        <v>0.4273</v>
      </c>
      <c r="D951" s="2">
        <v>0.0016898148148148148</v>
      </c>
      <c r="E951" s="12">
        <v>1.12</v>
      </c>
      <c r="F951" s="12">
        <v>4.23</v>
      </c>
      <c r="G951" s="11">
        <v>12108.0</v>
      </c>
      <c r="H951" s="11">
        <v>2860.0</v>
      </c>
    </row>
    <row r="952">
      <c r="A952" s="10">
        <v>43320.0</v>
      </c>
      <c r="B952" s="11">
        <v>2597.0</v>
      </c>
      <c r="C952" s="12">
        <v>0.458</v>
      </c>
      <c r="D952" s="2">
        <v>0.001400462962962963</v>
      </c>
      <c r="E952" s="12">
        <v>1.09</v>
      </c>
      <c r="F952" s="12">
        <v>3.96</v>
      </c>
      <c r="G952" s="11">
        <v>11150.0</v>
      </c>
      <c r="H952" s="11">
        <v>2819.0</v>
      </c>
    </row>
    <row r="953">
      <c r="A953" s="10">
        <v>43321.0</v>
      </c>
      <c r="B953" s="11">
        <v>2527.0</v>
      </c>
      <c r="C953" s="12">
        <v>0.378</v>
      </c>
      <c r="D953" s="2">
        <v>0.0019328703703703704</v>
      </c>
      <c r="E953" s="12">
        <v>1.1</v>
      </c>
      <c r="F953" s="12">
        <v>4.94</v>
      </c>
      <c r="G953" s="11">
        <v>13788.0</v>
      </c>
      <c r="H953" s="11">
        <v>2791.0</v>
      </c>
    </row>
    <row r="954">
      <c r="A954" s="10">
        <v>43322.0</v>
      </c>
      <c r="B954" s="11">
        <v>2236.0</v>
      </c>
      <c r="C954" s="12">
        <v>0.4858</v>
      </c>
      <c r="D954" s="2">
        <v>0.0020833333333333333</v>
      </c>
      <c r="E954" s="12">
        <v>1.1</v>
      </c>
      <c r="F954" s="12">
        <v>4.51</v>
      </c>
      <c r="G954" s="11">
        <v>11081.0</v>
      </c>
      <c r="H954" s="11">
        <v>2458.0</v>
      </c>
    </row>
    <row r="955">
      <c r="A955" s="10">
        <v>43323.0</v>
      </c>
      <c r="B955" s="11">
        <v>1527.0</v>
      </c>
      <c r="C955" s="12">
        <v>0.4063</v>
      </c>
      <c r="D955" s="2">
        <v>0.0015046296296296296</v>
      </c>
      <c r="E955" s="12">
        <v>1.12</v>
      </c>
      <c r="F955" s="12">
        <v>4.18</v>
      </c>
      <c r="G955" s="11">
        <v>7137.0</v>
      </c>
      <c r="H955" s="11">
        <v>1708.0</v>
      </c>
    </row>
    <row r="956">
      <c r="A956" s="10">
        <v>43324.0</v>
      </c>
      <c r="B956" s="11">
        <v>1736.0</v>
      </c>
      <c r="C956" s="12">
        <v>0.4667</v>
      </c>
      <c r="D956" s="2">
        <v>0.001863425925925926</v>
      </c>
      <c r="E956" s="12">
        <v>1.08</v>
      </c>
      <c r="F956" s="12">
        <v>4.41</v>
      </c>
      <c r="G956" s="11">
        <v>8262.0</v>
      </c>
      <c r="H956" s="11">
        <v>1875.0</v>
      </c>
    </row>
    <row r="957">
      <c r="A957" s="10">
        <v>43325.0</v>
      </c>
      <c r="B957" s="11">
        <v>2472.0</v>
      </c>
      <c r="C957" s="12">
        <v>0.402</v>
      </c>
      <c r="D957" s="2">
        <v>0.0016666666666666668</v>
      </c>
      <c r="E957" s="12">
        <v>1.09</v>
      </c>
      <c r="F957" s="12">
        <v>4.31</v>
      </c>
      <c r="G957" s="11">
        <v>11608.0</v>
      </c>
      <c r="H957" s="11">
        <v>2694.0</v>
      </c>
    </row>
    <row r="958">
      <c r="A958" s="10">
        <v>43326.0</v>
      </c>
      <c r="B958" s="11">
        <v>2485.0</v>
      </c>
      <c r="C958" s="12">
        <v>0.3895</v>
      </c>
      <c r="D958" s="2">
        <v>0.0016666666666666668</v>
      </c>
      <c r="E958" s="12">
        <v>1.16</v>
      </c>
      <c r="F958" s="12">
        <v>4.75</v>
      </c>
      <c r="G958" s="11">
        <v>13705.0</v>
      </c>
      <c r="H958" s="11">
        <v>2888.0</v>
      </c>
    </row>
    <row r="959">
      <c r="A959" s="10">
        <v>43327.0</v>
      </c>
      <c r="B959" s="11">
        <v>2333.0</v>
      </c>
      <c r="C959" s="12">
        <v>0.3724</v>
      </c>
      <c r="D959" s="2">
        <v>0.0023263888888888887</v>
      </c>
      <c r="E959" s="12">
        <v>1.12</v>
      </c>
      <c r="F959" s="12">
        <v>5.09</v>
      </c>
      <c r="G959" s="11">
        <v>13288.0</v>
      </c>
      <c r="H959" s="11">
        <v>2610.0</v>
      </c>
    </row>
    <row r="960">
      <c r="A960" s="10">
        <v>43328.0</v>
      </c>
      <c r="B960" s="11">
        <v>2347.0</v>
      </c>
      <c r="C960" s="12">
        <v>0.3724</v>
      </c>
      <c r="D960" s="2">
        <v>0.002013888888888889</v>
      </c>
      <c r="E960" s="12">
        <v>1.11</v>
      </c>
      <c r="F960" s="12">
        <v>4.75</v>
      </c>
      <c r="G960" s="11">
        <v>12386.0</v>
      </c>
      <c r="H960" s="11">
        <v>2610.0</v>
      </c>
    </row>
    <row r="961">
      <c r="A961" s="10">
        <v>43329.0</v>
      </c>
      <c r="B961" s="11">
        <v>2027.0</v>
      </c>
      <c r="C961" s="12">
        <v>0.4048</v>
      </c>
      <c r="D961" s="2">
        <v>0.0017013888888888888</v>
      </c>
      <c r="E961" s="12">
        <v>1.12</v>
      </c>
      <c r="F961" s="12">
        <v>4.79</v>
      </c>
      <c r="G961" s="11">
        <v>10831.0</v>
      </c>
      <c r="H961" s="11">
        <v>2263.0</v>
      </c>
    </row>
    <row r="962">
      <c r="A962" s="10">
        <v>43330.0</v>
      </c>
      <c r="B962" s="11">
        <v>1375.0</v>
      </c>
      <c r="C962" s="12">
        <v>0.4036</v>
      </c>
      <c r="D962" s="2">
        <v>0.0016435185185185185</v>
      </c>
      <c r="E962" s="12">
        <v>1.1</v>
      </c>
      <c r="F962" s="12">
        <v>4.51</v>
      </c>
      <c r="G962" s="11">
        <v>6832.0</v>
      </c>
      <c r="H962" s="11">
        <v>1514.0</v>
      </c>
    </row>
    <row r="963">
      <c r="A963" s="10">
        <v>43331.0</v>
      </c>
      <c r="B963" s="11">
        <v>1486.0</v>
      </c>
      <c r="C963" s="12">
        <v>0.3868</v>
      </c>
      <c r="D963" s="2">
        <v>0.0016898148148148148</v>
      </c>
      <c r="E963" s="12">
        <v>1.11</v>
      </c>
      <c r="F963" s="12">
        <v>4.19</v>
      </c>
      <c r="G963" s="11">
        <v>6915.0</v>
      </c>
      <c r="H963" s="11">
        <v>1652.0</v>
      </c>
    </row>
    <row r="964">
      <c r="A964" s="10">
        <v>43332.0</v>
      </c>
      <c r="B964" s="11">
        <v>2333.0</v>
      </c>
      <c r="C964" s="12">
        <v>0.4096</v>
      </c>
      <c r="D964" s="2">
        <v>0.0016550925925925926</v>
      </c>
      <c r="E964" s="12">
        <v>1.12</v>
      </c>
      <c r="F964" s="12">
        <v>5.03</v>
      </c>
      <c r="G964" s="11">
        <v>13122.0</v>
      </c>
      <c r="H964" s="11">
        <v>2610.0</v>
      </c>
    </row>
    <row r="965">
      <c r="A965" s="10">
        <v>43333.0</v>
      </c>
      <c r="B965" s="11">
        <v>2319.0</v>
      </c>
      <c r="C965" s="12">
        <v>0.346</v>
      </c>
      <c r="D965" s="2">
        <v>0.0021527777777777778</v>
      </c>
      <c r="E965" s="12">
        <v>1.13</v>
      </c>
      <c r="F965" s="12">
        <v>4.81</v>
      </c>
      <c r="G965" s="11">
        <v>12566.0</v>
      </c>
      <c r="H965" s="11">
        <v>2610.0</v>
      </c>
    </row>
    <row r="966">
      <c r="A966" s="10">
        <v>43334.0</v>
      </c>
      <c r="B966" s="11">
        <v>2236.0</v>
      </c>
      <c r="C966" s="12">
        <v>0.446</v>
      </c>
      <c r="D966" s="2">
        <v>0.0013078703703703703</v>
      </c>
      <c r="E966" s="12">
        <v>1.16</v>
      </c>
      <c r="F966" s="12">
        <v>3.53</v>
      </c>
      <c r="G966" s="11">
        <v>9123.0</v>
      </c>
      <c r="H966" s="11">
        <v>2583.0</v>
      </c>
    </row>
    <row r="967">
      <c r="A967" s="10">
        <v>43335.0</v>
      </c>
      <c r="B967" s="11">
        <v>2208.0</v>
      </c>
      <c r="C967" s="12">
        <v>0.4355</v>
      </c>
      <c r="D967" s="2">
        <v>0.002037037037037037</v>
      </c>
      <c r="E967" s="12">
        <v>1.17</v>
      </c>
      <c r="F967" s="12">
        <v>5.12</v>
      </c>
      <c r="G967" s="11">
        <v>13233.0</v>
      </c>
      <c r="H967" s="11">
        <v>2583.0</v>
      </c>
    </row>
    <row r="968">
      <c r="A968" s="10">
        <v>43336.0</v>
      </c>
      <c r="B968" s="11">
        <v>2041.0</v>
      </c>
      <c r="C968" s="12">
        <v>0.4392</v>
      </c>
      <c r="D968" s="2">
        <v>0.0015972222222222223</v>
      </c>
      <c r="E968" s="12">
        <v>1.12</v>
      </c>
      <c r="F968" s="12">
        <v>4.18</v>
      </c>
      <c r="G968" s="11">
        <v>9525.0</v>
      </c>
      <c r="H968" s="11">
        <v>2277.0</v>
      </c>
    </row>
    <row r="969">
      <c r="A969" s="10">
        <v>43337.0</v>
      </c>
      <c r="B969" s="11">
        <v>1514.0</v>
      </c>
      <c r="C969" s="12">
        <v>0.4345</v>
      </c>
      <c r="D969" s="2">
        <v>0.0021527777777777778</v>
      </c>
      <c r="E969" s="12">
        <v>1.12</v>
      </c>
      <c r="F969" s="12">
        <v>4.38</v>
      </c>
      <c r="G969" s="11">
        <v>7415.0</v>
      </c>
      <c r="H969" s="11">
        <v>1694.0</v>
      </c>
    </row>
    <row r="970">
      <c r="A970" s="10">
        <v>43338.0</v>
      </c>
      <c r="B970" s="11">
        <v>1666.0</v>
      </c>
      <c r="C970" s="12">
        <v>0.453</v>
      </c>
      <c r="D970" s="2">
        <v>0.0011921296296296296</v>
      </c>
      <c r="E970" s="12">
        <v>1.07</v>
      </c>
      <c r="F970" s="12">
        <v>4.43</v>
      </c>
      <c r="G970" s="11">
        <v>7873.0</v>
      </c>
      <c r="H970" s="11">
        <v>1777.0</v>
      </c>
    </row>
    <row r="971">
      <c r="A971" s="10">
        <v>43339.0</v>
      </c>
      <c r="B971" s="11">
        <v>2361.0</v>
      </c>
      <c r="C971" s="12">
        <v>0.4341</v>
      </c>
      <c r="D971" s="2">
        <v>0.0015046296296296296</v>
      </c>
      <c r="E971" s="12">
        <v>1.11</v>
      </c>
      <c r="F971" s="12">
        <v>4.51</v>
      </c>
      <c r="G971" s="11">
        <v>11844.0</v>
      </c>
      <c r="H971" s="11">
        <v>2624.0</v>
      </c>
    </row>
    <row r="972">
      <c r="A972" s="10">
        <v>43340.0</v>
      </c>
      <c r="B972" s="11">
        <v>2416.0</v>
      </c>
      <c r="C972" s="12">
        <v>0.3979</v>
      </c>
      <c r="D972" s="2">
        <v>0.0015162037037037036</v>
      </c>
      <c r="E972" s="12">
        <v>1.13</v>
      </c>
      <c r="F972" s="12">
        <v>4.46</v>
      </c>
      <c r="G972" s="11">
        <v>12150.0</v>
      </c>
      <c r="H972" s="11">
        <v>2722.0</v>
      </c>
    </row>
    <row r="973">
      <c r="A973" s="10">
        <v>43341.0</v>
      </c>
      <c r="B973" s="11">
        <v>2485.0</v>
      </c>
      <c r="C973" s="12">
        <v>0.4366</v>
      </c>
      <c r="D973" s="2">
        <v>0.001736111111111111</v>
      </c>
      <c r="E973" s="12">
        <v>1.1</v>
      </c>
      <c r="F973" s="12">
        <v>4.32</v>
      </c>
      <c r="G973" s="11">
        <v>11803.0</v>
      </c>
      <c r="H973" s="11">
        <v>2735.0</v>
      </c>
    </row>
    <row r="974">
      <c r="A974" s="10">
        <v>43342.0</v>
      </c>
      <c r="B974" s="11">
        <v>2333.0</v>
      </c>
      <c r="C974" s="12">
        <v>0.3979</v>
      </c>
      <c r="D974" s="2">
        <v>0.0022685185185185187</v>
      </c>
      <c r="E974" s="12">
        <v>1.08</v>
      </c>
      <c r="F974" s="12">
        <v>5.17</v>
      </c>
      <c r="G974" s="11">
        <v>12983.0</v>
      </c>
      <c r="H974" s="11">
        <v>2513.0</v>
      </c>
    </row>
    <row r="975">
      <c r="A975" s="10">
        <v>43343.0</v>
      </c>
      <c r="B975" s="11">
        <v>1972.0</v>
      </c>
      <c r="C975" s="12">
        <v>0.4097</v>
      </c>
      <c r="D975" s="2">
        <v>0.002349537037037037</v>
      </c>
      <c r="E975" s="12">
        <v>1.13</v>
      </c>
      <c r="F975" s="12">
        <v>5.11</v>
      </c>
      <c r="G975" s="11">
        <v>11428.0</v>
      </c>
      <c r="H975" s="11">
        <v>2236.0</v>
      </c>
    </row>
    <row r="976">
      <c r="A976" s="10">
        <v>43344.0</v>
      </c>
      <c r="B976" s="11">
        <v>1361.0</v>
      </c>
      <c r="C976" s="12">
        <v>0.467</v>
      </c>
      <c r="D976" s="2">
        <v>0.0020601851851851853</v>
      </c>
      <c r="E976" s="12">
        <v>1.09</v>
      </c>
      <c r="F976" s="12">
        <v>5.35</v>
      </c>
      <c r="G976" s="11">
        <v>7956.0</v>
      </c>
      <c r="H976" s="11">
        <v>1486.0</v>
      </c>
    </row>
    <row r="977">
      <c r="A977" s="10">
        <v>43345.0</v>
      </c>
      <c r="B977" s="11">
        <v>1430.0</v>
      </c>
      <c r="C977" s="12">
        <v>0.4473</v>
      </c>
      <c r="D977" s="2">
        <v>0.0017824074074074075</v>
      </c>
      <c r="E977" s="12">
        <v>1.11</v>
      </c>
      <c r="F977" s="12">
        <v>4.99</v>
      </c>
      <c r="G977" s="11">
        <v>7901.0</v>
      </c>
      <c r="H977" s="11">
        <v>1583.0</v>
      </c>
    </row>
    <row r="978">
      <c r="A978" s="10">
        <v>43346.0</v>
      </c>
      <c r="B978" s="11">
        <v>1763.0</v>
      </c>
      <c r="C978" s="12">
        <v>0.4678</v>
      </c>
      <c r="D978" s="2">
        <v>0.001712962962962963</v>
      </c>
      <c r="E978" s="12">
        <v>1.11</v>
      </c>
      <c r="F978" s="12">
        <v>4.91</v>
      </c>
      <c r="G978" s="11">
        <v>9623.0</v>
      </c>
      <c r="H978" s="11">
        <v>1958.0</v>
      </c>
    </row>
    <row r="979">
      <c r="A979" s="10">
        <v>43347.0</v>
      </c>
      <c r="B979" s="11">
        <v>2333.0</v>
      </c>
      <c r="C979" s="12">
        <v>0.4096</v>
      </c>
      <c r="D979" s="2">
        <v>0.0019560185185185184</v>
      </c>
      <c r="E979" s="12">
        <v>1.12</v>
      </c>
      <c r="F979" s="12">
        <v>4.27</v>
      </c>
      <c r="G979" s="11">
        <v>11150.0</v>
      </c>
      <c r="H979" s="11">
        <v>2610.0</v>
      </c>
    </row>
    <row r="980">
      <c r="A980" s="10">
        <v>43348.0</v>
      </c>
      <c r="B980" s="11">
        <v>2472.0</v>
      </c>
      <c r="C980" s="12">
        <v>0.5072</v>
      </c>
      <c r="D980" s="2">
        <v>0.0013541666666666667</v>
      </c>
      <c r="E980" s="12">
        <v>1.15</v>
      </c>
      <c r="F980" s="12">
        <v>4.14</v>
      </c>
      <c r="G980" s="11">
        <v>11775.0</v>
      </c>
      <c r="H980" s="11">
        <v>2847.0</v>
      </c>
    </row>
    <row r="981">
      <c r="A981" s="10">
        <v>43349.0</v>
      </c>
      <c r="B981" s="11">
        <v>2444.0</v>
      </c>
      <c r="C981" s="12">
        <v>0.4143</v>
      </c>
      <c r="D981" s="2">
        <v>0.002025462962962963</v>
      </c>
      <c r="E981" s="12">
        <v>1.12</v>
      </c>
      <c r="F981" s="12">
        <v>4.7</v>
      </c>
      <c r="G981" s="11">
        <v>12927.0</v>
      </c>
      <c r="H981" s="11">
        <v>2749.0</v>
      </c>
    </row>
    <row r="982">
      <c r="A982" s="10">
        <v>43350.0</v>
      </c>
      <c r="B982" s="11">
        <v>2055.0</v>
      </c>
      <c r="C982" s="12">
        <v>0.433</v>
      </c>
      <c r="D982" s="2">
        <v>0.0020601851851851853</v>
      </c>
      <c r="E982" s="12">
        <v>1.16</v>
      </c>
      <c r="F982" s="12">
        <v>6.28</v>
      </c>
      <c r="G982" s="11">
        <v>14899.0</v>
      </c>
      <c r="H982" s="11">
        <v>2374.0</v>
      </c>
    </row>
    <row r="983">
      <c r="A983" s="10">
        <v>43351.0</v>
      </c>
      <c r="B983" s="11">
        <v>1347.0</v>
      </c>
      <c r="C983" s="12">
        <v>0.5048</v>
      </c>
      <c r="D983" s="2">
        <v>0.0018171296296296297</v>
      </c>
      <c r="E983" s="12">
        <v>1.08</v>
      </c>
      <c r="F983" s="12">
        <v>4.59</v>
      </c>
      <c r="G983" s="11">
        <v>6693.0</v>
      </c>
      <c r="H983" s="11">
        <v>1458.0</v>
      </c>
    </row>
    <row r="984">
      <c r="A984" s="10">
        <v>43352.0</v>
      </c>
      <c r="B984" s="11">
        <v>1416.0</v>
      </c>
      <c r="C984" s="12">
        <v>0.4615</v>
      </c>
      <c r="D984" s="2">
        <v>0.0021875</v>
      </c>
      <c r="E984" s="12">
        <v>1.15</v>
      </c>
      <c r="F984" s="12">
        <v>5.67</v>
      </c>
      <c r="G984" s="11">
        <v>9220.0</v>
      </c>
      <c r="H984" s="11">
        <v>1625.0</v>
      </c>
    </row>
    <row r="985">
      <c r="A985" s="10">
        <v>43353.0</v>
      </c>
      <c r="B985" s="11">
        <v>2236.0</v>
      </c>
      <c r="C985" s="12">
        <v>0.3608</v>
      </c>
      <c r="D985" s="2">
        <v>0.001712962962962963</v>
      </c>
      <c r="E985" s="12">
        <v>1.2</v>
      </c>
      <c r="F985" s="12">
        <v>4.93</v>
      </c>
      <c r="G985" s="11">
        <v>13288.0</v>
      </c>
      <c r="H985" s="11">
        <v>2694.0</v>
      </c>
    </row>
    <row r="986">
      <c r="A986" s="10">
        <v>43354.0</v>
      </c>
      <c r="B986" s="11">
        <v>2319.0</v>
      </c>
      <c r="C986" s="12">
        <v>0.3844</v>
      </c>
      <c r="D986" s="2">
        <v>0.0016782407407407408</v>
      </c>
      <c r="E986" s="12">
        <v>1.17</v>
      </c>
      <c r="F986" s="12">
        <v>4.71</v>
      </c>
      <c r="G986" s="11">
        <v>12761.0</v>
      </c>
      <c r="H986" s="11">
        <v>2708.0</v>
      </c>
    </row>
    <row r="987">
      <c r="A987" s="10">
        <v>43355.0</v>
      </c>
      <c r="B987" s="11">
        <v>2249.0</v>
      </c>
      <c r="C987" s="12">
        <v>0.439</v>
      </c>
      <c r="D987" s="2">
        <v>0.0023263888888888887</v>
      </c>
      <c r="E987" s="12">
        <v>1.11</v>
      </c>
      <c r="F987" s="12">
        <v>4.63</v>
      </c>
      <c r="G987" s="11">
        <v>11580.0</v>
      </c>
      <c r="H987" s="11">
        <v>2499.0</v>
      </c>
    </row>
    <row r="988">
      <c r="A988" s="10">
        <v>43356.0</v>
      </c>
      <c r="B988" s="11">
        <v>2347.0</v>
      </c>
      <c r="C988" s="12">
        <v>0.4817</v>
      </c>
      <c r="D988" s="2">
        <v>0.0016203703703703703</v>
      </c>
      <c r="E988" s="12">
        <v>1.14</v>
      </c>
      <c r="F988" s="12">
        <v>3.9</v>
      </c>
      <c r="G988" s="11">
        <v>10456.0</v>
      </c>
      <c r="H988" s="11">
        <v>2680.0</v>
      </c>
    </row>
    <row r="989">
      <c r="A989" s="10">
        <v>43357.0</v>
      </c>
      <c r="B989" s="11">
        <v>2152.0</v>
      </c>
      <c r="C989" s="12">
        <v>0.3762</v>
      </c>
      <c r="D989" s="2">
        <v>0.0023032407407407407</v>
      </c>
      <c r="E989" s="12">
        <v>1.15</v>
      </c>
      <c r="F989" s="12">
        <v>5.24</v>
      </c>
      <c r="G989" s="11">
        <v>12955.0</v>
      </c>
      <c r="H989" s="11">
        <v>2472.0</v>
      </c>
    </row>
    <row r="990">
      <c r="A990" s="10">
        <v>43358.0</v>
      </c>
      <c r="B990" s="11">
        <v>1583.0</v>
      </c>
      <c r="C990" s="12">
        <v>0.4756</v>
      </c>
      <c r="D990" s="2">
        <v>0.0020833333333333333</v>
      </c>
      <c r="E990" s="12">
        <v>1.09</v>
      </c>
      <c r="F990" s="12">
        <v>5.31</v>
      </c>
      <c r="G990" s="11">
        <v>9150.0</v>
      </c>
      <c r="H990" s="11">
        <v>1722.0</v>
      </c>
    </row>
    <row r="991">
      <c r="A991" s="10">
        <v>43359.0</v>
      </c>
      <c r="B991" s="11">
        <v>1569.0</v>
      </c>
      <c r="C991" s="12">
        <v>0.4495</v>
      </c>
      <c r="D991" s="2">
        <v>0.002372685185185185</v>
      </c>
      <c r="E991" s="12">
        <v>1.14</v>
      </c>
      <c r="F991" s="12">
        <v>5.71</v>
      </c>
      <c r="G991" s="11">
        <v>10220.0</v>
      </c>
      <c r="H991" s="11">
        <v>1791.0</v>
      </c>
    </row>
    <row r="992">
      <c r="A992" s="10">
        <v>43360.0</v>
      </c>
      <c r="B992" s="11">
        <v>2361.0</v>
      </c>
      <c r="C992" s="12">
        <v>0.5078</v>
      </c>
      <c r="D992" s="2">
        <v>0.0013541666666666667</v>
      </c>
      <c r="E992" s="12">
        <v>1.14</v>
      </c>
      <c r="F992" s="12">
        <v>3.0</v>
      </c>
      <c r="G992" s="11">
        <v>8040.0</v>
      </c>
      <c r="H992" s="11">
        <v>2680.0</v>
      </c>
    </row>
    <row r="993">
      <c r="A993" s="10">
        <v>43361.0</v>
      </c>
      <c r="B993" s="11">
        <v>2485.0</v>
      </c>
      <c r="C993" s="12">
        <v>0.4649</v>
      </c>
      <c r="D993" s="2">
        <v>0.0014351851851851852</v>
      </c>
      <c r="E993" s="12">
        <v>1.12</v>
      </c>
      <c r="F993" s="12">
        <v>3.42</v>
      </c>
      <c r="G993" s="11">
        <v>9484.0</v>
      </c>
      <c r="H993" s="11">
        <v>2777.0</v>
      </c>
    </row>
    <row r="994">
      <c r="A994" s="10">
        <v>43362.0</v>
      </c>
      <c r="B994" s="11">
        <v>2583.0</v>
      </c>
      <c r="C994" s="12">
        <v>0.44</v>
      </c>
      <c r="D994" s="2">
        <v>0.0016087962962962963</v>
      </c>
      <c r="E994" s="12">
        <v>1.12</v>
      </c>
      <c r="F994" s="12">
        <v>3.82</v>
      </c>
      <c r="G994" s="11">
        <v>11081.0</v>
      </c>
      <c r="H994" s="11">
        <v>2902.0</v>
      </c>
    </row>
    <row r="995">
      <c r="A995" s="10">
        <v>43363.0</v>
      </c>
      <c r="B995" s="11">
        <v>2305.0</v>
      </c>
      <c r="C995" s="12">
        <v>0.3796</v>
      </c>
      <c r="D995" s="2">
        <v>0.0022569444444444442</v>
      </c>
      <c r="E995" s="12">
        <v>1.17</v>
      </c>
      <c r="F995" s="12">
        <v>4.98</v>
      </c>
      <c r="G995" s="11">
        <v>13483.0</v>
      </c>
      <c r="H995" s="11">
        <v>2708.0</v>
      </c>
    </row>
    <row r="996">
      <c r="A996" s="10">
        <v>43364.0</v>
      </c>
      <c r="B996" s="11">
        <v>2027.0</v>
      </c>
      <c r="C996" s="12">
        <v>0.4446</v>
      </c>
      <c r="D996" s="2">
        <v>0.0022222222222222222</v>
      </c>
      <c r="E996" s="12">
        <v>1.11</v>
      </c>
      <c r="F996" s="12">
        <v>4.82</v>
      </c>
      <c r="G996" s="11">
        <v>10844.0</v>
      </c>
      <c r="H996" s="11">
        <v>2249.0</v>
      </c>
    </row>
    <row r="997">
      <c r="A997" s="10">
        <v>43365.0</v>
      </c>
      <c r="B997" s="11">
        <v>1555.0</v>
      </c>
      <c r="C997" s="12">
        <v>0.5</v>
      </c>
      <c r="D997" s="2">
        <v>0.0015046296296296296</v>
      </c>
      <c r="E997" s="12">
        <v>1.11</v>
      </c>
      <c r="F997" s="12">
        <v>3.91</v>
      </c>
      <c r="G997" s="11">
        <v>6734.0</v>
      </c>
      <c r="H997" s="11">
        <v>1722.0</v>
      </c>
    </row>
    <row r="998">
      <c r="A998" s="10">
        <v>43366.0</v>
      </c>
      <c r="B998" s="11">
        <v>1666.0</v>
      </c>
      <c r="C998" s="12">
        <v>0.3651</v>
      </c>
      <c r="D998" s="2">
        <v>0.001736111111111111</v>
      </c>
      <c r="E998" s="12">
        <v>1.05</v>
      </c>
      <c r="F998" s="12">
        <v>4.77</v>
      </c>
      <c r="G998" s="11">
        <v>8345.0</v>
      </c>
      <c r="H998" s="11">
        <v>1750.0</v>
      </c>
    </row>
    <row r="999">
      <c r="A999" s="10">
        <v>43367.0</v>
      </c>
      <c r="B999" s="11">
        <v>2430.0</v>
      </c>
      <c r="C999" s="12">
        <v>0.4124</v>
      </c>
      <c r="D999" s="2">
        <v>0.0017592592592592592</v>
      </c>
      <c r="E999" s="12">
        <v>1.11</v>
      </c>
      <c r="F999" s="12">
        <v>4.28</v>
      </c>
      <c r="G999" s="11">
        <v>11525.0</v>
      </c>
      <c r="H999" s="11">
        <v>2694.0</v>
      </c>
    </row>
    <row r="1000">
      <c r="A1000" s="10">
        <v>43368.0</v>
      </c>
      <c r="B1000" s="11">
        <v>2499.0</v>
      </c>
      <c r="C1000" s="12">
        <v>0.4484</v>
      </c>
      <c r="D1000" s="2">
        <v>0.0015625</v>
      </c>
      <c r="E1000" s="12">
        <v>1.13</v>
      </c>
      <c r="F1000" s="12">
        <v>4.12</v>
      </c>
      <c r="G1000" s="11">
        <v>11622.0</v>
      </c>
      <c r="H1000" s="11">
        <v>2819.0</v>
      </c>
    </row>
    <row r="1001">
      <c r="A1001" s="10">
        <v>43369.0</v>
      </c>
      <c r="B1001" s="11">
        <v>2374.0</v>
      </c>
      <c r="C1001" s="12">
        <v>0.3823</v>
      </c>
      <c r="D1001" s="2">
        <v>0.0026157407407407405</v>
      </c>
      <c r="E1001" s="12">
        <v>1.19</v>
      </c>
      <c r="F1001" s="12">
        <v>5.0</v>
      </c>
      <c r="G1001" s="11">
        <v>14177.0</v>
      </c>
      <c r="H1001" s="11">
        <v>2833.0</v>
      </c>
    </row>
    <row r="1002">
      <c r="A1002" s="10">
        <v>43370.0</v>
      </c>
      <c r="B1002" s="11">
        <v>2722.0</v>
      </c>
      <c r="C1002" s="12">
        <v>0.4475</v>
      </c>
      <c r="D1002" s="2">
        <v>0.0016550925925925926</v>
      </c>
      <c r="E1002" s="12">
        <v>1.07</v>
      </c>
      <c r="F1002" s="12">
        <v>4.07</v>
      </c>
      <c r="G1002" s="11">
        <v>11872.0</v>
      </c>
      <c r="H1002" s="11">
        <v>2916.0</v>
      </c>
    </row>
    <row r="1003">
      <c r="A1003" s="10">
        <v>43371.0</v>
      </c>
      <c r="B1003" s="11">
        <v>2291.0</v>
      </c>
      <c r="C1003" s="12">
        <v>0.3701</v>
      </c>
      <c r="D1003" s="2">
        <v>0.0025</v>
      </c>
      <c r="E1003" s="12">
        <v>1.1</v>
      </c>
      <c r="F1003" s="12">
        <v>5.44</v>
      </c>
      <c r="G1003" s="11">
        <v>13663.0</v>
      </c>
      <c r="H1003" s="11">
        <v>2513.0</v>
      </c>
    </row>
    <row r="1004">
      <c r="A1004" s="10">
        <v>43372.0</v>
      </c>
      <c r="B1004" s="11">
        <v>1486.0</v>
      </c>
      <c r="C1004" s="12">
        <v>0.5171</v>
      </c>
      <c r="D1004" s="2">
        <v>0.002025462962962963</v>
      </c>
      <c r="E1004" s="12">
        <v>1.1</v>
      </c>
      <c r="F1004" s="12">
        <v>4.09</v>
      </c>
      <c r="G1004" s="11">
        <v>6707.0</v>
      </c>
      <c r="H1004" s="11">
        <v>1638.0</v>
      </c>
    </row>
    <row r="1005">
      <c r="A1005" s="10">
        <v>43373.0</v>
      </c>
      <c r="B1005" s="11">
        <v>1514.0</v>
      </c>
      <c r="C1005" s="12">
        <v>0.4566</v>
      </c>
      <c r="D1005" s="2">
        <v>0.002013888888888889</v>
      </c>
      <c r="E1005" s="12">
        <v>1.16</v>
      </c>
      <c r="F1005" s="12">
        <v>5.33</v>
      </c>
      <c r="G1005" s="11">
        <v>9400.0</v>
      </c>
      <c r="H1005" s="11">
        <v>1763.0</v>
      </c>
    </row>
    <row r="1006">
      <c r="A1006" s="10">
        <v>43374.0</v>
      </c>
      <c r="B1006" s="11">
        <v>2291.0</v>
      </c>
      <c r="C1006" s="12">
        <v>0.3989</v>
      </c>
      <c r="D1006" s="2">
        <v>0.0018865740740740742</v>
      </c>
      <c r="E1006" s="12">
        <v>1.14</v>
      </c>
      <c r="F1006" s="12">
        <v>4.11</v>
      </c>
      <c r="G1006" s="11">
        <v>10733.0</v>
      </c>
      <c r="H1006" s="11">
        <v>2610.0</v>
      </c>
    </row>
    <row r="1007">
      <c r="A1007" s="10">
        <v>43375.0</v>
      </c>
      <c r="B1007" s="11">
        <v>2347.0</v>
      </c>
      <c r="C1007" s="12">
        <v>0.4066</v>
      </c>
      <c r="D1007" s="2">
        <v>0.0024537037037037036</v>
      </c>
      <c r="E1007" s="12">
        <v>1.21</v>
      </c>
      <c r="F1007" s="12">
        <v>5.34</v>
      </c>
      <c r="G1007" s="11">
        <v>15135.0</v>
      </c>
      <c r="H1007" s="11">
        <v>2833.0</v>
      </c>
    </row>
    <row r="1008">
      <c r="A1008" s="10">
        <v>43376.0</v>
      </c>
      <c r="B1008" s="11">
        <v>2472.0</v>
      </c>
      <c r="C1008" s="12">
        <v>0.4371</v>
      </c>
      <c r="D1008" s="2">
        <v>0.0019212962962962964</v>
      </c>
      <c r="E1008" s="12">
        <v>1.16</v>
      </c>
      <c r="F1008" s="12">
        <v>4.36</v>
      </c>
      <c r="G1008" s="11">
        <v>12483.0</v>
      </c>
      <c r="H1008" s="11">
        <v>2860.0</v>
      </c>
    </row>
    <row r="1009">
      <c r="A1009" s="10">
        <v>43377.0</v>
      </c>
      <c r="B1009" s="11">
        <v>2402.0</v>
      </c>
      <c r="C1009" s="12">
        <v>0.4276</v>
      </c>
      <c r="D1009" s="2">
        <v>0.0025462962962962965</v>
      </c>
      <c r="E1009" s="12">
        <v>1.12</v>
      </c>
      <c r="F1009" s="12">
        <v>4.8</v>
      </c>
      <c r="G1009" s="11">
        <v>12927.0</v>
      </c>
      <c r="H1009" s="11">
        <v>2694.0</v>
      </c>
    </row>
    <row r="1010">
      <c r="A1010" s="10">
        <v>43378.0</v>
      </c>
      <c r="B1010" s="11">
        <v>2013.0</v>
      </c>
      <c r="C1010" s="12">
        <v>0.45</v>
      </c>
      <c r="D1010" s="2">
        <v>0.001712962962962963</v>
      </c>
      <c r="E1010" s="12">
        <v>1.1</v>
      </c>
      <c r="F1010" s="12">
        <v>4.24</v>
      </c>
      <c r="G1010" s="11">
        <v>9428.0</v>
      </c>
      <c r="H1010" s="11">
        <v>2222.0</v>
      </c>
    </row>
    <row r="1011">
      <c r="A1011" s="10">
        <v>43379.0</v>
      </c>
      <c r="B1011" s="11">
        <v>1430.0</v>
      </c>
      <c r="C1011" s="12">
        <v>0.4784</v>
      </c>
      <c r="D1011" s="2">
        <v>0.0017708333333333332</v>
      </c>
      <c r="E1011" s="12">
        <v>1.12</v>
      </c>
      <c r="F1011" s="12">
        <v>3.92</v>
      </c>
      <c r="G1011" s="11">
        <v>6262.0</v>
      </c>
      <c r="H1011" s="11">
        <v>1597.0</v>
      </c>
    </row>
    <row r="1012">
      <c r="A1012" s="10">
        <v>43380.0</v>
      </c>
      <c r="B1012" s="11">
        <v>1514.0</v>
      </c>
      <c r="C1012" s="12">
        <v>0.5</v>
      </c>
      <c r="D1012" s="2">
        <v>0.0017013888888888888</v>
      </c>
      <c r="E1012" s="12">
        <v>1.12</v>
      </c>
      <c r="F1012" s="12">
        <v>3.74</v>
      </c>
      <c r="G1012" s="11">
        <v>6332.0</v>
      </c>
      <c r="H1012" s="11">
        <v>1694.0</v>
      </c>
    </row>
    <row r="1013">
      <c r="A1013" s="10">
        <v>43381.0</v>
      </c>
      <c r="B1013" s="11">
        <v>2472.0</v>
      </c>
      <c r="C1013" s="12">
        <v>0.4584</v>
      </c>
      <c r="D1013" s="2">
        <v>0.0017939814814814815</v>
      </c>
      <c r="E1013" s="12">
        <v>1.15</v>
      </c>
      <c r="F1013" s="12">
        <v>4.12</v>
      </c>
      <c r="G1013" s="11">
        <v>11733.0</v>
      </c>
      <c r="H1013" s="11">
        <v>2847.0</v>
      </c>
    </row>
    <row r="1014">
      <c r="A1014" s="10">
        <v>43382.0</v>
      </c>
      <c r="B1014" s="11">
        <v>3485.0</v>
      </c>
      <c r="C1014" s="12">
        <v>0.4253</v>
      </c>
      <c r="D1014" s="2">
        <v>0.0015046296296296296</v>
      </c>
      <c r="E1014" s="12">
        <v>1.17</v>
      </c>
      <c r="F1014" s="12">
        <v>3.9</v>
      </c>
      <c r="G1014" s="11">
        <v>15913.0</v>
      </c>
      <c r="H1014" s="11">
        <v>4082.0</v>
      </c>
    </row>
    <row r="1015">
      <c r="A1015" s="10">
        <v>43383.0</v>
      </c>
      <c r="B1015" s="11">
        <v>3027.0</v>
      </c>
      <c r="C1015" s="12">
        <v>0.5063</v>
      </c>
      <c r="D1015" s="2">
        <v>0.0019097222222222222</v>
      </c>
      <c r="E1015" s="12">
        <v>1.11</v>
      </c>
      <c r="F1015" s="12">
        <v>4.34</v>
      </c>
      <c r="G1015" s="11">
        <v>14538.0</v>
      </c>
      <c r="H1015" s="11">
        <v>3346.0</v>
      </c>
    </row>
    <row r="1016">
      <c r="A1016" s="10">
        <v>43384.0</v>
      </c>
      <c r="B1016" s="11">
        <v>2694.0</v>
      </c>
      <c r="C1016" s="12">
        <v>0.3912</v>
      </c>
      <c r="D1016" s="2">
        <v>0.002210648148148148</v>
      </c>
      <c r="E1016" s="12">
        <v>1.16</v>
      </c>
      <c r="F1016" s="12">
        <v>4.77</v>
      </c>
      <c r="G1016" s="11">
        <v>14913.0</v>
      </c>
      <c r="H1016" s="11">
        <v>3124.0</v>
      </c>
    </row>
    <row r="1017">
      <c r="A1017" s="10">
        <v>43385.0</v>
      </c>
      <c r="B1017" s="11">
        <v>2416.0</v>
      </c>
      <c r="C1017" s="12">
        <v>0.4575</v>
      </c>
      <c r="D1017" s="2">
        <v>0.001875</v>
      </c>
      <c r="E1017" s="12">
        <v>1.08</v>
      </c>
      <c r="F1017" s="12">
        <v>3.75</v>
      </c>
      <c r="G1017" s="11">
        <v>9775.0</v>
      </c>
      <c r="H1017" s="11">
        <v>2610.0</v>
      </c>
    </row>
    <row r="1018">
      <c r="A1018" s="10">
        <v>43386.0</v>
      </c>
      <c r="B1018" s="11">
        <v>1652.0</v>
      </c>
      <c r="C1018" s="12">
        <v>0.4612</v>
      </c>
      <c r="D1018" s="2">
        <v>0.0019444444444444444</v>
      </c>
      <c r="E1018" s="12">
        <v>1.19</v>
      </c>
      <c r="F1018" s="12">
        <v>3.8</v>
      </c>
      <c r="G1018" s="11">
        <v>7443.0</v>
      </c>
      <c r="H1018" s="11">
        <v>1958.0</v>
      </c>
    </row>
    <row r="1019">
      <c r="A1019" s="10">
        <v>43387.0</v>
      </c>
      <c r="B1019" s="11">
        <v>1736.0</v>
      </c>
      <c r="C1019" s="12">
        <v>0.4145</v>
      </c>
      <c r="D1019" s="2">
        <v>0.0016435185185185185</v>
      </c>
      <c r="E1019" s="12">
        <v>1.22</v>
      </c>
      <c r="F1019" s="12">
        <v>4.71</v>
      </c>
      <c r="G1019" s="11">
        <v>9942.0</v>
      </c>
      <c r="H1019" s="11">
        <v>2111.0</v>
      </c>
    </row>
    <row r="1020">
      <c r="A1020" s="10">
        <v>43388.0</v>
      </c>
      <c r="B1020" s="11">
        <v>3013.0</v>
      </c>
      <c r="C1020" s="12">
        <v>0.3685</v>
      </c>
      <c r="D1020" s="2">
        <v>0.002638888888888889</v>
      </c>
      <c r="E1020" s="12">
        <v>1.14</v>
      </c>
      <c r="F1020" s="12">
        <v>5.06</v>
      </c>
      <c r="G1020" s="11">
        <v>17343.0</v>
      </c>
      <c r="H1020" s="11">
        <v>3430.0</v>
      </c>
    </row>
    <row r="1021">
      <c r="A1021" s="10">
        <v>43389.0</v>
      </c>
      <c r="B1021" s="11">
        <v>2958.0</v>
      </c>
      <c r="C1021" s="12">
        <v>0.4203</v>
      </c>
      <c r="D1021" s="2">
        <v>0.0023148148148148147</v>
      </c>
      <c r="E1021" s="12">
        <v>1.15</v>
      </c>
      <c r="F1021" s="12">
        <v>5.0</v>
      </c>
      <c r="G1021" s="11">
        <v>17010.0</v>
      </c>
      <c r="H1021" s="11">
        <v>3402.0</v>
      </c>
    </row>
    <row r="1022">
      <c r="A1022" s="10">
        <v>43390.0</v>
      </c>
      <c r="B1022" s="11">
        <v>2347.0</v>
      </c>
      <c r="C1022" s="12">
        <v>0.4802</v>
      </c>
      <c r="D1022" s="2">
        <v>0.0013425925925925925</v>
      </c>
      <c r="E1022" s="12">
        <v>1.2</v>
      </c>
      <c r="F1022" s="12">
        <v>3.52</v>
      </c>
      <c r="G1022" s="11">
        <v>9873.0</v>
      </c>
      <c r="H1022" s="11">
        <v>2805.0</v>
      </c>
    </row>
    <row r="1023">
      <c r="A1023" s="10">
        <v>43391.0</v>
      </c>
      <c r="B1023" s="11">
        <v>2458.0</v>
      </c>
      <c r="C1023" s="12">
        <v>0.3726</v>
      </c>
      <c r="D1023" s="2">
        <v>0.0022337962962962962</v>
      </c>
      <c r="E1023" s="12">
        <v>1.2</v>
      </c>
      <c r="F1023" s="12">
        <v>4.82</v>
      </c>
      <c r="G1023" s="11">
        <v>14191.0</v>
      </c>
      <c r="H1023" s="11">
        <v>2944.0</v>
      </c>
    </row>
    <row r="1024">
      <c r="A1024" s="10">
        <v>43392.0</v>
      </c>
      <c r="B1024" s="11">
        <v>2416.0</v>
      </c>
      <c r="C1024" s="12">
        <v>0.4184</v>
      </c>
      <c r="D1024" s="2">
        <v>0.00125</v>
      </c>
      <c r="E1024" s="12">
        <v>1.13</v>
      </c>
      <c r="F1024" s="12">
        <v>4.45</v>
      </c>
      <c r="G1024" s="11">
        <v>12108.0</v>
      </c>
      <c r="H1024" s="11">
        <v>2722.0</v>
      </c>
    </row>
    <row r="1025">
      <c r="A1025" s="10">
        <v>43393.0</v>
      </c>
      <c r="B1025" s="11">
        <v>1514.0</v>
      </c>
      <c r="C1025" s="12">
        <v>0.4502</v>
      </c>
      <c r="D1025" s="2">
        <v>0.002372685185185185</v>
      </c>
      <c r="E1025" s="12">
        <v>1.1</v>
      </c>
      <c r="F1025" s="12">
        <v>4.22</v>
      </c>
      <c r="G1025" s="11">
        <v>7026.0</v>
      </c>
      <c r="H1025" s="11">
        <v>1666.0</v>
      </c>
    </row>
    <row r="1026">
      <c r="A1026" s="10">
        <v>43394.0</v>
      </c>
      <c r="B1026" s="11">
        <v>1569.0</v>
      </c>
      <c r="C1026" s="12">
        <v>0.3984</v>
      </c>
      <c r="D1026" s="2">
        <v>0.0027083333333333334</v>
      </c>
      <c r="E1026" s="12">
        <v>1.13</v>
      </c>
      <c r="F1026" s="12">
        <v>5.8</v>
      </c>
      <c r="G1026" s="11">
        <v>10303.0</v>
      </c>
      <c r="H1026" s="11">
        <v>1777.0</v>
      </c>
    </row>
    <row r="1027">
      <c r="A1027" s="10">
        <v>43395.0</v>
      </c>
      <c r="B1027" s="11">
        <v>2513.0</v>
      </c>
      <c r="C1027" s="12">
        <v>0.3444</v>
      </c>
      <c r="D1027" s="2">
        <v>0.0021527777777777778</v>
      </c>
      <c r="E1027" s="12">
        <v>1.17</v>
      </c>
      <c r="F1027" s="12">
        <v>4.62</v>
      </c>
      <c r="G1027" s="11">
        <v>13608.0</v>
      </c>
      <c r="H1027" s="11">
        <v>2944.0</v>
      </c>
    </row>
    <row r="1028">
      <c r="A1028" s="10">
        <v>43396.0</v>
      </c>
      <c r="B1028" s="11">
        <v>2583.0</v>
      </c>
      <c r="C1028" s="12">
        <v>0.4338</v>
      </c>
      <c r="D1028" s="2">
        <v>0.0021412037037037038</v>
      </c>
      <c r="E1028" s="12">
        <v>1.14</v>
      </c>
      <c r="F1028" s="12">
        <v>4.22</v>
      </c>
      <c r="G1028" s="11">
        <v>12427.0</v>
      </c>
      <c r="H1028" s="11">
        <v>2944.0</v>
      </c>
    </row>
    <row r="1029">
      <c r="A1029" s="10">
        <v>43397.0</v>
      </c>
      <c r="B1029" s="11">
        <v>2555.0</v>
      </c>
      <c r="C1029" s="12">
        <v>0.3738</v>
      </c>
      <c r="D1029" s="2">
        <v>0.0019560185185185184</v>
      </c>
      <c r="E1029" s="12">
        <v>1.12</v>
      </c>
      <c r="F1029" s="12">
        <v>4.5</v>
      </c>
      <c r="G1029" s="11">
        <v>12872.0</v>
      </c>
      <c r="H1029" s="11">
        <v>2860.0</v>
      </c>
    </row>
    <row r="1030">
      <c r="A1030" s="10">
        <v>43398.0</v>
      </c>
      <c r="B1030" s="11">
        <v>2527.0</v>
      </c>
      <c r="C1030" s="12">
        <v>0.4175</v>
      </c>
      <c r="D1030" s="2">
        <v>0.0025810185185185185</v>
      </c>
      <c r="E1030" s="12">
        <v>1.13</v>
      </c>
      <c r="F1030" s="12">
        <v>4.06</v>
      </c>
      <c r="G1030" s="11">
        <v>11622.0</v>
      </c>
      <c r="H1030" s="11">
        <v>2860.0</v>
      </c>
    </row>
    <row r="1031">
      <c r="A1031" s="10">
        <v>43399.0</v>
      </c>
      <c r="B1031" s="11">
        <v>2347.0</v>
      </c>
      <c r="C1031" s="12">
        <v>0.3967</v>
      </c>
      <c r="D1031" s="2">
        <v>0.0022453703703703702</v>
      </c>
      <c r="E1031" s="12">
        <v>1.12</v>
      </c>
      <c r="F1031" s="12">
        <v>4.49</v>
      </c>
      <c r="G1031" s="11">
        <v>11789.0</v>
      </c>
      <c r="H1031" s="11">
        <v>2624.0</v>
      </c>
    </row>
    <row r="1032">
      <c r="A1032" s="10">
        <v>43400.0</v>
      </c>
      <c r="B1032" s="11">
        <v>1541.0</v>
      </c>
      <c r="C1032" s="12">
        <v>0.4326</v>
      </c>
      <c r="D1032" s="2">
        <v>0.0025925925925925925</v>
      </c>
      <c r="E1032" s="12">
        <v>1.21</v>
      </c>
      <c r="F1032" s="12">
        <v>4.57</v>
      </c>
      <c r="G1032" s="11">
        <v>8498.0</v>
      </c>
      <c r="H1032" s="11">
        <v>1861.0</v>
      </c>
    </row>
    <row r="1033">
      <c r="A1033" s="10">
        <v>43401.0</v>
      </c>
      <c r="B1033" s="11">
        <v>1611.0</v>
      </c>
      <c r="C1033" s="12">
        <v>0.489</v>
      </c>
      <c r="D1033" s="2">
        <v>0.0021064814814814813</v>
      </c>
      <c r="E1033" s="12">
        <v>1.18</v>
      </c>
      <c r="F1033" s="12">
        <v>3.95</v>
      </c>
      <c r="G1033" s="11">
        <v>7512.0</v>
      </c>
      <c r="H1033" s="11">
        <v>1902.0</v>
      </c>
    </row>
    <row r="1034">
      <c r="A1034" s="10">
        <v>43402.0</v>
      </c>
      <c r="B1034" s="11">
        <v>2624.0</v>
      </c>
      <c r="C1034" s="12">
        <v>0.3963</v>
      </c>
      <c r="D1034" s="2">
        <v>0.0014930555555555556</v>
      </c>
      <c r="E1034" s="12">
        <v>1.15</v>
      </c>
      <c r="F1034" s="12">
        <v>5.41</v>
      </c>
      <c r="G1034" s="11">
        <v>16288.0</v>
      </c>
      <c r="H1034" s="11">
        <v>3013.0</v>
      </c>
    </row>
    <row r="1035">
      <c r="A1035" s="10">
        <v>43403.0</v>
      </c>
      <c r="B1035" s="11">
        <v>2694.0</v>
      </c>
      <c r="C1035" s="12">
        <v>0.4378</v>
      </c>
      <c r="D1035" s="2">
        <v>0.0016087962962962963</v>
      </c>
      <c r="E1035" s="12">
        <v>1.12</v>
      </c>
      <c r="F1035" s="12">
        <v>4.11</v>
      </c>
      <c r="G1035" s="11">
        <v>12386.0</v>
      </c>
      <c r="H1035" s="11">
        <v>3013.0</v>
      </c>
    </row>
    <row r="1036">
      <c r="A1036" s="10">
        <v>43404.0</v>
      </c>
      <c r="B1036" s="11">
        <v>2166.0</v>
      </c>
      <c r="C1036" s="12">
        <v>0.354</v>
      </c>
      <c r="D1036" s="2">
        <v>0.001979166666666667</v>
      </c>
      <c r="E1036" s="12">
        <v>1.14</v>
      </c>
      <c r="F1036" s="12">
        <v>4.39</v>
      </c>
      <c r="G1036" s="11">
        <v>10844.0</v>
      </c>
      <c r="H1036" s="11">
        <v>2472.0</v>
      </c>
    </row>
    <row r="1037">
      <c r="A1037" s="10">
        <v>43405.0</v>
      </c>
      <c r="B1037" s="11">
        <v>2124.0</v>
      </c>
      <c r="C1037" s="12">
        <v>0.4117</v>
      </c>
      <c r="D1037" s="2">
        <v>0.0011805555555555556</v>
      </c>
      <c r="E1037" s="12">
        <v>1.11</v>
      </c>
      <c r="F1037" s="12">
        <v>3.46</v>
      </c>
      <c r="G1037" s="11">
        <v>8178.0</v>
      </c>
      <c r="H1037" s="11">
        <v>2361.0</v>
      </c>
    </row>
    <row r="1038">
      <c r="A1038" s="10">
        <v>43406.0</v>
      </c>
      <c r="B1038" s="11">
        <v>2111.0</v>
      </c>
      <c r="C1038" s="12">
        <v>0.4022</v>
      </c>
      <c r="D1038" s="2">
        <v>0.0017824074074074075</v>
      </c>
      <c r="E1038" s="12">
        <v>1.11</v>
      </c>
      <c r="F1038" s="12">
        <v>3.96</v>
      </c>
      <c r="G1038" s="11">
        <v>9289.0</v>
      </c>
      <c r="H1038" s="11">
        <v>2347.0</v>
      </c>
    </row>
    <row r="1039">
      <c r="A1039" s="10">
        <v>43407.0</v>
      </c>
      <c r="B1039" s="11">
        <v>1375.0</v>
      </c>
      <c r="C1039" s="12">
        <v>0.5216</v>
      </c>
      <c r="D1039" s="2">
        <v>0.0014699074074074074</v>
      </c>
      <c r="E1039" s="12">
        <v>1.16</v>
      </c>
      <c r="F1039" s="12">
        <v>3.75</v>
      </c>
      <c r="G1039" s="11">
        <v>5985.0</v>
      </c>
      <c r="H1039" s="11">
        <v>1597.0</v>
      </c>
    </row>
    <row r="1040">
      <c r="A1040" s="10">
        <v>43408.0</v>
      </c>
      <c r="B1040" s="11">
        <v>1763.0</v>
      </c>
      <c r="C1040" s="12">
        <v>0.4069</v>
      </c>
      <c r="D1040" s="2">
        <v>0.0023148148148148147</v>
      </c>
      <c r="E1040" s="12">
        <v>1.14</v>
      </c>
      <c r="F1040" s="12">
        <v>4.64</v>
      </c>
      <c r="G1040" s="11">
        <v>9331.0</v>
      </c>
      <c r="H1040" s="11">
        <v>2013.0</v>
      </c>
    </row>
    <row r="1041">
      <c r="A1041" s="10">
        <v>43409.0</v>
      </c>
      <c r="B1041" s="11">
        <v>2735.0</v>
      </c>
      <c r="C1041" s="12">
        <v>0.4664</v>
      </c>
      <c r="D1041" s="2">
        <v>0.001724537037037037</v>
      </c>
      <c r="E1041" s="12">
        <v>1.13</v>
      </c>
      <c r="F1041" s="12">
        <v>4.16</v>
      </c>
      <c r="G1041" s="11">
        <v>12872.0</v>
      </c>
      <c r="H1041" s="11">
        <v>3096.0</v>
      </c>
    </row>
    <row r="1042">
      <c r="A1042" s="10">
        <v>43410.0</v>
      </c>
      <c r="B1042" s="11">
        <v>2555.0</v>
      </c>
      <c r="C1042" s="12">
        <v>0.378</v>
      </c>
      <c r="D1042" s="2">
        <v>0.0021643518518518518</v>
      </c>
      <c r="E1042" s="12">
        <v>1.14</v>
      </c>
      <c r="F1042" s="12">
        <v>4.95</v>
      </c>
      <c r="G1042" s="11">
        <v>14357.0</v>
      </c>
      <c r="H1042" s="11">
        <v>2902.0</v>
      </c>
    </row>
    <row r="1043">
      <c r="A1043" s="10">
        <v>43411.0</v>
      </c>
      <c r="B1043" s="11">
        <v>2444.0</v>
      </c>
      <c r="C1043" s="12">
        <v>0.39</v>
      </c>
      <c r="D1043" s="2">
        <v>0.001875</v>
      </c>
      <c r="E1043" s="12">
        <v>1.14</v>
      </c>
      <c r="F1043" s="12">
        <v>4.88</v>
      </c>
      <c r="G1043" s="11">
        <v>13538.0</v>
      </c>
      <c r="H1043" s="11">
        <v>2777.0</v>
      </c>
    </row>
    <row r="1044">
      <c r="A1044" s="10">
        <v>43412.0</v>
      </c>
      <c r="B1044" s="11">
        <v>2499.0</v>
      </c>
      <c r="C1044" s="12">
        <v>0.4602</v>
      </c>
      <c r="D1044" s="2">
        <v>0.001712962962962963</v>
      </c>
      <c r="E1044" s="12">
        <v>1.12</v>
      </c>
      <c r="F1044" s="12">
        <v>3.73</v>
      </c>
      <c r="G1044" s="11">
        <v>10470.0</v>
      </c>
      <c r="H1044" s="11">
        <v>2805.0</v>
      </c>
    </row>
    <row r="1045">
      <c r="A1045" s="10">
        <v>43413.0</v>
      </c>
      <c r="B1045" s="11">
        <v>2277.0</v>
      </c>
      <c r="C1045" s="12">
        <v>0.5115</v>
      </c>
      <c r="D1045" s="2">
        <v>0.0018171296296296297</v>
      </c>
      <c r="E1045" s="12">
        <v>1.07</v>
      </c>
      <c r="F1045" s="12">
        <v>4.24</v>
      </c>
      <c r="G1045" s="11">
        <v>10372.0</v>
      </c>
      <c r="H1045" s="11">
        <v>2444.0</v>
      </c>
    </row>
    <row r="1046">
      <c r="A1046" s="10">
        <v>43414.0</v>
      </c>
      <c r="B1046" s="11">
        <v>1680.0</v>
      </c>
      <c r="C1046" s="12">
        <v>0.5037</v>
      </c>
      <c r="D1046" s="2">
        <v>0.001238425925925926</v>
      </c>
      <c r="E1046" s="12">
        <v>1.13</v>
      </c>
      <c r="F1046" s="12">
        <v>3.45</v>
      </c>
      <c r="G1046" s="11">
        <v>6568.0</v>
      </c>
      <c r="H1046" s="11">
        <v>1902.0</v>
      </c>
    </row>
    <row r="1047">
      <c r="A1047" s="10">
        <v>43415.0</v>
      </c>
      <c r="B1047" s="11">
        <v>1708.0</v>
      </c>
      <c r="C1047" s="12">
        <v>0.4366</v>
      </c>
      <c r="D1047" s="2">
        <v>0.001585648148148148</v>
      </c>
      <c r="E1047" s="12">
        <v>1.15</v>
      </c>
      <c r="F1047" s="12">
        <v>4.01</v>
      </c>
      <c r="G1047" s="11">
        <v>7915.0</v>
      </c>
      <c r="H1047" s="11">
        <v>1972.0</v>
      </c>
    </row>
    <row r="1048">
      <c r="A1048" s="10">
        <v>43416.0</v>
      </c>
      <c r="B1048" s="11">
        <v>2694.0</v>
      </c>
      <c r="C1048" s="12">
        <v>0.4357</v>
      </c>
      <c r="D1048" s="2">
        <v>0.002349537037037037</v>
      </c>
      <c r="E1048" s="12">
        <v>1.12</v>
      </c>
      <c r="F1048" s="12">
        <v>4.31</v>
      </c>
      <c r="G1048" s="11">
        <v>13052.0</v>
      </c>
      <c r="H1048" s="11">
        <v>3027.0</v>
      </c>
    </row>
    <row r="1049">
      <c r="A1049" s="10">
        <v>43417.0</v>
      </c>
      <c r="B1049" s="11">
        <v>2930.0</v>
      </c>
      <c r="C1049" s="12">
        <v>0.4435</v>
      </c>
      <c r="D1049" s="2">
        <v>0.0015972222222222223</v>
      </c>
      <c r="E1049" s="12">
        <v>1.13</v>
      </c>
      <c r="F1049" s="12">
        <v>3.95</v>
      </c>
      <c r="G1049" s="11">
        <v>13108.0</v>
      </c>
      <c r="H1049" s="11">
        <v>3319.0</v>
      </c>
    </row>
    <row r="1050">
      <c r="A1050" s="10">
        <v>43418.0</v>
      </c>
      <c r="B1050" s="11">
        <v>2694.0</v>
      </c>
      <c r="C1050" s="12">
        <v>0.3428</v>
      </c>
      <c r="D1050" s="2">
        <v>0.001724537037037037</v>
      </c>
      <c r="E1050" s="12">
        <v>1.11</v>
      </c>
      <c r="F1050" s="12">
        <v>4.49</v>
      </c>
      <c r="G1050" s="11">
        <v>13455.0</v>
      </c>
      <c r="H1050" s="11">
        <v>2999.0</v>
      </c>
    </row>
    <row r="1051">
      <c r="A1051" s="10">
        <v>43419.0</v>
      </c>
      <c r="B1051" s="11">
        <v>2763.0</v>
      </c>
      <c r="C1051" s="12">
        <v>0.4078</v>
      </c>
      <c r="D1051" s="2">
        <v>0.0022222222222222222</v>
      </c>
      <c r="E1051" s="12">
        <v>1.15</v>
      </c>
      <c r="F1051" s="12">
        <v>3.87</v>
      </c>
      <c r="G1051" s="11">
        <v>12247.0</v>
      </c>
      <c r="H1051" s="11">
        <v>3166.0</v>
      </c>
    </row>
    <row r="1052">
      <c r="A1052" s="10">
        <v>43420.0</v>
      </c>
      <c r="B1052" s="11">
        <v>2444.0</v>
      </c>
      <c r="C1052" s="12">
        <v>0.3764</v>
      </c>
      <c r="D1052" s="2">
        <v>0.0014351851851851852</v>
      </c>
      <c r="E1052" s="12">
        <v>1.1</v>
      </c>
      <c r="F1052" s="12">
        <v>4.33</v>
      </c>
      <c r="G1052" s="11">
        <v>11664.0</v>
      </c>
      <c r="H1052" s="11">
        <v>2694.0</v>
      </c>
    </row>
    <row r="1053">
      <c r="A1053" s="10">
        <v>43421.0</v>
      </c>
      <c r="B1053" s="11">
        <v>1861.0</v>
      </c>
      <c r="C1053" s="12">
        <v>0.4864</v>
      </c>
      <c r="D1053" s="2">
        <v>0.001724537037037037</v>
      </c>
      <c r="E1053" s="12">
        <v>1.09</v>
      </c>
      <c r="F1053" s="12">
        <v>3.81</v>
      </c>
      <c r="G1053" s="11">
        <v>7720.0</v>
      </c>
      <c r="H1053" s="11">
        <v>2027.0</v>
      </c>
    </row>
    <row r="1054">
      <c r="A1054" s="10">
        <v>43422.0</v>
      </c>
      <c r="B1054" s="11">
        <v>1875.0</v>
      </c>
      <c r="C1054" s="12">
        <v>0.5033</v>
      </c>
      <c r="D1054" s="2">
        <v>0.001388888888888889</v>
      </c>
      <c r="E1054" s="12">
        <v>1.15</v>
      </c>
      <c r="F1054" s="12">
        <v>3.74</v>
      </c>
      <c r="G1054" s="11">
        <v>8040.0</v>
      </c>
      <c r="H1054" s="11">
        <v>2152.0</v>
      </c>
    </row>
    <row r="1055">
      <c r="A1055" s="10">
        <v>43423.0</v>
      </c>
      <c r="B1055" s="11">
        <v>3096.0</v>
      </c>
      <c r="C1055" s="12">
        <v>0.425</v>
      </c>
      <c r="D1055" s="2">
        <v>0.0015393518518518519</v>
      </c>
      <c r="E1055" s="12">
        <v>1.08</v>
      </c>
      <c r="F1055" s="12">
        <v>4.1</v>
      </c>
      <c r="G1055" s="11">
        <v>13677.0</v>
      </c>
      <c r="H1055" s="11">
        <v>3332.0</v>
      </c>
    </row>
    <row r="1056">
      <c r="A1056" s="10">
        <v>43424.0</v>
      </c>
      <c r="B1056" s="11">
        <v>2902.0</v>
      </c>
      <c r="C1056" s="12">
        <v>0.3592</v>
      </c>
      <c r="D1056" s="2">
        <v>0.002025462962962963</v>
      </c>
      <c r="E1056" s="12">
        <v>1.17</v>
      </c>
      <c r="F1056" s="12">
        <v>4.76</v>
      </c>
      <c r="G1056" s="11">
        <v>16190.0</v>
      </c>
      <c r="H1056" s="11">
        <v>3402.0</v>
      </c>
    </row>
    <row r="1057">
      <c r="A1057" s="10">
        <v>43425.0</v>
      </c>
      <c r="B1057" s="11">
        <v>2791.0</v>
      </c>
      <c r="C1057" s="12">
        <v>0.4221</v>
      </c>
      <c r="D1057" s="2">
        <v>0.0018171296296296297</v>
      </c>
      <c r="E1057" s="12">
        <v>1.18</v>
      </c>
      <c r="F1057" s="12">
        <v>4.25</v>
      </c>
      <c r="G1057" s="11">
        <v>13983.0</v>
      </c>
      <c r="H1057" s="11">
        <v>3291.0</v>
      </c>
    </row>
    <row r="1058">
      <c r="A1058" s="10">
        <v>43426.0</v>
      </c>
      <c r="B1058" s="11">
        <v>2499.0</v>
      </c>
      <c r="C1058" s="12">
        <v>0.3497</v>
      </c>
      <c r="D1058" s="2">
        <v>0.002638888888888889</v>
      </c>
      <c r="E1058" s="12">
        <v>1.14</v>
      </c>
      <c r="F1058" s="12">
        <v>5.19</v>
      </c>
      <c r="G1058" s="11">
        <v>14857.0</v>
      </c>
      <c r="H1058" s="11">
        <v>2860.0</v>
      </c>
    </row>
    <row r="1059">
      <c r="A1059" s="10">
        <v>43427.0</v>
      </c>
      <c r="B1059" s="11">
        <v>2833.0</v>
      </c>
      <c r="C1059" s="12">
        <v>0.3694</v>
      </c>
      <c r="D1059" s="2">
        <v>0.0024189814814814816</v>
      </c>
      <c r="E1059" s="12">
        <v>1.09</v>
      </c>
      <c r="F1059" s="12">
        <v>4.74</v>
      </c>
      <c r="G1059" s="11">
        <v>14607.0</v>
      </c>
      <c r="H1059" s="11">
        <v>3083.0</v>
      </c>
    </row>
    <row r="1060">
      <c r="A1060" s="10">
        <v>43428.0</v>
      </c>
      <c r="B1060" s="11">
        <v>1847.0</v>
      </c>
      <c r="C1060" s="12">
        <v>0.419</v>
      </c>
      <c r="D1060" s="2">
        <v>0.0016435185185185185</v>
      </c>
      <c r="E1060" s="12">
        <v>1.11</v>
      </c>
      <c r="F1060" s="12">
        <v>3.62</v>
      </c>
      <c r="G1060" s="11">
        <v>7443.0</v>
      </c>
      <c r="H1060" s="11">
        <v>2055.0</v>
      </c>
    </row>
    <row r="1061">
      <c r="A1061" s="10">
        <v>43429.0</v>
      </c>
      <c r="B1061" s="11">
        <v>1999.0</v>
      </c>
      <c r="C1061" s="12">
        <v>0.4338</v>
      </c>
      <c r="D1061" s="2">
        <v>0.0019328703703703704</v>
      </c>
      <c r="E1061" s="12">
        <v>1.15</v>
      </c>
      <c r="F1061" s="12">
        <v>4.58</v>
      </c>
      <c r="G1061" s="11">
        <v>10553.0</v>
      </c>
      <c r="H1061" s="11">
        <v>2305.0</v>
      </c>
    </row>
    <row r="1062">
      <c r="A1062" s="10">
        <v>43430.0</v>
      </c>
      <c r="B1062" s="11">
        <v>3930.0</v>
      </c>
      <c r="C1062" s="12">
        <v>0.3851</v>
      </c>
      <c r="D1062" s="2">
        <v>0.0018865740740740742</v>
      </c>
      <c r="E1062" s="12">
        <v>1.14</v>
      </c>
      <c r="F1062" s="12">
        <v>4.03</v>
      </c>
      <c r="G1062" s="11">
        <v>18009.0</v>
      </c>
      <c r="H1062" s="11">
        <v>4471.0</v>
      </c>
    </row>
    <row r="1063">
      <c r="A1063" s="10">
        <v>43431.0</v>
      </c>
      <c r="B1063" s="11">
        <v>2916.0</v>
      </c>
      <c r="C1063" s="12">
        <v>0.425</v>
      </c>
      <c r="D1063" s="2">
        <v>0.001990740740740741</v>
      </c>
      <c r="E1063" s="12">
        <v>1.14</v>
      </c>
      <c r="F1063" s="12">
        <v>3.79</v>
      </c>
      <c r="G1063" s="11">
        <v>12636.0</v>
      </c>
      <c r="H1063" s="11">
        <v>3332.0</v>
      </c>
    </row>
    <row r="1064">
      <c r="A1064" s="10">
        <v>43432.0</v>
      </c>
      <c r="B1064" s="11">
        <v>2763.0</v>
      </c>
      <c r="C1064" s="12">
        <v>0.4488</v>
      </c>
      <c r="D1064" s="2">
        <v>0.0017013888888888888</v>
      </c>
      <c r="E1064" s="12">
        <v>1.13</v>
      </c>
      <c r="F1064" s="12">
        <v>4.26</v>
      </c>
      <c r="G1064" s="11">
        <v>13316.0</v>
      </c>
      <c r="H1064" s="11">
        <v>3124.0</v>
      </c>
    </row>
    <row r="1065">
      <c r="A1065" s="10">
        <v>43433.0</v>
      </c>
      <c r="B1065" s="11">
        <v>2569.0</v>
      </c>
      <c r="C1065" s="12">
        <v>0.3947</v>
      </c>
      <c r="D1065" s="2">
        <v>0.0020717592592592593</v>
      </c>
      <c r="E1065" s="12">
        <v>1.21</v>
      </c>
      <c r="F1065" s="12">
        <v>4.45</v>
      </c>
      <c r="G1065" s="11">
        <v>13774.0</v>
      </c>
      <c r="H1065" s="11">
        <v>3096.0</v>
      </c>
    </row>
    <row r="1066">
      <c r="A1066" s="10">
        <v>43434.0</v>
      </c>
      <c r="B1066" s="11">
        <v>2333.0</v>
      </c>
      <c r="C1066" s="12">
        <v>0.3893</v>
      </c>
      <c r="D1066" s="2">
        <v>0.0019444444444444444</v>
      </c>
      <c r="E1066" s="12">
        <v>1.1</v>
      </c>
      <c r="F1066" s="12">
        <v>4.58</v>
      </c>
      <c r="G1066" s="11">
        <v>11775.0</v>
      </c>
      <c r="H1066" s="11">
        <v>2569.0</v>
      </c>
    </row>
    <row r="1067">
      <c r="A1067" s="10">
        <v>43435.0</v>
      </c>
      <c r="B1067" s="11">
        <v>1694.0</v>
      </c>
      <c r="C1067" s="12">
        <v>0.4586</v>
      </c>
      <c r="D1067" s="2">
        <v>0.0020717592592592593</v>
      </c>
      <c r="E1067" s="12">
        <v>1.09</v>
      </c>
      <c r="F1067" s="12">
        <v>4.66</v>
      </c>
      <c r="G1067" s="11">
        <v>8609.0</v>
      </c>
      <c r="H1067" s="11">
        <v>1847.0</v>
      </c>
    </row>
    <row r="1068">
      <c r="A1068" s="10">
        <v>43436.0</v>
      </c>
      <c r="B1068" s="11">
        <v>1736.0</v>
      </c>
      <c r="C1068" s="12">
        <v>0.4153</v>
      </c>
      <c r="D1068" s="2">
        <v>0.0023032407407407407</v>
      </c>
      <c r="E1068" s="12">
        <v>1.14</v>
      </c>
      <c r="F1068" s="12">
        <v>4.41</v>
      </c>
      <c r="G1068" s="11">
        <v>8692.0</v>
      </c>
      <c r="H1068" s="11">
        <v>1972.0</v>
      </c>
    </row>
    <row r="1069">
      <c r="A1069" s="10">
        <v>43437.0</v>
      </c>
      <c r="B1069" s="11">
        <v>2999.0</v>
      </c>
      <c r="C1069" s="12">
        <v>0.3618</v>
      </c>
      <c r="D1069" s="2">
        <v>0.002349537037037037</v>
      </c>
      <c r="E1069" s="12">
        <v>1.14</v>
      </c>
      <c r="F1069" s="12">
        <v>4.76</v>
      </c>
      <c r="G1069" s="11">
        <v>16260.0</v>
      </c>
      <c r="H1069" s="11">
        <v>3416.0</v>
      </c>
    </row>
    <row r="1070">
      <c r="A1070" s="10">
        <v>43438.0</v>
      </c>
      <c r="B1070" s="11">
        <v>2860.0</v>
      </c>
      <c r="C1070" s="12">
        <v>0.4574</v>
      </c>
      <c r="D1070" s="2">
        <v>0.0021527777777777778</v>
      </c>
      <c r="E1070" s="12">
        <v>1.14</v>
      </c>
      <c r="F1070" s="12">
        <v>4.47</v>
      </c>
      <c r="G1070" s="11">
        <v>14538.0</v>
      </c>
      <c r="H1070" s="11">
        <v>3249.0</v>
      </c>
    </row>
    <row r="1071">
      <c r="A1071" s="10">
        <v>43439.0</v>
      </c>
      <c r="B1071" s="11">
        <v>2680.0</v>
      </c>
      <c r="C1071" s="12">
        <v>0.3864</v>
      </c>
      <c r="D1071" s="2">
        <v>0.0020486111111111113</v>
      </c>
      <c r="E1071" s="12">
        <v>1.21</v>
      </c>
      <c r="F1071" s="12">
        <v>4.67</v>
      </c>
      <c r="G1071" s="11">
        <v>15121.0</v>
      </c>
      <c r="H1071" s="11">
        <v>3235.0</v>
      </c>
    </row>
    <row r="1072">
      <c r="A1072" s="10">
        <v>43440.0</v>
      </c>
      <c r="B1072" s="11">
        <v>2541.0</v>
      </c>
      <c r="C1072" s="12">
        <v>0.414</v>
      </c>
      <c r="D1072" s="2">
        <v>0.0025925925925925925</v>
      </c>
      <c r="E1072" s="12">
        <v>1.24</v>
      </c>
      <c r="F1072" s="12">
        <v>4.89</v>
      </c>
      <c r="G1072" s="11">
        <v>15427.0</v>
      </c>
      <c r="H1072" s="11">
        <v>3152.0</v>
      </c>
    </row>
    <row r="1073">
      <c r="A1073" s="10">
        <v>43441.0</v>
      </c>
      <c r="B1073" s="11">
        <v>2249.0</v>
      </c>
      <c r="C1073" s="12">
        <v>0.3617</v>
      </c>
      <c r="D1073" s="2">
        <v>0.0028935185185185184</v>
      </c>
      <c r="E1073" s="12">
        <v>1.09</v>
      </c>
      <c r="F1073" s="12">
        <v>5.62</v>
      </c>
      <c r="G1073" s="11">
        <v>13816.0</v>
      </c>
      <c r="H1073" s="11">
        <v>2458.0</v>
      </c>
    </row>
    <row r="1074">
      <c r="A1074" s="10">
        <v>43442.0</v>
      </c>
      <c r="B1074" s="11">
        <v>1444.0</v>
      </c>
      <c r="C1074" s="12">
        <v>0.3499</v>
      </c>
      <c r="D1074" s="2">
        <v>0.0020717592592592593</v>
      </c>
      <c r="E1074" s="12">
        <v>1.15</v>
      </c>
      <c r="F1074" s="12">
        <v>5.43</v>
      </c>
      <c r="G1074" s="11">
        <v>9039.0</v>
      </c>
      <c r="H1074" s="11">
        <v>1666.0</v>
      </c>
    </row>
    <row r="1075">
      <c r="A1075" s="10">
        <v>43443.0</v>
      </c>
      <c r="B1075" s="11">
        <v>1416.0</v>
      </c>
      <c r="C1075" s="12">
        <v>0.3309</v>
      </c>
      <c r="D1075" s="2">
        <v>0.002372685185185185</v>
      </c>
      <c r="E1075" s="12">
        <v>1.16</v>
      </c>
      <c r="F1075" s="12">
        <v>5.35</v>
      </c>
      <c r="G1075" s="11">
        <v>8762.0</v>
      </c>
      <c r="H1075" s="11">
        <v>1638.0</v>
      </c>
    </row>
    <row r="1076">
      <c r="A1076" s="10">
        <v>43444.0</v>
      </c>
      <c r="B1076" s="11">
        <v>2180.0</v>
      </c>
      <c r="C1076" s="12">
        <v>0.2849</v>
      </c>
      <c r="D1076" s="2">
        <v>0.002013888888888889</v>
      </c>
      <c r="E1076" s="12">
        <v>1.14</v>
      </c>
      <c r="F1076" s="12">
        <v>5.1</v>
      </c>
      <c r="G1076" s="11">
        <v>12663.0</v>
      </c>
      <c r="H1076" s="11">
        <v>2485.0</v>
      </c>
    </row>
    <row r="1077">
      <c r="A1077" s="10">
        <v>43445.0</v>
      </c>
      <c r="B1077" s="11">
        <v>1972.0</v>
      </c>
      <c r="C1077" s="12">
        <v>0.3885</v>
      </c>
      <c r="D1077" s="2">
        <v>0.002766203703703704</v>
      </c>
      <c r="E1077" s="12">
        <v>1.11</v>
      </c>
      <c r="F1077" s="12">
        <v>5.43</v>
      </c>
      <c r="G1077" s="11">
        <v>11844.0</v>
      </c>
      <c r="H1077" s="11">
        <v>2180.0</v>
      </c>
    </row>
    <row r="1078">
      <c r="A1078" s="10">
        <v>43446.0</v>
      </c>
      <c r="B1078" s="11">
        <v>2277.0</v>
      </c>
      <c r="C1078" s="12">
        <v>0.4051</v>
      </c>
      <c r="D1078" s="2">
        <v>0.0026157407407407405</v>
      </c>
      <c r="E1078" s="12">
        <v>1.19</v>
      </c>
      <c r="F1078" s="12">
        <v>4.47</v>
      </c>
      <c r="G1078" s="11">
        <v>12108.0</v>
      </c>
      <c r="H1078" s="11">
        <v>2708.0</v>
      </c>
    </row>
    <row r="1079">
      <c r="A1079" s="10">
        <v>43447.0</v>
      </c>
      <c r="B1079" s="11">
        <v>2055.0</v>
      </c>
      <c r="C1079" s="12">
        <v>0.2647</v>
      </c>
      <c r="D1079" s="2">
        <v>0.0031944444444444446</v>
      </c>
      <c r="E1079" s="12">
        <v>1.15</v>
      </c>
      <c r="F1079" s="12">
        <v>5.79</v>
      </c>
      <c r="G1079" s="11">
        <v>13677.0</v>
      </c>
      <c r="H1079" s="11">
        <v>2361.0</v>
      </c>
    </row>
    <row r="1080">
      <c r="A1080" s="10">
        <v>43448.0</v>
      </c>
      <c r="B1080" s="11">
        <v>1916.0</v>
      </c>
      <c r="C1080" s="12">
        <v>0.2849</v>
      </c>
      <c r="D1080" s="2">
        <v>0.0028935185185185184</v>
      </c>
      <c r="E1080" s="12">
        <v>1.15</v>
      </c>
      <c r="F1080" s="12">
        <v>5.91</v>
      </c>
      <c r="G1080" s="11">
        <v>12969.0</v>
      </c>
      <c r="H1080" s="11">
        <v>2194.0</v>
      </c>
    </row>
    <row r="1081">
      <c r="A1081" s="10">
        <v>43449.0</v>
      </c>
      <c r="B1081" s="11">
        <v>1222.0</v>
      </c>
      <c r="C1081" s="12">
        <v>0.3801</v>
      </c>
      <c r="D1081" s="2">
        <v>0.002395833333333333</v>
      </c>
      <c r="E1081" s="12">
        <v>1.14</v>
      </c>
      <c r="F1081" s="12">
        <v>5.25</v>
      </c>
      <c r="G1081" s="11">
        <v>7290.0</v>
      </c>
      <c r="H1081" s="11">
        <v>1389.0</v>
      </c>
    </row>
    <row r="1082">
      <c r="A1082" s="10">
        <v>43450.0</v>
      </c>
      <c r="B1082" s="11">
        <v>1375.0</v>
      </c>
      <c r="C1082" s="12">
        <v>0.3517</v>
      </c>
      <c r="D1082" s="2">
        <v>0.002210648148148148</v>
      </c>
      <c r="E1082" s="12">
        <v>1.12</v>
      </c>
      <c r="F1082" s="12">
        <v>5.5</v>
      </c>
      <c r="G1082" s="11">
        <v>8470.0</v>
      </c>
      <c r="H1082" s="11">
        <v>1541.0</v>
      </c>
    </row>
    <row r="1083">
      <c r="A1083" s="10">
        <v>43451.0</v>
      </c>
      <c r="B1083" s="11">
        <v>1958.0</v>
      </c>
      <c r="C1083" s="12">
        <v>0.345</v>
      </c>
      <c r="D1083" s="2">
        <v>0.0030092592592592593</v>
      </c>
      <c r="E1083" s="12">
        <v>1.19</v>
      </c>
      <c r="F1083" s="12">
        <v>6.11</v>
      </c>
      <c r="G1083" s="11">
        <v>14246.0</v>
      </c>
      <c r="H1083" s="11">
        <v>2333.0</v>
      </c>
    </row>
    <row r="1084">
      <c r="A1084" s="10">
        <v>43452.0</v>
      </c>
      <c r="B1084" s="11">
        <v>2055.0</v>
      </c>
      <c r="C1084" s="12">
        <v>0.3255</v>
      </c>
      <c r="D1084" s="2">
        <v>0.002673611111111111</v>
      </c>
      <c r="E1084" s="12">
        <v>1.14</v>
      </c>
      <c r="F1084" s="12">
        <v>5.28</v>
      </c>
      <c r="G1084" s="11">
        <v>12386.0</v>
      </c>
      <c r="H1084" s="11">
        <v>2347.0</v>
      </c>
    </row>
    <row r="1085">
      <c r="A1085" s="10">
        <v>43453.0</v>
      </c>
      <c r="B1085" s="11">
        <v>2194.0</v>
      </c>
      <c r="C1085" s="12">
        <v>0.3675</v>
      </c>
      <c r="D1085" s="2">
        <v>0.003564814814814815</v>
      </c>
      <c r="E1085" s="12">
        <v>1.17</v>
      </c>
      <c r="F1085" s="12">
        <v>5.79</v>
      </c>
      <c r="G1085" s="11">
        <v>14885.0</v>
      </c>
      <c r="H1085" s="11">
        <v>2569.0</v>
      </c>
    </row>
    <row r="1086">
      <c r="A1086" s="10">
        <v>43454.0</v>
      </c>
      <c r="B1086" s="11">
        <v>1958.0</v>
      </c>
      <c r="C1086" s="12">
        <v>0.2704</v>
      </c>
      <c r="D1086" s="2">
        <v>0.0039004629629629628</v>
      </c>
      <c r="E1086" s="12">
        <v>1.13</v>
      </c>
      <c r="F1086" s="12">
        <v>7.12</v>
      </c>
      <c r="G1086" s="11">
        <v>15732.0</v>
      </c>
      <c r="H1086" s="11">
        <v>2208.0</v>
      </c>
    </row>
    <row r="1087">
      <c r="A1087" s="10">
        <v>43455.0</v>
      </c>
      <c r="B1087" s="11">
        <v>2069.0</v>
      </c>
      <c r="C1087" s="12">
        <v>0.2663</v>
      </c>
      <c r="D1087" s="2">
        <v>0.0028356481481481483</v>
      </c>
      <c r="E1087" s="12">
        <v>1.13</v>
      </c>
      <c r="F1087" s="12">
        <v>6.43</v>
      </c>
      <c r="G1087" s="11">
        <v>15080.0</v>
      </c>
      <c r="H1087" s="11">
        <v>2347.0</v>
      </c>
    </row>
    <row r="1088">
      <c r="A1088" s="10">
        <v>43456.0</v>
      </c>
      <c r="B1088" s="11">
        <v>986.0</v>
      </c>
      <c r="C1088" s="12">
        <v>0.4056</v>
      </c>
      <c r="D1088" s="2">
        <v>0.003287037037037037</v>
      </c>
      <c r="E1088" s="12">
        <v>1.04</v>
      </c>
      <c r="F1088" s="12">
        <v>6.98</v>
      </c>
      <c r="G1088" s="11">
        <v>7179.0</v>
      </c>
      <c r="H1088" s="11">
        <v>1028.0</v>
      </c>
    </row>
    <row r="1089">
      <c r="A1089" s="10">
        <v>43457.0</v>
      </c>
      <c r="B1089" s="11">
        <v>972.0</v>
      </c>
      <c r="C1089" s="12">
        <v>0.44</v>
      </c>
      <c r="D1089" s="2">
        <v>0.002372685185185185</v>
      </c>
      <c r="E1089" s="12">
        <v>1.07</v>
      </c>
      <c r="F1089" s="12">
        <v>4.64</v>
      </c>
      <c r="G1089" s="11">
        <v>4832.0</v>
      </c>
      <c r="H1089" s="11">
        <v>1041.0</v>
      </c>
    </row>
    <row r="1090">
      <c r="A1090" s="10">
        <v>43458.0</v>
      </c>
      <c r="B1090" s="11">
        <v>889.0</v>
      </c>
      <c r="C1090" s="12">
        <v>0.4489</v>
      </c>
      <c r="D1090" s="2">
        <v>0.0015972222222222223</v>
      </c>
      <c r="E1090" s="12">
        <v>1.08</v>
      </c>
      <c r="F1090" s="12">
        <v>4.46</v>
      </c>
      <c r="G1090" s="11">
        <v>4277.0</v>
      </c>
      <c r="H1090" s="11">
        <v>958.0</v>
      </c>
    </row>
    <row r="1091">
      <c r="A1091" s="10">
        <v>43459.0</v>
      </c>
      <c r="B1091" s="11">
        <v>875.0</v>
      </c>
      <c r="C1091" s="12">
        <v>0.3901</v>
      </c>
      <c r="D1091" s="2">
        <v>0.0023263888888888887</v>
      </c>
      <c r="E1091" s="12">
        <v>1.22</v>
      </c>
      <c r="F1091" s="12">
        <v>6.59</v>
      </c>
      <c r="G1091" s="11">
        <v>7040.0</v>
      </c>
      <c r="H1091" s="11">
        <v>1069.0</v>
      </c>
    </row>
    <row r="1092">
      <c r="A1092" s="10">
        <v>43460.0</v>
      </c>
      <c r="B1092" s="11">
        <v>1541.0</v>
      </c>
      <c r="C1092" s="12">
        <v>0.281</v>
      </c>
      <c r="D1092" s="2">
        <v>0.0028587962962962963</v>
      </c>
      <c r="E1092" s="12">
        <v>1.09</v>
      </c>
      <c r="F1092" s="12">
        <v>5.66</v>
      </c>
      <c r="G1092" s="11">
        <v>9511.0</v>
      </c>
      <c r="H1092" s="11">
        <v>1680.0</v>
      </c>
    </row>
    <row r="1093">
      <c r="A1093" s="10">
        <v>43461.0</v>
      </c>
      <c r="B1093" s="11">
        <v>1458.0</v>
      </c>
      <c r="C1093" s="12">
        <v>0.3524</v>
      </c>
      <c r="D1093" s="2">
        <v>0.0022916666666666667</v>
      </c>
      <c r="E1093" s="12">
        <v>1.16</v>
      </c>
      <c r="F1093" s="12">
        <v>5.86</v>
      </c>
      <c r="G1093" s="11">
        <v>9928.0</v>
      </c>
      <c r="H1093" s="11">
        <v>1694.0</v>
      </c>
    </row>
    <row r="1094">
      <c r="A1094" s="10">
        <v>43462.0</v>
      </c>
      <c r="B1094" s="11">
        <v>1069.0</v>
      </c>
      <c r="C1094" s="12">
        <v>0.3719</v>
      </c>
      <c r="D1094" s="2">
        <v>0.002013888888888889</v>
      </c>
      <c r="E1094" s="12">
        <v>1.12</v>
      </c>
      <c r="F1094" s="12">
        <v>4.14</v>
      </c>
      <c r="G1094" s="11">
        <v>4943.0</v>
      </c>
      <c r="H1094" s="11">
        <v>1194.0</v>
      </c>
    </row>
    <row r="1095">
      <c r="A1095" s="10">
        <v>43463.0</v>
      </c>
      <c r="B1095" s="11">
        <v>889.0</v>
      </c>
      <c r="C1095" s="12">
        <v>0.4635</v>
      </c>
      <c r="D1095" s="2">
        <v>0.002013888888888889</v>
      </c>
      <c r="E1095" s="12">
        <v>1.08</v>
      </c>
      <c r="F1095" s="12">
        <v>4.25</v>
      </c>
      <c r="G1095" s="11">
        <v>4068.0</v>
      </c>
      <c r="H1095" s="11">
        <v>958.0</v>
      </c>
    </row>
    <row r="1096">
      <c r="A1096" s="10">
        <v>43464.0</v>
      </c>
      <c r="B1096" s="11">
        <v>972.0</v>
      </c>
      <c r="C1096" s="12">
        <v>0.3463</v>
      </c>
      <c r="D1096" s="2">
        <v>0.004016203703703704</v>
      </c>
      <c r="E1096" s="12">
        <v>1.11</v>
      </c>
      <c r="F1096" s="12">
        <v>7.81</v>
      </c>
      <c r="G1096" s="11">
        <v>8456.0</v>
      </c>
      <c r="H1096" s="11">
        <v>1083.0</v>
      </c>
    </row>
    <row r="1097">
      <c r="A1097" s="10">
        <v>43465.0</v>
      </c>
      <c r="B1097" s="11">
        <v>750.0</v>
      </c>
      <c r="C1097" s="12">
        <v>0.4606</v>
      </c>
      <c r="D1097" s="2">
        <v>0.0021759259259259258</v>
      </c>
      <c r="E1097" s="12">
        <v>1.17</v>
      </c>
      <c r="F1097" s="12">
        <v>4.75</v>
      </c>
      <c r="G1097" s="11">
        <v>4152.0</v>
      </c>
      <c r="H1097" s="11">
        <v>875.0</v>
      </c>
    </row>
    <row r="1098">
      <c r="A1098" s="10">
        <v>43466.0</v>
      </c>
      <c r="B1098" s="11">
        <v>903.0</v>
      </c>
      <c r="C1098" s="12">
        <v>0.4061</v>
      </c>
      <c r="D1098" s="2">
        <v>0.0021759259259259258</v>
      </c>
      <c r="E1098" s="12">
        <v>1.06</v>
      </c>
      <c r="F1098" s="12">
        <v>5.58</v>
      </c>
      <c r="G1098" s="11">
        <v>5346.0</v>
      </c>
      <c r="H1098" s="11">
        <v>958.0</v>
      </c>
    </row>
    <row r="1099">
      <c r="A1099" s="10">
        <v>43467.0</v>
      </c>
      <c r="B1099" s="11">
        <v>1625.0</v>
      </c>
      <c r="C1099" s="12">
        <v>0.3502</v>
      </c>
      <c r="D1099" s="2">
        <v>0.002824074074074074</v>
      </c>
      <c r="E1099" s="12">
        <v>1.17</v>
      </c>
      <c r="F1099" s="12">
        <v>5.8</v>
      </c>
      <c r="G1099" s="11">
        <v>11025.0</v>
      </c>
      <c r="H1099" s="11">
        <v>1902.0</v>
      </c>
    </row>
    <row r="1100">
      <c r="A1100" s="10">
        <v>43468.0</v>
      </c>
      <c r="B1100" s="11">
        <v>1514.0</v>
      </c>
      <c r="C1100" s="12">
        <v>0.3278</v>
      </c>
      <c r="D1100" s="2">
        <v>0.002824074074074074</v>
      </c>
      <c r="E1100" s="12">
        <v>1.15</v>
      </c>
      <c r="F1100" s="12">
        <v>5.67</v>
      </c>
      <c r="G1100" s="11">
        <v>9845.0</v>
      </c>
      <c r="H1100" s="11">
        <v>1736.0</v>
      </c>
    </row>
    <row r="1101">
      <c r="A1101" s="10">
        <v>43469.0</v>
      </c>
      <c r="B1101" s="11">
        <v>1347.0</v>
      </c>
      <c r="C1101" s="12">
        <v>0.3818</v>
      </c>
      <c r="D1101" s="2">
        <v>0.0022453703703703702</v>
      </c>
      <c r="E1101" s="12">
        <v>1.13</v>
      </c>
      <c r="F1101" s="12">
        <v>5.46</v>
      </c>
      <c r="G1101" s="11">
        <v>8345.0</v>
      </c>
      <c r="H1101" s="11">
        <v>1527.0</v>
      </c>
    </row>
    <row r="1102">
      <c r="A1102" s="10">
        <v>43470.0</v>
      </c>
      <c r="B1102" s="11">
        <v>916.0</v>
      </c>
      <c r="C1102" s="12">
        <v>0.3974</v>
      </c>
      <c r="D1102" s="2">
        <v>0.0021064814814814813</v>
      </c>
      <c r="E1102" s="12">
        <v>1.11</v>
      </c>
      <c r="F1102" s="12">
        <v>3.92</v>
      </c>
      <c r="G1102" s="11">
        <v>3971.0</v>
      </c>
      <c r="H1102" s="11">
        <v>1014.0</v>
      </c>
    </row>
    <row r="1103">
      <c r="A1103" s="10">
        <v>43471.0</v>
      </c>
      <c r="B1103" s="11">
        <v>1083.0</v>
      </c>
      <c r="C1103" s="12">
        <v>0.3707</v>
      </c>
      <c r="D1103" s="2">
        <v>0.0014236111111111112</v>
      </c>
      <c r="E1103" s="12">
        <v>1.04</v>
      </c>
      <c r="F1103" s="12">
        <v>4.54</v>
      </c>
      <c r="G1103" s="11">
        <v>5110.0</v>
      </c>
      <c r="H1103" s="11">
        <v>1125.0</v>
      </c>
    </row>
    <row r="1104">
      <c r="A1104" s="10">
        <v>43472.0</v>
      </c>
      <c r="B1104" s="11">
        <v>1569.0</v>
      </c>
      <c r="C1104" s="12">
        <v>0.3091</v>
      </c>
      <c r="D1104" s="2">
        <v>0.0018402777777777777</v>
      </c>
      <c r="E1104" s="12">
        <v>1.09</v>
      </c>
      <c r="F1104" s="12">
        <v>5.1</v>
      </c>
      <c r="G1104" s="11">
        <v>8706.0</v>
      </c>
      <c r="H1104" s="11">
        <v>1708.0</v>
      </c>
    </row>
    <row r="1105">
      <c r="A1105" s="10">
        <v>43473.0</v>
      </c>
      <c r="B1105" s="11">
        <v>1833.0</v>
      </c>
      <c r="C1105" s="12">
        <v>0.3397</v>
      </c>
      <c r="D1105" s="2">
        <v>0.0022569444444444442</v>
      </c>
      <c r="E1105" s="12">
        <v>1.2</v>
      </c>
      <c r="F1105" s="12">
        <v>5.22</v>
      </c>
      <c r="G1105" s="11">
        <v>11525.0</v>
      </c>
      <c r="H1105" s="11">
        <v>2208.0</v>
      </c>
    </row>
    <row r="1106">
      <c r="A1106" s="10">
        <v>43474.0</v>
      </c>
      <c r="B1106" s="11">
        <v>1833.0</v>
      </c>
      <c r="C1106" s="12">
        <v>0.3219</v>
      </c>
      <c r="D1106" s="2">
        <v>0.0026967592592592594</v>
      </c>
      <c r="E1106" s="12">
        <v>1.13</v>
      </c>
      <c r="F1106" s="12">
        <v>5.16</v>
      </c>
      <c r="G1106" s="11">
        <v>10678.0</v>
      </c>
      <c r="H1106" s="11">
        <v>2069.0</v>
      </c>
    </row>
    <row r="1107">
      <c r="A1107" s="10">
        <v>43475.0</v>
      </c>
      <c r="B1107" s="11">
        <v>1763.0</v>
      </c>
      <c r="C1107" s="12">
        <v>0.388</v>
      </c>
      <c r="D1107" s="2">
        <v>0.0022916666666666667</v>
      </c>
      <c r="E1107" s="12">
        <v>1.06</v>
      </c>
      <c r="F1107" s="12">
        <v>4.42</v>
      </c>
      <c r="G1107" s="11">
        <v>8234.0</v>
      </c>
      <c r="H1107" s="11">
        <v>1861.0</v>
      </c>
    </row>
    <row r="1108">
      <c r="A1108" s="10">
        <v>43476.0</v>
      </c>
      <c r="B1108" s="11">
        <v>1541.0</v>
      </c>
      <c r="C1108" s="12">
        <v>0.3358</v>
      </c>
      <c r="D1108" s="2">
        <v>0.0022222222222222222</v>
      </c>
      <c r="E1108" s="12">
        <v>1.13</v>
      </c>
      <c r="F1108" s="12">
        <v>4.42</v>
      </c>
      <c r="G1108" s="11">
        <v>7679.0</v>
      </c>
      <c r="H1108" s="11">
        <v>1736.0</v>
      </c>
    </row>
    <row r="1109">
      <c r="A1109" s="10">
        <v>43477.0</v>
      </c>
      <c r="B1109" s="11">
        <v>1055.0</v>
      </c>
      <c r="C1109" s="12">
        <v>0.3977</v>
      </c>
      <c r="D1109" s="2">
        <v>0.0027546296296296294</v>
      </c>
      <c r="E1109" s="12">
        <v>1.16</v>
      </c>
      <c r="F1109" s="12">
        <v>5.47</v>
      </c>
      <c r="G1109" s="11">
        <v>6679.0</v>
      </c>
      <c r="H1109" s="11">
        <v>1222.0</v>
      </c>
    </row>
    <row r="1110">
      <c r="A1110" s="10">
        <v>43478.0</v>
      </c>
      <c r="B1110" s="11">
        <v>1014.0</v>
      </c>
      <c r="C1110" s="12">
        <v>0.434</v>
      </c>
      <c r="D1110" s="2">
        <v>0.0021180555555555558</v>
      </c>
      <c r="E1110" s="12">
        <v>1.14</v>
      </c>
      <c r="F1110" s="12">
        <v>4.72</v>
      </c>
      <c r="G1110" s="11">
        <v>5443.0</v>
      </c>
      <c r="H1110" s="11">
        <v>1152.0</v>
      </c>
    </row>
    <row r="1111">
      <c r="A1111" s="10">
        <v>43479.0</v>
      </c>
      <c r="B1111" s="11">
        <v>2194.0</v>
      </c>
      <c r="C1111" s="12">
        <v>0.4141</v>
      </c>
      <c r="D1111" s="2">
        <v>0.0021759259259259258</v>
      </c>
      <c r="E1111" s="12">
        <v>1.07</v>
      </c>
      <c r="F1111" s="12">
        <v>4.68</v>
      </c>
      <c r="G1111" s="11">
        <v>10983.0</v>
      </c>
      <c r="H1111" s="11">
        <v>2347.0</v>
      </c>
    </row>
    <row r="1112">
      <c r="A1112" s="10">
        <v>43480.0</v>
      </c>
      <c r="B1112" s="11">
        <v>1583.0</v>
      </c>
      <c r="C1112" s="12">
        <v>0.3824</v>
      </c>
      <c r="D1112" s="2">
        <v>0.002638888888888889</v>
      </c>
      <c r="E1112" s="12">
        <v>1.19</v>
      </c>
      <c r="F1112" s="12">
        <v>4.56</v>
      </c>
      <c r="G1112" s="11">
        <v>8609.0</v>
      </c>
      <c r="H1112" s="11">
        <v>1888.0</v>
      </c>
    </row>
    <row r="1113">
      <c r="A1113" s="10">
        <v>43481.0</v>
      </c>
      <c r="B1113" s="11">
        <v>1638.0</v>
      </c>
      <c r="C1113" s="12">
        <v>0.3156</v>
      </c>
      <c r="D1113" s="2">
        <v>0.0026157407407407405</v>
      </c>
      <c r="E1113" s="12">
        <v>1.13</v>
      </c>
      <c r="F1113" s="12">
        <v>5.74</v>
      </c>
      <c r="G1113" s="11">
        <v>10595.0</v>
      </c>
      <c r="H1113" s="11">
        <v>1847.0</v>
      </c>
    </row>
    <row r="1114">
      <c r="A1114" s="10">
        <v>43482.0</v>
      </c>
      <c r="B1114" s="11">
        <v>1555.0</v>
      </c>
      <c r="C1114" s="12">
        <v>0.3562</v>
      </c>
      <c r="D1114" s="2">
        <v>0.001979166666666667</v>
      </c>
      <c r="E1114" s="12">
        <v>1.18</v>
      </c>
      <c r="F1114" s="12">
        <v>4.99</v>
      </c>
      <c r="G1114" s="11">
        <v>9150.0</v>
      </c>
      <c r="H1114" s="11">
        <v>1833.0</v>
      </c>
    </row>
    <row r="1115">
      <c r="A1115" s="10">
        <v>43483.0</v>
      </c>
      <c r="B1115" s="11">
        <v>1389.0</v>
      </c>
      <c r="C1115" s="12">
        <v>0.3659</v>
      </c>
      <c r="D1115" s="2">
        <v>0.002534722222222222</v>
      </c>
      <c r="E1115" s="12">
        <v>1.12</v>
      </c>
      <c r="F1115" s="12">
        <v>4.0</v>
      </c>
      <c r="G1115" s="11">
        <v>6221.0</v>
      </c>
      <c r="H1115" s="11">
        <v>1555.0</v>
      </c>
    </row>
    <row r="1116">
      <c r="A1116" s="10">
        <v>43484.0</v>
      </c>
      <c r="B1116" s="11">
        <v>1097.0</v>
      </c>
      <c r="C1116" s="12">
        <v>0.4206</v>
      </c>
      <c r="D1116" s="2">
        <v>0.001736111111111111</v>
      </c>
      <c r="E1116" s="12">
        <v>1.11</v>
      </c>
      <c r="F1116" s="12">
        <v>4.89</v>
      </c>
      <c r="G1116" s="11">
        <v>5971.0</v>
      </c>
      <c r="H1116" s="11">
        <v>1222.0</v>
      </c>
    </row>
    <row r="1117">
      <c r="A1117" s="10">
        <v>43485.0</v>
      </c>
      <c r="B1117" s="11">
        <v>1139.0</v>
      </c>
      <c r="C1117" s="12">
        <v>0.3819</v>
      </c>
      <c r="D1117" s="2">
        <v>0.002939814814814815</v>
      </c>
      <c r="E1117" s="12">
        <v>1.09</v>
      </c>
      <c r="F1117" s="12">
        <v>6.19</v>
      </c>
      <c r="G1117" s="11">
        <v>7651.0</v>
      </c>
      <c r="H1117" s="11">
        <v>1236.0</v>
      </c>
    </row>
    <row r="1118">
      <c r="A1118" s="10">
        <v>43486.0</v>
      </c>
      <c r="B1118" s="11">
        <v>1416.0</v>
      </c>
      <c r="C1118" s="12">
        <v>0.4037</v>
      </c>
      <c r="D1118" s="2">
        <v>0.0022800925925925927</v>
      </c>
      <c r="E1118" s="12">
        <v>1.12</v>
      </c>
      <c r="F1118" s="12">
        <v>5.08</v>
      </c>
      <c r="G1118" s="11">
        <v>8040.0</v>
      </c>
      <c r="H1118" s="11">
        <v>1583.0</v>
      </c>
    </row>
    <row r="1119">
      <c r="A1119" s="10">
        <v>43487.0</v>
      </c>
      <c r="B1119" s="11">
        <v>1583.0</v>
      </c>
      <c r="C1119" s="12">
        <v>0.3804</v>
      </c>
      <c r="D1119" s="2">
        <v>0.0023263888888888887</v>
      </c>
      <c r="E1119" s="12">
        <v>1.18</v>
      </c>
      <c r="F1119" s="12">
        <v>5.33</v>
      </c>
      <c r="G1119" s="11">
        <v>9928.0</v>
      </c>
      <c r="H1119" s="11">
        <v>1861.0</v>
      </c>
    </row>
    <row r="1120">
      <c r="A1120" s="10">
        <v>43488.0</v>
      </c>
      <c r="B1120" s="11">
        <v>1736.0</v>
      </c>
      <c r="C1120" s="12">
        <v>0.3109</v>
      </c>
      <c r="D1120" s="2">
        <v>0.0021875</v>
      </c>
      <c r="E1120" s="12">
        <v>1.08</v>
      </c>
      <c r="F1120" s="12">
        <v>4.67</v>
      </c>
      <c r="G1120" s="11">
        <v>8748.0</v>
      </c>
      <c r="H1120" s="11">
        <v>1875.0</v>
      </c>
    </row>
    <row r="1121">
      <c r="A1121" s="10">
        <v>43489.0</v>
      </c>
      <c r="B1121" s="11">
        <v>1555.0</v>
      </c>
      <c r="C1121" s="12">
        <v>0.369</v>
      </c>
      <c r="D1121" s="2">
        <v>0.002025462962962963</v>
      </c>
      <c r="E1121" s="12">
        <v>1.16</v>
      </c>
      <c r="F1121" s="12">
        <v>4.82</v>
      </c>
      <c r="G1121" s="11">
        <v>8692.0</v>
      </c>
      <c r="H1121" s="11">
        <v>1805.0</v>
      </c>
    </row>
    <row r="1122">
      <c r="A1122" s="10">
        <v>43490.0</v>
      </c>
      <c r="B1122" s="11">
        <v>1611.0</v>
      </c>
      <c r="C1122" s="12">
        <v>0.3778</v>
      </c>
      <c r="D1122" s="2">
        <v>0.002013888888888889</v>
      </c>
      <c r="E1122" s="12">
        <v>1.09</v>
      </c>
      <c r="F1122" s="12">
        <v>4.44</v>
      </c>
      <c r="G1122" s="11">
        <v>7831.0</v>
      </c>
      <c r="H1122" s="11">
        <v>1763.0</v>
      </c>
    </row>
    <row r="1123">
      <c r="A1123" s="10">
        <v>43491.0</v>
      </c>
      <c r="B1123" s="11">
        <v>1069.0</v>
      </c>
      <c r="C1123" s="12">
        <v>0.3748</v>
      </c>
      <c r="D1123" s="2">
        <v>0.003275462962962963</v>
      </c>
      <c r="E1123" s="12">
        <v>1.14</v>
      </c>
      <c r="F1123" s="12">
        <v>6.06</v>
      </c>
      <c r="G1123" s="11">
        <v>7401.0</v>
      </c>
      <c r="H1123" s="11">
        <v>1222.0</v>
      </c>
    </row>
    <row r="1124">
      <c r="A1124" s="10">
        <v>43492.0</v>
      </c>
      <c r="B1124" s="11">
        <v>1194.0</v>
      </c>
      <c r="C1124" s="12">
        <v>0.4479</v>
      </c>
      <c r="D1124" s="2">
        <v>0.0011689814814814816</v>
      </c>
      <c r="E1124" s="12">
        <v>1.12</v>
      </c>
      <c r="F1124" s="12">
        <v>3.95</v>
      </c>
      <c r="G1124" s="11">
        <v>5263.0</v>
      </c>
      <c r="H1124" s="11">
        <v>1333.0</v>
      </c>
    </row>
    <row r="1125">
      <c r="A1125" s="10">
        <v>43493.0</v>
      </c>
      <c r="B1125" s="11">
        <v>1611.0</v>
      </c>
      <c r="C1125" s="12">
        <v>0.3833</v>
      </c>
      <c r="D1125" s="2">
        <v>0.0022453703703703702</v>
      </c>
      <c r="E1125" s="12">
        <v>1.15</v>
      </c>
      <c r="F1125" s="12">
        <v>4.56</v>
      </c>
      <c r="G1125" s="11">
        <v>8415.0</v>
      </c>
      <c r="H1125" s="11">
        <v>1847.0</v>
      </c>
    </row>
    <row r="1126">
      <c r="A1126" s="10">
        <v>43494.0</v>
      </c>
      <c r="B1126" s="11">
        <v>1805.0</v>
      </c>
      <c r="C1126" s="12">
        <v>0.4011</v>
      </c>
      <c r="D1126" s="2">
        <v>0.0020601851851851853</v>
      </c>
      <c r="E1126" s="12">
        <v>1.09</v>
      </c>
      <c r="F1126" s="12">
        <v>4.79</v>
      </c>
      <c r="G1126" s="11">
        <v>9442.0</v>
      </c>
      <c r="H1126" s="11">
        <v>1972.0</v>
      </c>
    </row>
    <row r="1127">
      <c r="A1127" s="10">
        <v>43495.0</v>
      </c>
      <c r="B1127" s="11">
        <v>1722.0</v>
      </c>
      <c r="C1127" s="12">
        <v>0.4316</v>
      </c>
      <c r="D1127" s="2">
        <v>0.0017013888888888888</v>
      </c>
      <c r="E1127" s="12">
        <v>1.12</v>
      </c>
      <c r="F1127" s="12">
        <v>3.89</v>
      </c>
      <c r="G1127" s="11">
        <v>7512.0</v>
      </c>
      <c r="H1127" s="11">
        <v>1930.0</v>
      </c>
    </row>
    <row r="1128">
      <c r="A1128" s="10">
        <v>43496.0</v>
      </c>
      <c r="B1128" s="11">
        <v>1750.0</v>
      </c>
      <c r="C1128" s="12">
        <v>0.3575</v>
      </c>
      <c r="D1128" s="2">
        <v>0.0024537037037037036</v>
      </c>
      <c r="E1128" s="12">
        <v>1.09</v>
      </c>
      <c r="F1128" s="12">
        <v>4.94</v>
      </c>
      <c r="G1128" s="11">
        <v>9387.0</v>
      </c>
      <c r="H1128" s="11">
        <v>1902.0</v>
      </c>
    </row>
    <row r="1129">
      <c r="A1129" s="10">
        <v>43497.0</v>
      </c>
      <c r="B1129" s="11">
        <v>1305.0</v>
      </c>
      <c r="C1129" s="12">
        <v>0.3532</v>
      </c>
      <c r="D1129" s="2">
        <v>0.001736111111111111</v>
      </c>
      <c r="E1129" s="12">
        <v>1.23</v>
      </c>
      <c r="F1129" s="12">
        <v>4.54</v>
      </c>
      <c r="G1129" s="11">
        <v>7318.0</v>
      </c>
      <c r="H1129" s="11">
        <v>1611.0</v>
      </c>
    </row>
    <row r="1130">
      <c r="A1130" s="10">
        <v>43498.0</v>
      </c>
      <c r="B1130" s="11">
        <v>1194.0</v>
      </c>
      <c r="C1130" s="12">
        <v>0.3402</v>
      </c>
      <c r="D1130" s="2">
        <v>0.0021875</v>
      </c>
      <c r="E1130" s="12">
        <v>1.09</v>
      </c>
      <c r="F1130" s="12">
        <v>4.26</v>
      </c>
      <c r="G1130" s="11">
        <v>5554.0</v>
      </c>
      <c r="H1130" s="11">
        <v>1305.0</v>
      </c>
    </row>
    <row r="1131">
      <c r="A1131" s="10">
        <v>43499.0</v>
      </c>
      <c r="B1131" s="11">
        <v>1041.0</v>
      </c>
      <c r="C1131" s="12">
        <v>0.3907</v>
      </c>
      <c r="D1131" s="2">
        <v>0.0016203703703703703</v>
      </c>
      <c r="E1131" s="12">
        <v>1.16</v>
      </c>
      <c r="F1131" s="12">
        <v>4.21</v>
      </c>
      <c r="G1131" s="11">
        <v>5082.0</v>
      </c>
      <c r="H1131" s="11">
        <v>1208.0</v>
      </c>
    </row>
    <row r="1132">
      <c r="A1132" s="10">
        <v>43500.0</v>
      </c>
      <c r="B1132" s="11">
        <v>2055.0</v>
      </c>
      <c r="C1132" s="12">
        <v>0.4269</v>
      </c>
      <c r="D1132" s="2">
        <v>0.0024537037037037036</v>
      </c>
      <c r="E1132" s="12">
        <v>1.11</v>
      </c>
      <c r="F1132" s="12">
        <v>4.45</v>
      </c>
      <c r="G1132" s="11">
        <v>10136.0</v>
      </c>
      <c r="H1132" s="11">
        <v>2277.0</v>
      </c>
    </row>
    <row r="1133">
      <c r="A1133" s="10">
        <v>43501.0</v>
      </c>
      <c r="B1133" s="11">
        <v>1736.0</v>
      </c>
      <c r="C1133" s="12">
        <v>0.4254</v>
      </c>
      <c r="D1133" s="2">
        <v>0.0021180555555555558</v>
      </c>
      <c r="E1133" s="12">
        <v>1.13</v>
      </c>
      <c r="F1133" s="12">
        <v>4.33</v>
      </c>
      <c r="G1133" s="11">
        <v>8470.0</v>
      </c>
      <c r="H1133" s="11">
        <v>1958.0</v>
      </c>
    </row>
    <row r="1134">
      <c r="A1134" s="10">
        <v>43502.0</v>
      </c>
      <c r="B1134" s="11">
        <v>1916.0</v>
      </c>
      <c r="C1134" s="12">
        <v>0.4211</v>
      </c>
      <c r="D1134" s="2">
        <v>0.0017013888888888888</v>
      </c>
      <c r="E1134" s="12">
        <v>1.1</v>
      </c>
      <c r="F1134" s="12">
        <v>4.2</v>
      </c>
      <c r="G1134" s="11">
        <v>8859.0</v>
      </c>
      <c r="H1134" s="11">
        <v>2111.0</v>
      </c>
    </row>
    <row r="1135">
      <c r="A1135" s="10">
        <v>43503.0</v>
      </c>
      <c r="B1135" s="11">
        <v>2249.0</v>
      </c>
      <c r="C1135" s="12">
        <v>0.3315</v>
      </c>
      <c r="D1135" s="2">
        <v>0.0017939814814814815</v>
      </c>
      <c r="E1135" s="12">
        <v>1.15</v>
      </c>
      <c r="F1135" s="12">
        <v>4.46</v>
      </c>
      <c r="G1135" s="11">
        <v>11580.0</v>
      </c>
      <c r="H1135" s="11">
        <v>2597.0</v>
      </c>
    </row>
    <row r="1136">
      <c r="A1136" s="10">
        <v>43504.0</v>
      </c>
      <c r="B1136" s="11">
        <v>1444.0</v>
      </c>
      <c r="C1136" s="12">
        <v>0.372</v>
      </c>
      <c r="D1136" s="2">
        <v>0.001875</v>
      </c>
      <c r="E1136" s="12">
        <v>1.16</v>
      </c>
      <c r="F1136" s="12">
        <v>3.88</v>
      </c>
      <c r="G1136" s="11">
        <v>6512.0</v>
      </c>
      <c r="H1136" s="11">
        <v>1680.0</v>
      </c>
    </row>
    <row r="1137">
      <c r="A1137" s="10">
        <v>43505.0</v>
      </c>
      <c r="B1137" s="11">
        <v>1180.0</v>
      </c>
      <c r="C1137" s="12">
        <v>0.3623</v>
      </c>
      <c r="D1137" s="2">
        <v>0.0014814814814814814</v>
      </c>
      <c r="E1137" s="12">
        <v>1.07</v>
      </c>
      <c r="F1137" s="12">
        <v>4.55</v>
      </c>
      <c r="G1137" s="11">
        <v>5749.0</v>
      </c>
      <c r="H1137" s="11">
        <v>1264.0</v>
      </c>
    </row>
    <row r="1138">
      <c r="A1138" s="10">
        <v>43506.0</v>
      </c>
      <c r="B1138" s="11">
        <v>1291.0</v>
      </c>
      <c r="C1138" s="12">
        <v>0.3943</v>
      </c>
      <c r="D1138" s="2">
        <v>0.0013078703703703703</v>
      </c>
      <c r="E1138" s="12">
        <v>1.17</v>
      </c>
      <c r="F1138" s="12">
        <v>3.77</v>
      </c>
      <c r="G1138" s="11">
        <v>5707.0</v>
      </c>
      <c r="H1138" s="11">
        <v>1514.0</v>
      </c>
    </row>
    <row r="1139">
      <c r="A1139" s="10">
        <v>43507.0</v>
      </c>
      <c r="B1139" s="11">
        <v>1625.0</v>
      </c>
      <c r="C1139" s="12">
        <v>0.3786</v>
      </c>
      <c r="D1139" s="2">
        <v>0.0029745370370370373</v>
      </c>
      <c r="E1139" s="12">
        <v>1.13</v>
      </c>
      <c r="F1139" s="12">
        <v>5.79</v>
      </c>
      <c r="G1139" s="11">
        <v>10608.0</v>
      </c>
      <c r="H1139" s="11">
        <v>1833.0</v>
      </c>
    </row>
    <row r="1140">
      <c r="A1140" s="10">
        <v>43508.0</v>
      </c>
      <c r="B1140" s="11">
        <v>1888.0</v>
      </c>
      <c r="C1140" s="12">
        <v>0.4229</v>
      </c>
      <c r="D1140" s="2">
        <v>0.0018055555555555555</v>
      </c>
      <c r="E1140" s="12">
        <v>1.1</v>
      </c>
      <c r="F1140" s="12">
        <v>4.4</v>
      </c>
      <c r="G1140" s="11">
        <v>9109.0</v>
      </c>
      <c r="H1140" s="11">
        <v>2069.0</v>
      </c>
    </row>
    <row r="1141">
      <c r="A1141" s="10">
        <v>43509.0</v>
      </c>
      <c r="B1141" s="11">
        <v>1583.0</v>
      </c>
      <c r="C1141" s="12">
        <v>0.3596</v>
      </c>
      <c r="D1141" s="2">
        <v>0.002638888888888889</v>
      </c>
      <c r="E1141" s="12">
        <v>1.22</v>
      </c>
      <c r="F1141" s="12">
        <v>4.54</v>
      </c>
      <c r="G1141" s="11">
        <v>8762.0</v>
      </c>
      <c r="H1141" s="11">
        <v>1930.0</v>
      </c>
    </row>
    <row r="1142">
      <c r="A1142" s="10">
        <v>43510.0</v>
      </c>
      <c r="B1142" s="11">
        <v>1819.0</v>
      </c>
      <c r="C1142" s="12">
        <v>0.2936</v>
      </c>
      <c r="D1142" s="2">
        <v>0.0022222222222222222</v>
      </c>
      <c r="E1142" s="12">
        <v>1.09</v>
      </c>
      <c r="F1142" s="12">
        <v>5.19</v>
      </c>
      <c r="G1142" s="11">
        <v>10317.0</v>
      </c>
      <c r="H1142" s="11">
        <v>1986.0</v>
      </c>
    </row>
    <row r="1143">
      <c r="A1143" s="10">
        <v>43511.0</v>
      </c>
      <c r="B1143" s="11">
        <v>1944.0</v>
      </c>
      <c r="C1143" s="12">
        <v>0.3643</v>
      </c>
      <c r="D1143" s="2">
        <v>0.0016435185185185185</v>
      </c>
      <c r="E1143" s="12">
        <v>1.08</v>
      </c>
      <c r="F1143" s="12">
        <v>4.14</v>
      </c>
      <c r="G1143" s="11">
        <v>8692.0</v>
      </c>
      <c r="H1143" s="11">
        <v>2097.0</v>
      </c>
    </row>
    <row r="1144">
      <c r="A1144" s="10">
        <v>43512.0</v>
      </c>
      <c r="B1144" s="11">
        <v>1361.0</v>
      </c>
      <c r="C1144" s="12">
        <v>0.4128</v>
      </c>
      <c r="D1144" s="2">
        <v>0.0017476851851851852</v>
      </c>
      <c r="E1144" s="12">
        <v>1.11</v>
      </c>
      <c r="F1144" s="12">
        <v>3.65</v>
      </c>
      <c r="G1144" s="11">
        <v>5526.0</v>
      </c>
      <c r="H1144" s="11">
        <v>1514.0</v>
      </c>
    </row>
    <row r="1145">
      <c r="A1145" s="10">
        <v>43513.0</v>
      </c>
      <c r="B1145" s="11">
        <v>1375.0</v>
      </c>
      <c r="C1145" s="12">
        <v>0.3887</v>
      </c>
      <c r="D1145" s="2">
        <v>0.0022916666666666667</v>
      </c>
      <c r="E1145" s="12">
        <v>1.09</v>
      </c>
      <c r="F1145" s="12">
        <v>4.67</v>
      </c>
      <c r="G1145" s="11">
        <v>6998.0</v>
      </c>
      <c r="H1145" s="11">
        <v>1500.0</v>
      </c>
    </row>
    <row r="1146">
      <c r="A1146" s="10">
        <v>43514.0</v>
      </c>
      <c r="B1146" s="11">
        <v>1875.0</v>
      </c>
      <c r="C1146" s="12">
        <v>0.5196</v>
      </c>
      <c r="D1146" s="2">
        <v>0.0022453703703703702</v>
      </c>
      <c r="E1146" s="12">
        <v>1.14</v>
      </c>
      <c r="F1146" s="12">
        <v>4.01</v>
      </c>
      <c r="G1146" s="11">
        <v>8567.0</v>
      </c>
      <c r="H1146" s="11">
        <v>2138.0</v>
      </c>
    </row>
    <row r="1147">
      <c r="A1147" s="10">
        <v>43515.0</v>
      </c>
      <c r="B1147" s="11">
        <v>2333.0</v>
      </c>
      <c r="C1147" s="12">
        <v>0.4287</v>
      </c>
      <c r="D1147" s="2">
        <v>0.0017708333333333332</v>
      </c>
      <c r="E1147" s="12">
        <v>1.12</v>
      </c>
      <c r="F1147" s="12">
        <v>3.73</v>
      </c>
      <c r="G1147" s="11">
        <v>9775.0</v>
      </c>
      <c r="H1147" s="11">
        <v>2624.0</v>
      </c>
    </row>
    <row r="1148">
      <c r="A1148" s="10">
        <v>43516.0</v>
      </c>
      <c r="B1148" s="11">
        <v>2735.0</v>
      </c>
      <c r="C1148" s="12">
        <v>0.4537</v>
      </c>
      <c r="D1148" s="2">
        <v>0.0016087962962962963</v>
      </c>
      <c r="E1148" s="12">
        <v>1.15</v>
      </c>
      <c r="F1148" s="12">
        <v>3.78</v>
      </c>
      <c r="G1148" s="11">
        <v>11914.0</v>
      </c>
      <c r="H1148" s="11">
        <v>3152.0</v>
      </c>
    </row>
    <row r="1149">
      <c r="A1149" s="10">
        <v>43517.0</v>
      </c>
      <c r="B1149" s="11">
        <v>2347.0</v>
      </c>
      <c r="C1149" s="12">
        <v>0.4284</v>
      </c>
      <c r="D1149" s="2">
        <v>0.001851851851851852</v>
      </c>
      <c r="E1149" s="12">
        <v>1.16</v>
      </c>
      <c r="F1149" s="12">
        <v>4.39</v>
      </c>
      <c r="G1149" s="11">
        <v>11941.0</v>
      </c>
      <c r="H1149" s="11">
        <v>2722.0</v>
      </c>
    </row>
    <row r="1150">
      <c r="A1150" s="10">
        <v>43518.0</v>
      </c>
      <c r="B1150" s="11">
        <v>2069.0</v>
      </c>
      <c r="C1150" s="12">
        <v>0.4853</v>
      </c>
      <c r="D1150" s="2">
        <v>0.0020601851851851853</v>
      </c>
      <c r="E1150" s="12">
        <v>1.13</v>
      </c>
      <c r="F1150" s="12">
        <v>4.02</v>
      </c>
      <c r="G1150" s="11">
        <v>9428.0</v>
      </c>
      <c r="H1150" s="11">
        <v>2347.0</v>
      </c>
    </row>
    <row r="1151">
      <c r="A1151" s="10">
        <v>43519.0</v>
      </c>
      <c r="B1151" s="11">
        <v>1569.0</v>
      </c>
      <c r="C1151" s="12">
        <v>0.4437</v>
      </c>
      <c r="D1151" s="2">
        <v>0.0019328703703703704</v>
      </c>
      <c r="E1151" s="12">
        <v>1.1</v>
      </c>
      <c r="F1151" s="12">
        <v>4.37</v>
      </c>
      <c r="G1151" s="11">
        <v>7526.0</v>
      </c>
      <c r="H1151" s="11">
        <v>1722.0</v>
      </c>
    </row>
    <row r="1152">
      <c r="A1152" s="10">
        <v>43520.0</v>
      </c>
      <c r="B1152" s="11">
        <v>1500.0</v>
      </c>
      <c r="C1152" s="12">
        <v>0.4334</v>
      </c>
      <c r="D1152" s="2">
        <v>0.002210648148148148</v>
      </c>
      <c r="E1152" s="12">
        <v>1.18</v>
      </c>
      <c r="F1152" s="12">
        <v>4.36</v>
      </c>
      <c r="G1152" s="11">
        <v>7693.0</v>
      </c>
      <c r="H1152" s="11">
        <v>1763.0</v>
      </c>
    </row>
    <row r="1153">
      <c r="A1153" s="10">
        <v>43521.0</v>
      </c>
      <c r="B1153" s="11">
        <v>2277.0</v>
      </c>
      <c r="C1153" s="12">
        <v>0.4677</v>
      </c>
      <c r="D1153" s="2">
        <v>0.0022453703703703702</v>
      </c>
      <c r="E1153" s="12">
        <v>1.13</v>
      </c>
      <c r="F1153" s="12">
        <v>4.14</v>
      </c>
      <c r="G1153" s="11">
        <v>10706.0</v>
      </c>
      <c r="H1153" s="11">
        <v>2583.0</v>
      </c>
    </row>
    <row r="1154">
      <c r="A1154" s="10">
        <v>43522.0</v>
      </c>
      <c r="B1154" s="11">
        <v>2402.0</v>
      </c>
      <c r="C1154" s="12">
        <v>0.4011</v>
      </c>
      <c r="D1154" s="2">
        <v>0.0021643518518518518</v>
      </c>
      <c r="E1154" s="12">
        <v>1.14</v>
      </c>
      <c r="F1154" s="12">
        <v>4.29</v>
      </c>
      <c r="G1154" s="11">
        <v>11733.0</v>
      </c>
      <c r="H1154" s="11">
        <v>2735.0</v>
      </c>
    </row>
    <row r="1155">
      <c r="A1155" s="10">
        <v>43523.0</v>
      </c>
      <c r="B1155" s="11">
        <v>2194.0</v>
      </c>
      <c r="C1155" s="12">
        <v>0.4431</v>
      </c>
      <c r="D1155" s="2">
        <v>0.0015393518518518519</v>
      </c>
      <c r="E1155" s="12">
        <v>1.11</v>
      </c>
      <c r="F1155" s="12">
        <v>3.92</v>
      </c>
      <c r="G1155" s="11">
        <v>9581.0</v>
      </c>
      <c r="H1155" s="11">
        <v>2444.0</v>
      </c>
    </row>
    <row r="1156">
      <c r="A1156" s="10">
        <v>43524.0</v>
      </c>
      <c r="B1156" s="11">
        <v>2041.0</v>
      </c>
      <c r="C1156" s="12">
        <v>0.4702</v>
      </c>
      <c r="D1156" s="2">
        <v>0.001979166666666667</v>
      </c>
      <c r="E1156" s="12">
        <v>1.14</v>
      </c>
      <c r="F1156" s="12">
        <v>4.02</v>
      </c>
      <c r="G1156" s="11">
        <v>9373.0</v>
      </c>
      <c r="H1156" s="11">
        <v>2333.0</v>
      </c>
    </row>
    <row r="1157">
      <c r="A1157" s="10">
        <v>43525.0</v>
      </c>
      <c r="B1157" s="11">
        <v>1861.0</v>
      </c>
      <c r="C1157" s="12">
        <v>0.4171</v>
      </c>
      <c r="D1157" s="2">
        <v>0.0017592592592592592</v>
      </c>
      <c r="E1157" s="12">
        <v>1.22</v>
      </c>
      <c r="F1157" s="12">
        <v>3.87</v>
      </c>
      <c r="G1157" s="11">
        <v>8762.0</v>
      </c>
      <c r="H1157" s="11">
        <v>2263.0</v>
      </c>
    </row>
    <row r="1158">
      <c r="A1158" s="10">
        <v>43526.0</v>
      </c>
      <c r="B1158" s="11">
        <v>1347.0</v>
      </c>
      <c r="C1158" s="12">
        <v>0.3444</v>
      </c>
      <c r="D1158" s="2">
        <v>0.002638888888888889</v>
      </c>
      <c r="E1158" s="12">
        <v>1.23</v>
      </c>
      <c r="F1158" s="12">
        <v>5.1</v>
      </c>
      <c r="G1158" s="11">
        <v>8428.0</v>
      </c>
      <c r="H1158" s="11">
        <v>1652.0</v>
      </c>
    </row>
    <row r="1159">
      <c r="A1159" s="10">
        <v>43527.0</v>
      </c>
      <c r="B1159" s="11">
        <v>1736.0</v>
      </c>
      <c r="C1159" s="12">
        <v>0.387</v>
      </c>
      <c r="D1159" s="2">
        <v>0.0018981481481481482</v>
      </c>
      <c r="E1159" s="12">
        <v>1.1</v>
      </c>
      <c r="F1159" s="12">
        <v>4.25</v>
      </c>
      <c r="G1159" s="11">
        <v>8081.0</v>
      </c>
      <c r="H1159" s="11">
        <v>1902.0</v>
      </c>
    </row>
    <row r="1160">
      <c r="A1160" s="10">
        <v>43528.0</v>
      </c>
      <c r="B1160" s="11">
        <v>2430.0</v>
      </c>
      <c r="C1160" s="12">
        <v>0.4051</v>
      </c>
      <c r="D1160" s="2">
        <v>0.001851851851851852</v>
      </c>
      <c r="E1160" s="12">
        <v>1.11</v>
      </c>
      <c r="F1160" s="12">
        <v>4.79</v>
      </c>
      <c r="G1160" s="11">
        <v>12969.0</v>
      </c>
      <c r="H1160" s="11">
        <v>2708.0</v>
      </c>
    </row>
    <row r="1161">
      <c r="A1161" s="10">
        <v>43529.0</v>
      </c>
      <c r="B1161" s="11">
        <v>2249.0</v>
      </c>
      <c r="C1161" s="12">
        <v>0.4278</v>
      </c>
      <c r="D1161" s="2">
        <v>0.0018171296296296297</v>
      </c>
      <c r="E1161" s="12">
        <v>1.11</v>
      </c>
      <c r="F1161" s="12">
        <v>4.27</v>
      </c>
      <c r="G1161" s="11">
        <v>10664.0</v>
      </c>
      <c r="H1161" s="11">
        <v>2499.0</v>
      </c>
    </row>
    <row r="1162">
      <c r="A1162" s="10">
        <v>43530.0</v>
      </c>
      <c r="B1162" s="11">
        <v>2291.0</v>
      </c>
      <c r="C1162" s="12">
        <v>0.3563</v>
      </c>
      <c r="D1162" s="2">
        <v>0.002511574074074074</v>
      </c>
      <c r="E1162" s="12">
        <v>1.14</v>
      </c>
      <c r="F1162" s="12">
        <v>5.89</v>
      </c>
      <c r="G1162" s="11">
        <v>15371.0</v>
      </c>
      <c r="H1162" s="11">
        <v>2610.0</v>
      </c>
    </row>
    <row r="1163">
      <c r="A1163" s="10">
        <v>43531.0</v>
      </c>
      <c r="B1163" s="11">
        <v>2374.0</v>
      </c>
      <c r="C1163" s="12">
        <v>0.3859</v>
      </c>
      <c r="D1163" s="2">
        <v>0.0020833333333333333</v>
      </c>
      <c r="E1163" s="12">
        <v>1.08</v>
      </c>
      <c r="F1163" s="12">
        <v>4.51</v>
      </c>
      <c r="G1163" s="11">
        <v>11525.0</v>
      </c>
      <c r="H1163" s="11">
        <v>2555.0</v>
      </c>
    </row>
    <row r="1164">
      <c r="A1164" s="10">
        <v>43532.0</v>
      </c>
      <c r="B1164" s="11">
        <v>2069.0</v>
      </c>
      <c r="C1164" s="12">
        <v>0.4406</v>
      </c>
      <c r="D1164" s="2">
        <v>0.0021643518518518518</v>
      </c>
      <c r="E1164" s="12">
        <v>1.13</v>
      </c>
      <c r="F1164" s="12">
        <v>4.71</v>
      </c>
      <c r="G1164" s="11">
        <v>10983.0</v>
      </c>
      <c r="H1164" s="11">
        <v>2333.0</v>
      </c>
    </row>
    <row r="1165">
      <c r="A1165" s="10">
        <v>43533.0</v>
      </c>
      <c r="B1165" s="11">
        <v>1458.0</v>
      </c>
      <c r="C1165" s="12">
        <v>0.5208</v>
      </c>
      <c r="D1165" s="2">
        <v>0.0014930555555555556</v>
      </c>
      <c r="E1165" s="12">
        <v>1.15</v>
      </c>
      <c r="F1165" s="12">
        <v>3.47</v>
      </c>
      <c r="G1165" s="11">
        <v>5832.0</v>
      </c>
      <c r="H1165" s="11">
        <v>1680.0</v>
      </c>
    </row>
    <row r="1166">
      <c r="A1166" s="10">
        <v>43534.0</v>
      </c>
      <c r="B1166" s="11">
        <v>1458.0</v>
      </c>
      <c r="C1166" s="12">
        <v>0.4482</v>
      </c>
      <c r="D1166" s="2">
        <v>0.0011689814814814816</v>
      </c>
      <c r="E1166" s="12">
        <v>1.1</v>
      </c>
      <c r="F1166" s="12">
        <v>3.57</v>
      </c>
      <c r="G1166" s="11">
        <v>5749.0</v>
      </c>
      <c r="H1166" s="11">
        <v>1611.0</v>
      </c>
    </row>
    <row r="1167">
      <c r="A1167" s="10">
        <v>43535.0</v>
      </c>
      <c r="B1167" s="11">
        <v>2555.0</v>
      </c>
      <c r="C1167" s="12">
        <v>0.4292</v>
      </c>
      <c r="D1167" s="2">
        <v>0.0025694444444444445</v>
      </c>
      <c r="E1167" s="12">
        <v>1.08</v>
      </c>
      <c r="F1167" s="12">
        <v>4.36</v>
      </c>
      <c r="G1167" s="11">
        <v>11997.0</v>
      </c>
      <c r="H1167" s="11">
        <v>2749.0</v>
      </c>
    </row>
    <row r="1168">
      <c r="A1168" s="10">
        <v>43536.0</v>
      </c>
      <c r="B1168" s="11">
        <v>2402.0</v>
      </c>
      <c r="C1168" s="12">
        <v>0.5106</v>
      </c>
      <c r="D1168" s="2">
        <v>0.0018171296296296297</v>
      </c>
      <c r="E1168" s="12">
        <v>1.1</v>
      </c>
      <c r="F1168" s="12">
        <v>4.13</v>
      </c>
      <c r="G1168" s="11">
        <v>10886.0</v>
      </c>
      <c r="H1168" s="11">
        <v>2638.0</v>
      </c>
    </row>
    <row r="1169">
      <c r="A1169" s="10">
        <v>43537.0</v>
      </c>
      <c r="B1169" s="11">
        <v>2541.0</v>
      </c>
      <c r="C1169" s="12">
        <v>0.453</v>
      </c>
      <c r="D1169" s="2">
        <v>0.0014467592592592592</v>
      </c>
      <c r="E1169" s="12">
        <v>1.11</v>
      </c>
      <c r="F1169" s="12">
        <v>4.01</v>
      </c>
      <c r="G1169" s="11">
        <v>11317.0</v>
      </c>
      <c r="H1169" s="11">
        <v>2819.0</v>
      </c>
    </row>
    <row r="1170">
      <c r="A1170" s="10">
        <v>43538.0</v>
      </c>
      <c r="B1170" s="11">
        <v>2374.0</v>
      </c>
      <c r="C1170" s="12">
        <v>0.4093</v>
      </c>
      <c r="D1170" s="2">
        <v>0.0024652777777777776</v>
      </c>
      <c r="E1170" s="12">
        <v>1.13</v>
      </c>
      <c r="F1170" s="12">
        <v>4.58</v>
      </c>
      <c r="G1170" s="11">
        <v>12261.0</v>
      </c>
      <c r="H1170" s="11">
        <v>2680.0</v>
      </c>
    </row>
    <row r="1171">
      <c r="A1171" s="10">
        <v>43539.0</v>
      </c>
      <c r="B1171" s="11">
        <v>2097.0</v>
      </c>
      <c r="C1171" s="12">
        <v>0.439</v>
      </c>
      <c r="D1171" s="2">
        <v>0.002037037037037037</v>
      </c>
      <c r="E1171" s="12">
        <v>1.19</v>
      </c>
      <c r="F1171" s="12">
        <v>4.87</v>
      </c>
      <c r="G1171" s="11">
        <v>12164.0</v>
      </c>
      <c r="H1171" s="11">
        <v>2499.0</v>
      </c>
    </row>
    <row r="1172">
      <c r="A1172" s="10">
        <v>43540.0</v>
      </c>
      <c r="B1172" s="11">
        <v>1583.0</v>
      </c>
      <c r="C1172" s="12">
        <v>0.4283</v>
      </c>
      <c r="D1172" s="2">
        <v>0.0020949074074074073</v>
      </c>
      <c r="E1172" s="12">
        <v>1.17</v>
      </c>
      <c r="F1172" s="12">
        <v>4.33</v>
      </c>
      <c r="G1172" s="11">
        <v>7998.0</v>
      </c>
      <c r="H1172" s="11">
        <v>1847.0</v>
      </c>
    </row>
    <row r="1173">
      <c r="A1173" s="10">
        <v>43541.0</v>
      </c>
      <c r="B1173" s="11">
        <v>1389.0</v>
      </c>
      <c r="C1173" s="12">
        <v>0.4116</v>
      </c>
      <c r="D1173" s="2">
        <v>0.0023263888888888887</v>
      </c>
      <c r="E1173" s="12">
        <v>1.19</v>
      </c>
      <c r="F1173" s="12">
        <v>6.03</v>
      </c>
      <c r="G1173" s="11">
        <v>9956.0</v>
      </c>
      <c r="H1173" s="11">
        <v>1652.0</v>
      </c>
    </row>
    <row r="1174">
      <c r="A1174" s="10">
        <v>43542.0</v>
      </c>
      <c r="B1174" s="11">
        <v>2333.0</v>
      </c>
      <c r="C1174" s="12">
        <v>0.4284</v>
      </c>
      <c r="D1174" s="2">
        <v>0.001875</v>
      </c>
      <c r="E1174" s="12">
        <v>1.17</v>
      </c>
      <c r="F1174" s="12">
        <v>4.55</v>
      </c>
      <c r="G1174" s="11">
        <v>12372.0</v>
      </c>
      <c r="H1174" s="11">
        <v>2722.0</v>
      </c>
    </row>
    <row r="1175">
      <c r="A1175" s="10">
        <v>43543.0</v>
      </c>
      <c r="B1175" s="11">
        <v>2541.0</v>
      </c>
      <c r="C1175" s="12">
        <v>0.4398</v>
      </c>
      <c r="D1175" s="2">
        <v>0.0028472222222222223</v>
      </c>
      <c r="E1175" s="12">
        <v>1.13</v>
      </c>
      <c r="F1175" s="12">
        <v>4.97</v>
      </c>
      <c r="G1175" s="11">
        <v>14288.0</v>
      </c>
      <c r="H1175" s="11">
        <v>2874.0</v>
      </c>
    </row>
    <row r="1176">
      <c r="A1176" s="10">
        <v>43544.0</v>
      </c>
      <c r="B1176" s="11">
        <v>2430.0</v>
      </c>
      <c r="C1176" s="12">
        <v>0.4276</v>
      </c>
      <c r="D1176" s="2">
        <v>0.0017592592592592592</v>
      </c>
      <c r="E1176" s="12">
        <v>1.11</v>
      </c>
      <c r="F1176" s="12">
        <v>4.79</v>
      </c>
      <c r="G1176" s="11">
        <v>12900.0</v>
      </c>
      <c r="H1176" s="11">
        <v>2694.0</v>
      </c>
    </row>
    <row r="1177">
      <c r="A1177" s="10">
        <v>43545.0</v>
      </c>
      <c r="B1177" s="11">
        <v>2430.0</v>
      </c>
      <c r="C1177" s="12">
        <v>0.4011</v>
      </c>
      <c r="D1177" s="2">
        <v>0.002013888888888889</v>
      </c>
      <c r="E1177" s="12">
        <v>1.13</v>
      </c>
      <c r="F1177" s="12">
        <v>4.1</v>
      </c>
      <c r="G1177" s="11">
        <v>11219.0</v>
      </c>
      <c r="H1177" s="11">
        <v>2735.0</v>
      </c>
    </row>
    <row r="1178">
      <c r="A1178" s="10">
        <v>43546.0</v>
      </c>
      <c r="B1178" s="11">
        <v>2124.0</v>
      </c>
      <c r="C1178" s="12">
        <v>0.4385</v>
      </c>
      <c r="D1178" s="2">
        <v>0.0016203703703703703</v>
      </c>
      <c r="E1178" s="12">
        <v>1.12</v>
      </c>
      <c r="F1178" s="12">
        <v>4.05</v>
      </c>
      <c r="G1178" s="11">
        <v>9623.0</v>
      </c>
      <c r="H1178" s="11">
        <v>2374.0</v>
      </c>
    </row>
    <row r="1179">
      <c r="A1179" s="10">
        <v>43547.0</v>
      </c>
      <c r="B1179" s="11">
        <v>1555.0</v>
      </c>
      <c r="C1179" s="12">
        <v>0.4254</v>
      </c>
      <c r="D1179" s="2">
        <v>0.001712962962962963</v>
      </c>
      <c r="E1179" s="12">
        <v>1.13</v>
      </c>
      <c r="F1179" s="12">
        <v>4.01</v>
      </c>
      <c r="G1179" s="11">
        <v>7068.0</v>
      </c>
      <c r="H1179" s="11">
        <v>1763.0</v>
      </c>
    </row>
    <row r="1180">
      <c r="A1180" s="10">
        <v>43548.0</v>
      </c>
      <c r="B1180" s="11">
        <v>1652.0</v>
      </c>
      <c r="C1180" s="12">
        <v>0.4615</v>
      </c>
      <c r="D1180" s="2">
        <v>0.0016203703703703703</v>
      </c>
      <c r="E1180" s="12">
        <v>1.09</v>
      </c>
      <c r="F1180" s="12">
        <v>4.31</v>
      </c>
      <c r="G1180" s="11">
        <v>7776.0</v>
      </c>
      <c r="H1180" s="11">
        <v>1805.0</v>
      </c>
    </row>
    <row r="1181">
      <c r="A1181" s="10">
        <v>43549.0</v>
      </c>
      <c r="B1181" s="11">
        <v>2333.0</v>
      </c>
      <c r="C1181" s="12">
        <v>0.4519</v>
      </c>
      <c r="D1181" s="2">
        <v>0.0021296296296296298</v>
      </c>
      <c r="E1181" s="12">
        <v>1.17</v>
      </c>
      <c r="F1181" s="12">
        <v>4.32</v>
      </c>
      <c r="G1181" s="11">
        <v>11816.0</v>
      </c>
      <c r="H1181" s="11">
        <v>2735.0</v>
      </c>
    </row>
    <row r="1182">
      <c r="A1182" s="10">
        <v>43550.0</v>
      </c>
      <c r="B1182" s="11">
        <v>2361.0</v>
      </c>
      <c r="C1182" s="12">
        <v>0.4167</v>
      </c>
      <c r="D1182" s="2">
        <v>0.002766203703703704</v>
      </c>
      <c r="E1182" s="12">
        <v>1.13</v>
      </c>
      <c r="F1182" s="12">
        <v>4.53</v>
      </c>
      <c r="G1182" s="11">
        <v>12080.0</v>
      </c>
      <c r="H1182" s="11">
        <v>2666.0</v>
      </c>
    </row>
    <row r="1183">
      <c r="A1183" s="10">
        <v>43551.0</v>
      </c>
      <c r="B1183" s="11">
        <v>2361.0</v>
      </c>
      <c r="C1183" s="12">
        <v>0.4875</v>
      </c>
      <c r="D1183" s="2">
        <v>0.0017476851851851852</v>
      </c>
      <c r="E1183" s="12">
        <v>1.17</v>
      </c>
      <c r="F1183" s="12">
        <v>4.23</v>
      </c>
      <c r="G1183" s="11">
        <v>11691.0</v>
      </c>
      <c r="H1183" s="11">
        <v>2763.0</v>
      </c>
    </row>
    <row r="1184">
      <c r="A1184" s="10">
        <v>43552.0</v>
      </c>
      <c r="B1184" s="11">
        <v>2333.0</v>
      </c>
      <c r="C1184" s="12">
        <v>0.4534</v>
      </c>
      <c r="D1184" s="2">
        <v>0.0020949074074074073</v>
      </c>
      <c r="E1184" s="12">
        <v>1.09</v>
      </c>
      <c r="F1184" s="12">
        <v>4.58</v>
      </c>
      <c r="G1184" s="11">
        <v>11650.0</v>
      </c>
      <c r="H1184" s="11">
        <v>2541.0</v>
      </c>
    </row>
    <row r="1185">
      <c r="A1185" s="10">
        <v>43553.0</v>
      </c>
      <c r="B1185" s="11">
        <v>1930.0</v>
      </c>
      <c r="C1185" s="12">
        <v>0.412</v>
      </c>
      <c r="D1185" s="2">
        <v>0.0024305555555555556</v>
      </c>
      <c r="E1185" s="12">
        <v>1.19</v>
      </c>
      <c r="F1185" s="12">
        <v>5.06</v>
      </c>
      <c r="G1185" s="11">
        <v>11594.0</v>
      </c>
      <c r="H1185" s="11">
        <v>2291.0</v>
      </c>
    </row>
    <row r="1186">
      <c r="A1186" s="10">
        <v>43554.0</v>
      </c>
      <c r="B1186" s="11">
        <v>1597.0</v>
      </c>
      <c r="C1186" s="12">
        <v>0.4159</v>
      </c>
      <c r="D1186" s="2">
        <v>0.0020601851851851853</v>
      </c>
      <c r="E1186" s="12">
        <v>1.09</v>
      </c>
      <c r="F1186" s="12">
        <v>4.35</v>
      </c>
      <c r="G1186" s="11">
        <v>7554.0</v>
      </c>
      <c r="H1186" s="11">
        <v>1736.0</v>
      </c>
    </row>
    <row r="1187">
      <c r="A1187" s="10">
        <v>43555.0</v>
      </c>
      <c r="B1187" s="11">
        <v>1500.0</v>
      </c>
      <c r="C1187" s="12">
        <v>0.3277</v>
      </c>
      <c r="D1187" s="2">
        <v>0.0025</v>
      </c>
      <c r="E1187" s="12">
        <v>1.07</v>
      </c>
      <c r="F1187" s="12">
        <v>4.59</v>
      </c>
      <c r="G1187" s="11">
        <v>7387.0</v>
      </c>
      <c r="H1187" s="11">
        <v>1611.0</v>
      </c>
    </row>
    <row r="1188">
      <c r="A1188" s="10">
        <v>43556.0</v>
      </c>
      <c r="B1188" s="11">
        <v>2513.0</v>
      </c>
      <c r="C1188" s="12">
        <v>0.4484</v>
      </c>
      <c r="D1188" s="2">
        <v>0.001712962962962963</v>
      </c>
      <c r="E1188" s="12">
        <v>1.12</v>
      </c>
      <c r="F1188" s="12">
        <v>4.49</v>
      </c>
      <c r="G1188" s="11">
        <v>12650.0</v>
      </c>
      <c r="H1188" s="11">
        <v>2819.0</v>
      </c>
    </row>
    <row r="1189">
      <c r="A1189" s="10">
        <v>43557.0</v>
      </c>
      <c r="B1189" s="11">
        <v>2305.0</v>
      </c>
      <c r="C1189" s="12">
        <v>0.4084</v>
      </c>
      <c r="D1189" s="2">
        <v>0.0018865740740740742</v>
      </c>
      <c r="E1189" s="12">
        <v>1.12</v>
      </c>
      <c r="F1189" s="12">
        <v>4.22</v>
      </c>
      <c r="G1189" s="11">
        <v>10900.0</v>
      </c>
      <c r="H1189" s="11">
        <v>2583.0</v>
      </c>
    </row>
    <row r="1190">
      <c r="A1190" s="10">
        <v>43558.0</v>
      </c>
      <c r="B1190" s="11">
        <v>2347.0</v>
      </c>
      <c r="C1190" s="12">
        <v>0.4286</v>
      </c>
      <c r="D1190" s="2">
        <v>0.001875</v>
      </c>
      <c r="E1190" s="12">
        <v>1.08</v>
      </c>
      <c r="F1190" s="12">
        <v>3.96</v>
      </c>
      <c r="G1190" s="11">
        <v>9997.0</v>
      </c>
      <c r="H1190" s="11">
        <v>2527.0</v>
      </c>
    </row>
    <row r="1191">
      <c r="A1191" s="10">
        <v>43559.0</v>
      </c>
      <c r="B1191" s="11">
        <v>2374.0</v>
      </c>
      <c r="C1191" s="12">
        <v>0.449</v>
      </c>
      <c r="D1191" s="2">
        <v>0.0015162037037037036</v>
      </c>
      <c r="E1191" s="12">
        <v>1.09</v>
      </c>
      <c r="F1191" s="12">
        <v>3.88</v>
      </c>
      <c r="G1191" s="11">
        <v>10067.0</v>
      </c>
      <c r="H1191" s="11">
        <v>2597.0</v>
      </c>
    </row>
    <row r="1192">
      <c r="A1192" s="10">
        <v>43560.0</v>
      </c>
      <c r="B1192" s="11">
        <v>2097.0</v>
      </c>
      <c r="C1192" s="12">
        <v>0.4084</v>
      </c>
      <c r="D1192" s="2">
        <v>0.002013888888888889</v>
      </c>
      <c r="E1192" s="12">
        <v>1.09</v>
      </c>
      <c r="F1192" s="12">
        <v>4.6</v>
      </c>
      <c r="G1192" s="11">
        <v>10483.0</v>
      </c>
      <c r="H1192" s="11">
        <v>2277.0</v>
      </c>
    </row>
    <row r="1193">
      <c r="A1193" s="10">
        <v>43561.0</v>
      </c>
      <c r="B1193" s="11">
        <v>1347.0</v>
      </c>
      <c r="C1193" s="12">
        <v>0.5273</v>
      </c>
      <c r="D1193" s="2">
        <v>0.0017013888888888888</v>
      </c>
      <c r="E1193" s="12">
        <v>1.11</v>
      </c>
      <c r="F1193" s="12">
        <v>3.63</v>
      </c>
      <c r="G1193" s="11">
        <v>5443.0</v>
      </c>
      <c r="H1193" s="11">
        <v>1500.0</v>
      </c>
    </row>
    <row r="1194">
      <c r="A1194" s="10">
        <v>43562.0</v>
      </c>
      <c r="B1194" s="11">
        <v>1541.0</v>
      </c>
      <c r="C1194" s="12">
        <v>0.4116</v>
      </c>
      <c r="D1194" s="2">
        <v>0.0022569444444444442</v>
      </c>
      <c r="E1194" s="12">
        <v>1.07</v>
      </c>
      <c r="F1194" s="12">
        <v>4.6</v>
      </c>
      <c r="G1194" s="11">
        <v>7595.0</v>
      </c>
      <c r="H1194" s="11">
        <v>1652.0</v>
      </c>
    </row>
    <row r="1195">
      <c r="A1195" s="10">
        <v>43563.0</v>
      </c>
      <c r="B1195" s="11">
        <v>2444.0</v>
      </c>
      <c r="C1195" s="12">
        <v>0.4321</v>
      </c>
      <c r="D1195" s="2">
        <v>0.0023032407407407407</v>
      </c>
      <c r="E1195" s="12">
        <v>1.13</v>
      </c>
      <c r="F1195" s="12">
        <v>4.46</v>
      </c>
      <c r="G1195" s="11">
        <v>12316.0</v>
      </c>
      <c r="H1195" s="11">
        <v>2763.0</v>
      </c>
    </row>
    <row r="1196">
      <c r="A1196" s="10">
        <v>43564.0</v>
      </c>
      <c r="B1196" s="11">
        <v>2416.0</v>
      </c>
      <c r="C1196" s="12">
        <v>0.3914</v>
      </c>
      <c r="D1196" s="2">
        <v>0.0022222222222222222</v>
      </c>
      <c r="E1196" s="12">
        <v>1.19</v>
      </c>
      <c r="F1196" s="12">
        <v>4.54</v>
      </c>
      <c r="G1196" s="11">
        <v>13038.0</v>
      </c>
      <c r="H1196" s="11">
        <v>2874.0</v>
      </c>
    </row>
    <row r="1197">
      <c r="A1197" s="10">
        <v>43565.0</v>
      </c>
      <c r="B1197" s="11">
        <v>2485.0</v>
      </c>
      <c r="C1197" s="12">
        <v>0.4148</v>
      </c>
      <c r="D1197" s="2">
        <v>0.0026157407407407405</v>
      </c>
      <c r="E1197" s="12">
        <v>1.12</v>
      </c>
      <c r="F1197" s="12">
        <v>4.66</v>
      </c>
      <c r="G1197" s="11">
        <v>12941.0</v>
      </c>
      <c r="H1197" s="11">
        <v>2777.0</v>
      </c>
    </row>
    <row r="1198">
      <c r="A1198" s="10">
        <v>43566.0</v>
      </c>
      <c r="B1198" s="11">
        <v>2361.0</v>
      </c>
      <c r="C1198" s="12">
        <v>0.4455</v>
      </c>
      <c r="D1198" s="2">
        <v>0.0022685185185185187</v>
      </c>
      <c r="E1198" s="12">
        <v>1.14</v>
      </c>
      <c r="F1198" s="12">
        <v>4.35</v>
      </c>
      <c r="G1198" s="11">
        <v>11664.0</v>
      </c>
      <c r="H1198" s="11">
        <v>2680.0</v>
      </c>
    </row>
    <row r="1199">
      <c r="A1199" s="10">
        <v>43567.0</v>
      </c>
      <c r="B1199" s="11">
        <v>2152.0</v>
      </c>
      <c r="C1199" s="12">
        <v>0.407</v>
      </c>
      <c r="D1199" s="2">
        <v>0.0020833333333333333</v>
      </c>
      <c r="E1199" s="12">
        <v>1.11</v>
      </c>
      <c r="F1199" s="12">
        <v>4.45</v>
      </c>
      <c r="G1199" s="11">
        <v>10636.0</v>
      </c>
      <c r="H1199" s="11">
        <v>2388.0</v>
      </c>
    </row>
    <row r="1200">
      <c r="A1200" s="10">
        <v>43568.0</v>
      </c>
      <c r="B1200" s="11">
        <v>1555.0</v>
      </c>
      <c r="C1200" s="12">
        <v>0.4798</v>
      </c>
      <c r="D1200" s="2">
        <v>0.002662037037037037</v>
      </c>
      <c r="E1200" s="12">
        <v>1.12</v>
      </c>
      <c r="F1200" s="12">
        <v>4.7</v>
      </c>
      <c r="G1200" s="11">
        <v>8165.0</v>
      </c>
      <c r="H1200" s="11">
        <v>1736.0</v>
      </c>
    </row>
    <row r="1201">
      <c r="A1201" s="10">
        <v>43569.0</v>
      </c>
      <c r="B1201" s="11">
        <v>1611.0</v>
      </c>
      <c r="C1201" s="12">
        <v>0.4592</v>
      </c>
      <c r="D1201" s="2">
        <v>0.002511574074074074</v>
      </c>
      <c r="E1201" s="12">
        <v>1.16</v>
      </c>
      <c r="F1201" s="12">
        <v>4.77</v>
      </c>
      <c r="G1201" s="11">
        <v>8942.0</v>
      </c>
      <c r="H1201" s="11">
        <v>1875.0</v>
      </c>
    </row>
    <row r="1202">
      <c r="A1202" s="10">
        <v>43570.0</v>
      </c>
      <c r="B1202" s="11">
        <v>2416.0</v>
      </c>
      <c r="C1202" s="12">
        <v>0.3844</v>
      </c>
      <c r="D1202" s="2">
        <v>0.0016898148148148148</v>
      </c>
      <c r="E1202" s="12">
        <v>1.09</v>
      </c>
      <c r="F1202" s="12">
        <v>4.88</v>
      </c>
      <c r="G1202" s="11">
        <v>12872.0</v>
      </c>
      <c r="H1202" s="11">
        <v>2638.0</v>
      </c>
    </row>
    <row r="1203">
      <c r="A1203" s="10">
        <v>43571.0</v>
      </c>
      <c r="B1203" s="11">
        <v>2416.0</v>
      </c>
      <c r="C1203" s="12">
        <v>0.3738</v>
      </c>
      <c r="D1203" s="2">
        <v>0.0019675925925925924</v>
      </c>
      <c r="E1203" s="12">
        <v>1.09</v>
      </c>
      <c r="F1203" s="12">
        <v>4.72</v>
      </c>
      <c r="G1203" s="11">
        <v>12441.0</v>
      </c>
      <c r="H1203" s="11">
        <v>2638.0</v>
      </c>
    </row>
    <row r="1204">
      <c r="A1204" s="10">
        <v>43572.0</v>
      </c>
      <c r="B1204" s="11">
        <v>2194.0</v>
      </c>
      <c r="C1204" s="12">
        <v>0.4034</v>
      </c>
      <c r="D1204" s="2">
        <v>0.0016087962962962963</v>
      </c>
      <c r="E1204" s="12">
        <v>1.11</v>
      </c>
      <c r="F1204" s="12">
        <v>4.66</v>
      </c>
      <c r="G1204" s="11">
        <v>11400.0</v>
      </c>
      <c r="H1204" s="11">
        <v>2444.0</v>
      </c>
    </row>
    <row r="1205">
      <c r="A1205" s="10">
        <v>43573.0</v>
      </c>
      <c r="B1205" s="11">
        <v>2069.0</v>
      </c>
      <c r="C1205" s="12">
        <v>0.4023</v>
      </c>
      <c r="D1205" s="2">
        <v>0.0022685185185185187</v>
      </c>
      <c r="E1205" s="12">
        <v>1.1</v>
      </c>
      <c r="F1205" s="12">
        <v>5.4</v>
      </c>
      <c r="G1205" s="11">
        <v>12289.0</v>
      </c>
      <c r="H1205" s="11">
        <v>2277.0</v>
      </c>
    </row>
    <row r="1206">
      <c r="A1206" s="10">
        <v>43574.0</v>
      </c>
      <c r="B1206" s="11">
        <v>1569.0</v>
      </c>
      <c r="C1206" s="12">
        <v>0.3451</v>
      </c>
      <c r="D1206" s="2">
        <v>0.0024189814814814816</v>
      </c>
      <c r="E1206" s="12">
        <v>1.23</v>
      </c>
      <c r="F1206" s="12">
        <v>5.22</v>
      </c>
      <c r="G1206" s="11">
        <v>10067.0</v>
      </c>
      <c r="H1206" s="11">
        <v>1930.0</v>
      </c>
    </row>
    <row r="1207">
      <c r="A1207" s="10">
        <v>43575.0</v>
      </c>
      <c r="B1207" s="11">
        <v>1264.0</v>
      </c>
      <c r="C1207" s="12">
        <v>0.4905</v>
      </c>
      <c r="D1207" s="2">
        <v>0.0017939814814814815</v>
      </c>
      <c r="E1207" s="12">
        <v>1.16</v>
      </c>
      <c r="F1207" s="12">
        <v>4.16</v>
      </c>
      <c r="G1207" s="11">
        <v>6123.0</v>
      </c>
      <c r="H1207" s="11">
        <v>1472.0</v>
      </c>
    </row>
    <row r="1208">
      <c r="A1208" s="10">
        <v>43576.0</v>
      </c>
      <c r="B1208" s="11">
        <v>1208.0</v>
      </c>
      <c r="C1208" s="12">
        <v>0.3659</v>
      </c>
      <c r="D1208" s="2">
        <v>0.0017013888888888888</v>
      </c>
      <c r="E1208" s="12">
        <v>1.29</v>
      </c>
      <c r="F1208" s="12">
        <v>5.14</v>
      </c>
      <c r="G1208" s="11">
        <v>7998.0</v>
      </c>
      <c r="H1208" s="11">
        <v>1555.0</v>
      </c>
    </row>
    <row r="1209">
      <c r="A1209" s="10">
        <v>43577.0</v>
      </c>
      <c r="B1209" s="11">
        <v>2152.0</v>
      </c>
      <c r="C1209" s="12">
        <v>0.3991</v>
      </c>
      <c r="D1209" s="2">
        <v>0.0021180555555555558</v>
      </c>
      <c r="E1209" s="12">
        <v>1.18</v>
      </c>
      <c r="F1209" s="12">
        <v>4.5</v>
      </c>
      <c r="G1209" s="11">
        <v>11442.0</v>
      </c>
      <c r="H1209" s="11">
        <v>2541.0</v>
      </c>
    </row>
    <row r="1210">
      <c r="A1210" s="10">
        <v>43578.0</v>
      </c>
      <c r="B1210" s="11">
        <v>2541.0</v>
      </c>
      <c r="C1210" s="12">
        <v>0.4123</v>
      </c>
      <c r="D1210" s="2">
        <v>0.0017476851851851852</v>
      </c>
      <c r="E1210" s="12">
        <v>1.15</v>
      </c>
      <c r="F1210" s="12">
        <v>3.96</v>
      </c>
      <c r="G1210" s="11">
        <v>11594.0</v>
      </c>
      <c r="H1210" s="11">
        <v>2930.0</v>
      </c>
    </row>
    <row r="1211">
      <c r="A1211" s="10">
        <v>43579.0</v>
      </c>
      <c r="B1211" s="11">
        <v>2485.0</v>
      </c>
      <c r="C1211" s="12">
        <v>0.4535</v>
      </c>
      <c r="D1211" s="2">
        <v>0.0018981481481481482</v>
      </c>
      <c r="E1211" s="12">
        <v>1.15</v>
      </c>
      <c r="F1211" s="12">
        <v>4.5</v>
      </c>
      <c r="G1211" s="11">
        <v>12802.0</v>
      </c>
      <c r="H1211" s="11">
        <v>2847.0</v>
      </c>
    </row>
    <row r="1212">
      <c r="A1212" s="10">
        <v>43580.0</v>
      </c>
      <c r="B1212" s="11">
        <v>2208.0</v>
      </c>
      <c r="C1212" s="12">
        <v>0.4736</v>
      </c>
      <c r="D1212" s="2">
        <v>0.002037037037037037</v>
      </c>
      <c r="E1212" s="12">
        <v>1.18</v>
      </c>
      <c r="F1212" s="12">
        <v>4.26</v>
      </c>
      <c r="G1212" s="11">
        <v>11122.0</v>
      </c>
      <c r="H1212" s="11">
        <v>2610.0</v>
      </c>
    </row>
    <row r="1213">
      <c r="A1213" s="10">
        <v>43581.0</v>
      </c>
      <c r="B1213" s="11">
        <v>2097.0</v>
      </c>
      <c r="C1213" s="12">
        <v>0.4912</v>
      </c>
      <c r="D1213" s="2">
        <v>0.0017708333333333332</v>
      </c>
      <c r="E1213" s="12">
        <v>1.11</v>
      </c>
      <c r="F1213" s="12">
        <v>3.95</v>
      </c>
      <c r="G1213" s="11">
        <v>9164.0</v>
      </c>
      <c r="H1213" s="11">
        <v>2319.0</v>
      </c>
    </row>
    <row r="1214">
      <c r="A1214" s="10">
        <v>43582.0</v>
      </c>
      <c r="B1214" s="11">
        <v>1347.0</v>
      </c>
      <c r="C1214" s="12">
        <v>0.468</v>
      </c>
      <c r="D1214" s="2">
        <v>0.002777777777777778</v>
      </c>
      <c r="E1214" s="12">
        <v>1.3</v>
      </c>
      <c r="F1214" s="12">
        <v>4.89</v>
      </c>
      <c r="G1214" s="11">
        <v>8553.0</v>
      </c>
      <c r="H1214" s="11">
        <v>1750.0</v>
      </c>
    </row>
    <row r="1215">
      <c r="A1215" s="10">
        <v>43583.0</v>
      </c>
      <c r="B1215" s="11">
        <v>1527.0</v>
      </c>
      <c r="C1215" s="12">
        <v>0.4061</v>
      </c>
      <c r="D1215" s="2">
        <v>0.0022337962962962962</v>
      </c>
      <c r="E1215" s="12">
        <v>1.21</v>
      </c>
      <c r="F1215" s="12">
        <v>4.76</v>
      </c>
      <c r="G1215" s="11">
        <v>8789.0</v>
      </c>
      <c r="H1215" s="11">
        <v>1847.0</v>
      </c>
    </row>
    <row r="1216">
      <c r="A1216" s="10">
        <v>43584.0</v>
      </c>
      <c r="B1216" s="11">
        <v>2319.0</v>
      </c>
      <c r="C1216" s="12">
        <v>0.3445</v>
      </c>
      <c r="D1216" s="2">
        <v>0.0022569444444444442</v>
      </c>
      <c r="E1216" s="12">
        <v>1.08</v>
      </c>
      <c r="F1216" s="12">
        <v>5.46</v>
      </c>
      <c r="G1216" s="11">
        <v>13635.0</v>
      </c>
      <c r="H1216" s="11">
        <v>2499.0</v>
      </c>
    </row>
    <row r="1217">
      <c r="A1217" s="10">
        <v>43585.0</v>
      </c>
      <c r="B1217" s="11">
        <v>2194.0</v>
      </c>
      <c r="C1217" s="12">
        <v>0.3482</v>
      </c>
      <c r="D1217" s="2">
        <v>0.0017708333333333332</v>
      </c>
      <c r="E1217" s="12">
        <v>1.15</v>
      </c>
      <c r="F1217" s="12">
        <v>4.41</v>
      </c>
      <c r="G1217" s="11">
        <v>11081.0</v>
      </c>
      <c r="H1217" s="11">
        <v>2513.0</v>
      </c>
    </row>
    <row r="1218">
      <c r="A1218" s="10">
        <v>43586.0</v>
      </c>
      <c r="B1218" s="11">
        <v>2097.0</v>
      </c>
      <c r="C1218" s="12">
        <v>0.4182</v>
      </c>
      <c r="D1218" s="2">
        <v>0.0015625</v>
      </c>
      <c r="E1218" s="12">
        <v>1.09</v>
      </c>
      <c r="F1218" s="12">
        <v>3.7</v>
      </c>
      <c r="G1218" s="11">
        <v>8470.0</v>
      </c>
      <c r="H1218" s="11">
        <v>2291.0</v>
      </c>
    </row>
    <row r="1219">
      <c r="A1219" s="10">
        <v>43587.0</v>
      </c>
      <c r="B1219" s="11">
        <v>2416.0</v>
      </c>
      <c r="C1219" s="12">
        <v>0.3922</v>
      </c>
      <c r="D1219" s="2">
        <v>0.0022569444444444442</v>
      </c>
      <c r="E1219" s="12">
        <v>1.17</v>
      </c>
      <c r="F1219" s="12">
        <v>4.67</v>
      </c>
      <c r="G1219" s="11">
        <v>13233.0</v>
      </c>
      <c r="H1219" s="11">
        <v>2833.0</v>
      </c>
    </row>
    <row r="1220">
      <c r="A1220" s="10">
        <v>43588.0</v>
      </c>
      <c r="B1220" s="11">
        <v>2444.0</v>
      </c>
      <c r="C1220" s="12">
        <v>0.3844</v>
      </c>
      <c r="D1220" s="2">
        <v>0.002511574074074074</v>
      </c>
      <c r="E1220" s="12">
        <v>1.11</v>
      </c>
      <c r="F1220" s="12">
        <v>5.12</v>
      </c>
      <c r="G1220" s="11">
        <v>13858.0</v>
      </c>
      <c r="H1220" s="11">
        <v>2708.0</v>
      </c>
    </row>
    <row r="1221">
      <c r="A1221" s="10">
        <v>43589.0</v>
      </c>
      <c r="B1221" s="11">
        <v>1541.0</v>
      </c>
      <c r="C1221" s="12">
        <v>0.4887</v>
      </c>
      <c r="D1221" s="2">
        <v>0.0017476851851851852</v>
      </c>
      <c r="E1221" s="12">
        <v>1.18</v>
      </c>
      <c r="F1221" s="12">
        <v>4.17</v>
      </c>
      <c r="G1221" s="11">
        <v>7581.0</v>
      </c>
      <c r="H1221" s="11">
        <v>1819.0</v>
      </c>
    </row>
    <row r="1222">
      <c r="A1222" s="10">
        <v>43590.0</v>
      </c>
      <c r="B1222" s="11">
        <v>1319.0</v>
      </c>
      <c r="C1222" s="12">
        <v>0.425</v>
      </c>
      <c r="D1222" s="2">
        <v>0.001736111111111111</v>
      </c>
      <c r="E1222" s="12">
        <v>1.26</v>
      </c>
      <c r="F1222" s="12">
        <v>3.3</v>
      </c>
      <c r="G1222" s="11">
        <v>5499.0</v>
      </c>
      <c r="H1222" s="11">
        <v>1666.0</v>
      </c>
    </row>
    <row r="1223">
      <c r="A1223" s="10">
        <v>43591.0</v>
      </c>
      <c r="B1223" s="11">
        <v>2402.0</v>
      </c>
      <c r="C1223" s="12">
        <v>0.3906</v>
      </c>
      <c r="D1223" s="2">
        <v>0.001875</v>
      </c>
      <c r="E1223" s="12">
        <v>1.21</v>
      </c>
      <c r="F1223" s="12">
        <v>4.46</v>
      </c>
      <c r="G1223" s="11">
        <v>12997.0</v>
      </c>
      <c r="H1223" s="11">
        <v>2916.0</v>
      </c>
    </row>
    <row r="1224">
      <c r="A1224" s="10">
        <v>43592.0</v>
      </c>
      <c r="B1224" s="11">
        <v>3166.0</v>
      </c>
      <c r="C1224" s="12">
        <v>0.385</v>
      </c>
      <c r="D1224" s="2">
        <v>0.001979166666666667</v>
      </c>
      <c r="E1224" s="12">
        <v>1.11</v>
      </c>
      <c r="F1224" s="12">
        <v>4.25</v>
      </c>
      <c r="G1224" s="11">
        <v>14857.0</v>
      </c>
      <c r="H1224" s="11">
        <v>3499.0</v>
      </c>
    </row>
    <row r="1225">
      <c r="A1225" s="10">
        <v>43593.0</v>
      </c>
      <c r="B1225" s="11">
        <v>2958.0</v>
      </c>
      <c r="C1225" s="12">
        <v>0.3981</v>
      </c>
      <c r="D1225" s="2">
        <v>0.0019212962962962964</v>
      </c>
      <c r="E1225" s="12">
        <v>1.08</v>
      </c>
      <c r="F1225" s="12">
        <v>4.32</v>
      </c>
      <c r="G1225" s="11">
        <v>13844.0</v>
      </c>
      <c r="H1225" s="11">
        <v>3208.0</v>
      </c>
    </row>
    <row r="1226">
      <c r="A1226" s="10">
        <v>43594.0</v>
      </c>
      <c r="B1226" s="11">
        <v>2791.0</v>
      </c>
      <c r="C1226" s="12">
        <v>0.4037</v>
      </c>
      <c r="D1226" s="2">
        <v>0.002395833333333333</v>
      </c>
      <c r="E1226" s="12">
        <v>1.11</v>
      </c>
      <c r="F1226" s="12">
        <v>4.74</v>
      </c>
      <c r="G1226" s="11">
        <v>14677.0</v>
      </c>
      <c r="H1226" s="11">
        <v>3096.0</v>
      </c>
    </row>
    <row r="1227">
      <c r="A1227" s="10">
        <v>43595.0</v>
      </c>
      <c r="B1227" s="11">
        <v>2277.0</v>
      </c>
      <c r="C1227" s="12">
        <v>0.4649</v>
      </c>
      <c r="D1227" s="2">
        <v>0.002002314814814815</v>
      </c>
      <c r="E1227" s="12">
        <v>1.22</v>
      </c>
      <c r="F1227" s="12">
        <v>4.06</v>
      </c>
      <c r="G1227" s="11">
        <v>11275.0</v>
      </c>
      <c r="H1227" s="11">
        <v>2777.0</v>
      </c>
    </row>
    <row r="1228">
      <c r="A1228" s="10">
        <v>43596.0</v>
      </c>
      <c r="B1228" s="11">
        <v>1541.0</v>
      </c>
      <c r="C1228" s="12">
        <v>0.3936</v>
      </c>
      <c r="D1228" s="2">
        <v>0.0016550925925925926</v>
      </c>
      <c r="E1228" s="12">
        <v>1.14</v>
      </c>
      <c r="F1228" s="12">
        <v>4.18</v>
      </c>
      <c r="G1228" s="11">
        <v>7373.0</v>
      </c>
      <c r="H1228" s="11">
        <v>1763.0</v>
      </c>
    </row>
    <row r="1229">
      <c r="A1229" s="10">
        <v>43597.0</v>
      </c>
      <c r="B1229" s="11">
        <v>1444.0</v>
      </c>
      <c r="C1229" s="12">
        <v>0.4879</v>
      </c>
      <c r="D1229" s="2">
        <v>0.0020486111111111113</v>
      </c>
      <c r="E1229" s="12">
        <v>1.2</v>
      </c>
      <c r="F1229" s="12">
        <v>4.43</v>
      </c>
      <c r="G1229" s="11">
        <v>7693.0</v>
      </c>
      <c r="H1229" s="11">
        <v>1736.0</v>
      </c>
    </row>
    <row r="1230">
      <c r="A1230" s="10">
        <v>43598.0</v>
      </c>
      <c r="B1230" s="11">
        <v>2319.0</v>
      </c>
      <c r="C1230" s="12">
        <v>0.4116</v>
      </c>
      <c r="D1230" s="2">
        <v>0.002627314814814815</v>
      </c>
      <c r="E1230" s="12">
        <v>1.22</v>
      </c>
      <c r="F1230" s="12">
        <v>4.24</v>
      </c>
      <c r="G1230" s="11">
        <v>12025.0</v>
      </c>
      <c r="H1230" s="11">
        <v>2833.0</v>
      </c>
    </row>
    <row r="1231">
      <c r="A1231" s="10">
        <v>43599.0</v>
      </c>
      <c r="B1231" s="11">
        <v>2347.0</v>
      </c>
      <c r="C1231" s="12">
        <v>0.4301</v>
      </c>
      <c r="D1231" s="2">
        <v>0.0019097222222222222</v>
      </c>
      <c r="E1231" s="12">
        <v>1.1</v>
      </c>
      <c r="F1231" s="12">
        <v>3.95</v>
      </c>
      <c r="G1231" s="11">
        <v>10192.0</v>
      </c>
      <c r="H1231" s="11">
        <v>2583.0</v>
      </c>
    </row>
    <row r="1232">
      <c r="A1232" s="10">
        <v>43600.0</v>
      </c>
      <c r="B1232" s="11">
        <v>2388.0</v>
      </c>
      <c r="C1232" s="12">
        <v>0.4501</v>
      </c>
      <c r="D1232" s="2">
        <v>0.0024074074074074076</v>
      </c>
      <c r="E1232" s="12">
        <v>1.16</v>
      </c>
      <c r="F1232" s="12">
        <v>4.95</v>
      </c>
      <c r="G1232" s="11">
        <v>13733.0</v>
      </c>
      <c r="H1232" s="11">
        <v>2777.0</v>
      </c>
    </row>
    <row r="1233">
      <c r="A1233" s="10">
        <v>43601.0</v>
      </c>
      <c r="B1233" s="11">
        <v>2347.0</v>
      </c>
      <c r="C1233" s="12">
        <v>0.4154</v>
      </c>
      <c r="D1233" s="2">
        <v>0.0022916666666666667</v>
      </c>
      <c r="E1233" s="12">
        <v>1.15</v>
      </c>
      <c r="F1233" s="12">
        <v>4.45</v>
      </c>
      <c r="G1233" s="11">
        <v>12039.0</v>
      </c>
      <c r="H1233" s="11">
        <v>2708.0</v>
      </c>
    </row>
    <row r="1234">
      <c r="A1234" s="10">
        <v>43602.0</v>
      </c>
      <c r="B1234" s="11">
        <v>2027.0</v>
      </c>
      <c r="C1234" s="12">
        <v>0.3843</v>
      </c>
      <c r="D1234" s="2">
        <v>0.0015625</v>
      </c>
      <c r="E1234" s="12">
        <v>1.12</v>
      </c>
      <c r="F1234" s="12">
        <v>4.74</v>
      </c>
      <c r="G1234" s="11">
        <v>10789.0</v>
      </c>
      <c r="H1234" s="11">
        <v>2277.0</v>
      </c>
    </row>
    <row r="1235">
      <c r="A1235" s="10">
        <v>43603.0</v>
      </c>
      <c r="B1235" s="11">
        <v>1375.0</v>
      </c>
      <c r="C1235" s="12">
        <v>0.4913</v>
      </c>
      <c r="D1235" s="2">
        <v>0.001574074074074074</v>
      </c>
      <c r="E1235" s="12">
        <v>1.13</v>
      </c>
      <c r="F1235" s="12">
        <v>4.46</v>
      </c>
      <c r="G1235" s="11">
        <v>6943.0</v>
      </c>
      <c r="H1235" s="11">
        <v>1555.0</v>
      </c>
    </row>
    <row r="1236">
      <c r="A1236" s="10">
        <v>43604.0</v>
      </c>
      <c r="B1236" s="11">
        <v>1361.0</v>
      </c>
      <c r="C1236" s="12">
        <v>0.5046</v>
      </c>
      <c r="D1236" s="2">
        <v>0.0012268518518518518</v>
      </c>
      <c r="E1236" s="12">
        <v>1.11</v>
      </c>
      <c r="F1236" s="12">
        <v>3.67</v>
      </c>
      <c r="G1236" s="11">
        <v>5554.0</v>
      </c>
      <c r="H1236" s="11">
        <v>1514.0</v>
      </c>
    </row>
    <row r="1237">
      <c r="A1237" s="10">
        <v>43605.0</v>
      </c>
      <c r="B1237" s="11">
        <v>2430.0</v>
      </c>
      <c r="C1237" s="12">
        <v>0.5185</v>
      </c>
      <c r="D1237" s="2">
        <v>0.0013194444444444445</v>
      </c>
      <c r="E1237" s="12">
        <v>1.09</v>
      </c>
      <c r="F1237" s="12">
        <v>3.57</v>
      </c>
      <c r="G1237" s="11">
        <v>9470.0</v>
      </c>
      <c r="H1237" s="11">
        <v>2652.0</v>
      </c>
    </row>
    <row r="1238">
      <c r="A1238" s="10">
        <v>43606.0</v>
      </c>
      <c r="B1238" s="11">
        <v>2430.0</v>
      </c>
      <c r="C1238" s="12">
        <v>0.4041</v>
      </c>
      <c r="D1238" s="2">
        <v>0.0018402777777777777</v>
      </c>
      <c r="E1238" s="12">
        <v>1.13</v>
      </c>
      <c r="F1238" s="12">
        <v>3.97</v>
      </c>
      <c r="G1238" s="11">
        <v>10914.0</v>
      </c>
      <c r="H1238" s="11">
        <v>2749.0</v>
      </c>
    </row>
    <row r="1239">
      <c r="A1239" s="10">
        <v>43607.0</v>
      </c>
      <c r="B1239" s="11">
        <v>2374.0</v>
      </c>
      <c r="C1239" s="12">
        <v>0.3939</v>
      </c>
      <c r="D1239" s="2">
        <v>0.0022916666666666667</v>
      </c>
      <c r="E1239" s="12">
        <v>1.1</v>
      </c>
      <c r="F1239" s="12">
        <v>4.74</v>
      </c>
      <c r="G1239" s="11">
        <v>12372.0</v>
      </c>
      <c r="H1239" s="11">
        <v>2610.0</v>
      </c>
    </row>
    <row r="1240">
      <c r="A1240" s="10">
        <v>43608.0</v>
      </c>
      <c r="B1240" s="11">
        <v>2513.0</v>
      </c>
      <c r="C1240" s="12">
        <v>0.3792</v>
      </c>
      <c r="D1240" s="2">
        <v>0.0021180555555555558</v>
      </c>
      <c r="E1240" s="12">
        <v>1.17</v>
      </c>
      <c r="F1240" s="12">
        <v>4.29</v>
      </c>
      <c r="G1240" s="11">
        <v>12580.0</v>
      </c>
      <c r="H1240" s="11">
        <v>2930.0</v>
      </c>
    </row>
    <row r="1241">
      <c r="A1241" s="10">
        <v>43609.0</v>
      </c>
      <c r="B1241" s="11">
        <v>2194.0</v>
      </c>
      <c r="C1241" s="12">
        <v>0.3965</v>
      </c>
      <c r="D1241" s="2">
        <v>0.001863425925925926</v>
      </c>
      <c r="E1241" s="12">
        <v>1.1</v>
      </c>
      <c r="F1241" s="12">
        <v>4.71</v>
      </c>
      <c r="G1241" s="11">
        <v>11372.0</v>
      </c>
      <c r="H1241" s="11">
        <v>2416.0</v>
      </c>
    </row>
    <row r="1242">
      <c r="A1242" s="10">
        <v>43610.0</v>
      </c>
      <c r="B1242" s="11">
        <v>1375.0</v>
      </c>
      <c r="C1242" s="12">
        <v>0.3983</v>
      </c>
      <c r="D1242" s="2">
        <v>0.0016666666666666668</v>
      </c>
      <c r="E1242" s="12">
        <v>1.14</v>
      </c>
      <c r="F1242" s="12">
        <v>5.13</v>
      </c>
      <c r="G1242" s="11">
        <v>8054.0</v>
      </c>
      <c r="H1242" s="11">
        <v>1569.0</v>
      </c>
    </row>
    <row r="1243">
      <c r="A1243" s="10">
        <v>43611.0</v>
      </c>
      <c r="B1243" s="11">
        <v>1416.0</v>
      </c>
      <c r="C1243" s="12">
        <v>0.4199</v>
      </c>
      <c r="D1243" s="2">
        <v>0.0015046296296296296</v>
      </c>
      <c r="E1243" s="12">
        <v>1.1</v>
      </c>
      <c r="F1243" s="12">
        <v>3.8</v>
      </c>
      <c r="G1243" s="11">
        <v>5915.0</v>
      </c>
      <c r="H1243" s="11">
        <v>1555.0</v>
      </c>
    </row>
    <row r="1244">
      <c r="A1244" s="10">
        <v>43612.0</v>
      </c>
      <c r="B1244" s="11">
        <v>1944.0</v>
      </c>
      <c r="C1244" s="12">
        <v>0.5505</v>
      </c>
      <c r="D1244" s="2">
        <v>0.0012037037037037038</v>
      </c>
      <c r="E1244" s="12">
        <v>1.06</v>
      </c>
      <c r="F1244" s="12">
        <v>3.07</v>
      </c>
      <c r="G1244" s="11">
        <v>6346.0</v>
      </c>
      <c r="H1244" s="11">
        <v>2069.0</v>
      </c>
    </row>
    <row r="1245">
      <c r="A1245" s="10">
        <v>43613.0</v>
      </c>
      <c r="B1245" s="11">
        <v>2485.0</v>
      </c>
      <c r="C1245" s="12">
        <v>0.4134</v>
      </c>
      <c r="D1245" s="2">
        <v>0.0022337962962962962</v>
      </c>
      <c r="E1245" s="12">
        <v>1.16</v>
      </c>
      <c r="F1245" s="12">
        <v>4.43</v>
      </c>
      <c r="G1245" s="11">
        <v>12788.0</v>
      </c>
      <c r="H1245" s="11">
        <v>2888.0</v>
      </c>
    </row>
    <row r="1246">
      <c r="A1246" s="10">
        <v>43614.0</v>
      </c>
      <c r="B1246" s="11">
        <v>2402.0</v>
      </c>
      <c r="C1246" s="12">
        <v>0.4294</v>
      </c>
      <c r="D1246" s="2">
        <v>0.0019444444444444444</v>
      </c>
      <c r="E1246" s="12">
        <v>1.06</v>
      </c>
      <c r="F1246" s="12">
        <v>3.91</v>
      </c>
      <c r="G1246" s="11">
        <v>9984.0</v>
      </c>
      <c r="H1246" s="11">
        <v>2555.0</v>
      </c>
    </row>
    <row r="1247">
      <c r="A1247" s="10">
        <v>43615.0</v>
      </c>
      <c r="B1247" s="11">
        <v>2152.0</v>
      </c>
      <c r="C1247" s="12">
        <v>0.389</v>
      </c>
      <c r="D1247" s="2">
        <v>0.001990740740740741</v>
      </c>
      <c r="E1247" s="12">
        <v>1.16</v>
      </c>
      <c r="F1247" s="12">
        <v>5.52</v>
      </c>
      <c r="G1247" s="11">
        <v>13788.0</v>
      </c>
      <c r="H1247" s="11">
        <v>2499.0</v>
      </c>
    </row>
    <row r="1248">
      <c r="A1248" s="10">
        <v>43616.0</v>
      </c>
      <c r="B1248" s="11">
        <v>1999.0</v>
      </c>
      <c r="C1248" s="12">
        <v>0.3681</v>
      </c>
      <c r="D1248" s="2">
        <v>0.002349537037037037</v>
      </c>
      <c r="E1248" s="12">
        <v>1.13</v>
      </c>
      <c r="F1248" s="12">
        <v>4.63</v>
      </c>
      <c r="G1248" s="11">
        <v>10470.0</v>
      </c>
      <c r="H1248" s="11">
        <v>2263.0</v>
      </c>
    </row>
    <row r="1249">
      <c r="A1249" s="10">
        <v>43617.0</v>
      </c>
      <c r="B1249" s="11">
        <v>1361.0</v>
      </c>
      <c r="C1249" s="12">
        <v>0.5047</v>
      </c>
      <c r="D1249" s="2">
        <v>0.0016087962962962963</v>
      </c>
      <c r="E1249" s="12">
        <v>1.09</v>
      </c>
      <c r="F1249" s="12">
        <v>6.11</v>
      </c>
      <c r="G1249" s="11">
        <v>9081.0</v>
      </c>
      <c r="H1249" s="11">
        <v>1486.0</v>
      </c>
    </row>
    <row r="1250">
      <c r="A1250" s="10">
        <v>43618.0</v>
      </c>
      <c r="B1250" s="11">
        <v>1402.0</v>
      </c>
      <c r="C1250" s="12">
        <v>0.2917</v>
      </c>
      <c r="D1250" s="2">
        <v>0.0027546296296296294</v>
      </c>
      <c r="E1250" s="12">
        <v>1.19</v>
      </c>
      <c r="F1250" s="12">
        <v>5.58</v>
      </c>
      <c r="G1250" s="11">
        <v>9289.0</v>
      </c>
      <c r="H1250" s="11">
        <v>1666.0</v>
      </c>
    </row>
    <row r="1251">
      <c r="A1251" s="10">
        <v>43619.0</v>
      </c>
      <c r="B1251" s="11">
        <v>2319.0</v>
      </c>
      <c r="C1251" s="12">
        <v>0.3876</v>
      </c>
      <c r="D1251" s="2">
        <v>0.0015625</v>
      </c>
      <c r="E1251" s="12">
        <v>1.17</v>
      </c>
      <c r="F1251" s="12">
        <v>4.26</v>
      </c>
      <c r="G1251" s="11">
        <v>11594.0</v>
      </c>
      <c r="H1251" s="11">
        <v>2722.0</v>
      </c>
    </row>
    <row r="1252">
      <c r="A1252" s="10">
        <v>43620.0</v>
      </c>
      <c r="B1252" s="11">
        <v>2513.0</v>
      </c>
      <c r="C1252" s="12">
        <v>0.4107</v>
      </c>
      <c r="D1252" s="2">
        <v>0.0023148148148148147</v>
      </c>
      <c r="E1252" s="12">
        <v>1.12</v>
      </c>
      <c r="F1252" s="12">
        <v>4.16</v>
      </c>
      <c r="G1252" s="11">
        <v>11664.0</v>
      </c>
      <c r="H1252" s="11">
        <v>2805.0</v>
      </c>
    </row>
    <row r="1253">
      <c r="A1253" s="10">
        <v>43621.0</v>
      </c>
      <c r="B1253" s="11">
        <v>2374.0</v>
      </c>
      <c r="C1253" s="12">
        <v>0.4234</v>
      </c>
      <c r="D1253" s="2">
        <v>0.0021759259259259258</v>
      </c>
      <c r="E1253" s="12">
        <v>1.11</v>
      </c>
      <c r="F1253" s="12">
        <v>4.13</v>
      </c>
      <c r="G1253" s="11">
        <v>10831.0</v>
      </c>
      <c r="H1253" s="11">
        <v>2624.0</v>
      </c>
    </row>
    <row r="1254">
      <c r="A1254" s="10">
        <v>43622.0</v>
      </c>
      <c r="B1254" s="11">
        <v>2472.0</v>
      </c>
      <c r="C1254" s="12">
        <v>0.4165</v>
      </c>
      <c r="D1254" s="2">
        <v>0.0023263888888888887</v>
      </c>
      <c r="E1254" s="12">
        <v>1.11</v>
      </c>
      <c r="F1254" s="12">
        <v>4.24</v>
      </c>
      <c r="G1254" s="11">
        <v>11594.0</v>
      </c>
      <c r="H1254" s="11">
        <v>2735.0</v>
      </c>
    </row>
    <row r="1255">
      <c r="A1255" s="10">
        <v>43623.0</v>
      </c>
      <c r="B1255" s="11">
        <v>2111.0</v>
      </c>
      <c r="C1255" s="12">
        <v>0.3926</v>
      </c>
      <c r="D1255" s="2">
        <v>0.0018865740740740742</v>
      </c>
      <c r="E1255" s="12">
        <v>1.11</v>
      </c>
      <c r="F1255" s="12">
        <v>4.3</v>
      </c>
      <c r="G1255" s="11">
        <v>10025.0</v>
      </c>
      <c r="H1255" s="11">
        <v>2333.0</v>
      </c>
    </row>
    <row r="1256">
      <c r="A1256" s="10">
        <v>43624.0</v>
      </c>
      <c r="B1256" s="11">
        <v>1389.0</v>
      </c>
      <c r="C1256" s="12">
        <v>0.4872</v>
      </c>
      <c r="D1256" s="2">
        <v>0.001851851851851852</v>
      </c>
      <c r="E1256" s="12">
        <v>1.15</v>
      </c>
      <c r="F1256" s="12">
        <v>4.33</v>
      </c>
      <c r="G1256" s="11">
        <v>6915.0</v>
      </c>
      <c r="H1256" s="11">
        <v>1597.0</v>
      </c>
    </row>
    <row r="1257">
      <c r="A1257" s="10">
        <v>43625.0</v>
      </c>
      <c r="B1257" s="11">
        <v>1541.0</v>
      </c>
      <c r="C1257" s="12">
        <v>0.475</v>
      </c>
      <c r="D1257" s="2">
        <v>0.0021527777777777778</v>
      </c>
      <c r="E1257" s="12">
        <v>1.06</v>
      </c>
      <c r="F1257" s="12">
        <v>4.84</v>
      </c>
      <c r="G1257" s="11">
        <v>7929.0</v>
      </c>
      <c r="H1257" s="11">
        <v>1638.0</v>
      </c>
    </row>
    <row r="1258">
      <c r="A1258" s="10">
        <v>43626.0</v>
      </c>
      <c r="B1258" s="11">
        <v>2361.0</v>
      </c>
      <c r="C1258" s="12">
        <v>0.3991</v>
      </c>
      <c r="D1258" s="2">
        <v>0.0020833333333333333</v>
      </c>
      <c r="E1258" s="12">
        <v>1.16</v>
      </c>
      <c r="F1258" s="12">
        <v>4.84</v>
      </c>
      <c r="G1258" s="11">
        <v>13316.0</v>
      </c>
      <c r="H1258" s="11">
        <v>2749.0</v>
      </c>
    </row>
    <row r="1259">
      <c r="A1259" s="10">
        <v>43627.0</v>
      </c>
      <c r="B1259" s="11">
        <v>2472.0</v>
      </c>
      <c r="C1259" s="12">
        <v>0.4263</v>
      </c>
      <c r="D1259" s="2">
        <v>0.0019675925925925924</v>
      </c>
      <c r="E1259" s="12">
        <v>1.11</v>
      </c>
      <c r="F1259" s="12">
        <v>4.45</v>
      </c>
      <c r="G1259" s="11">
        <v>12164.0</v>
      </c>
      <c r="H1259" s="11">
        <v>2735.0</v>
      </c>
    </row>
    <row r="1260">
      <c r="A1260" s="10">
        <v>43628.0</v>
      </c>
      <c r="B1260" s="11">
        <v>2583.0</v>
      </c>
      <c r="C1260" s="12">
        <v>0.3963</v>
      </c>
      <c r="D1260" s="2">
        <v>0.002476851851851852</v>
      </c>
      <c r="E1260" s="12">
        <v>1.11</v>
      </c>
      <c r="F1260" s="12">
        <v>4.69</v>
      </c>
      <c r="G1260" s="11">
        <v>13483.0</v>
      </c>
      <c r="H1260" s="11">
        <v>2874.0</v>
      </c>
    </row>
    <row r="1261">
      <c r="A1261" s="10">
        <v>43629.0</v>
      </c>
      <c r="B1261" s="11">
        <v>2444.0</v>
      </c>
      <c r="C1261" s="12">
        <v>0.39</v>
      </c>
      <c r="D1261" s="2">
        <v>0.002766203703703704</v>
      </c>
      <c r="E1261" s="12">
        <v>1.14</v>
      </c>
      <c r="F1261" s="12">
        <v>5.45</v>
      </c>
      <c r="G1261" s="11">
        <v>15121.0</v>
      </c>
      <c r="H1261" s="11">
        <v>2777.0</v>
      </c>
    </row>
    <row r="1262">
      <c r="A1262" s="10">
        <v>43630.0</v>
      </c>
      <c r="B1262" s="11">
        <v>2208.0</v>
      </c>
      <c r="C1262" s="12">
        <v>0.4259</v>
      </c>
      <c r="D1262" s="2">
        <v>0.0021296296296296298</v>
      </c>
      <c r="E1262" s="12">
        <v>1.11</v>
      </c>
      <c r="F1262" s="12">
        <v>4.32</v>
      </c>
      <c r="G1262" s="11">
        <v>10553.0</v>
      </c>
      <c r="H1262" s="11">
        <v>2444.0</v>
      </c>
    </row>
    <row r="1263">
      <c r="A1263" s="10">
        <v>43631.0</v>
      </c>
      <c r="B1263" s="11">
        <v>1458.0</v>
      </c>
      <c r="C1263" s="12">
        <v>0.4201</v>
      </c>
      <c r="D1263" s="2">
        <v>0.0030208333333333333</v>
      </c>
      <c r="E1263" s="12">
        <v>1.13</v>
      </c>
      <c r="F1263" s="12">
        <v>5.46</v>
      </c>
      <c r="G1263" s="11">
        <v>9012.0</v>
      </c>
      <c r="H1263" s="11">
        <v>1652.0</v>
      </c>
    </row>
    <row r="1264">
      <c r="A1264" s="10">
        <v>43632.0</v>
      </c>
      <c r="B1264" s="11">
        <v>1444.0</v>
      </c>
      <c r="C1264" s="12">
        <v>0.3894</v>
      </c>
      <c r="D1264" s="2">
        <v>0.0022569444444444442</v>
      </c>
      <c r="E1264" s="12">
        <v>1.09</v>
      </c>
      <c r="F1264" s="12">
        <v>4.08</v>
      </c>
      <c r="G1264" s="11">
        <v>6401.0</v>
      </c>
      <c r="H1264" s="11">
        <v>1569.0</v>
      </c>
    </row>
    <row r="1265">
      <c r="A1265" s="10">
        <v>43633.0</v>
      </c>
      <c r="B1265" s="11">
        <v>2402.0</v>
      </c>
      <c r="C1265" s="12">
        <v>0.3641</v>
      </c>
      <c r="D1265" s="2">
        <v>0.0019560185185185184</v>
      </c>
      <c r="E1265" s="12">
        <v>1.13</v>
      </c>
      <c r="F1265" s="12">
        <v>4.22</v>
      </c>
      <c r="G1265" s="11">
        <v>11428.0</v>
      </c>
      <c r="H1265" s="11">
        <v>2708.0</v>
      </c>
    </row>
    <row r="1266">
      <c r="A1266" s="10">
        <v>43634.0</v>
      </c>
      <c r="B1266" s="11">
        <v>2485.0</v>
      </c>
      <c r="C1266" s="12">
        <v>0.396</v>
      </c>
      <c r="D1266" s="2">
        <v>0.001990740740740741</v>
      </c>
      <c r="E1266" s="12">
        <v>1.1</v>
      </c>
      <c r="F1266" s="12">
        <v>5.0</v>
      </c>
      <c r="G1266" s="11">
        <v>13677.0</v>
      </c>
      <c r="H1266" s="11">
        <v>2735.0</v>
      </c>
    </row>
    <row r="1267">
      <c r="A1267" s="10">
        <v>43635.0</v>
      </c>
      <c r="B1267" s="11">
        <v>2638.0</v>
      </c>
      <c r="C1267" s="12">
        <v>0.4106</v>
      </c>
      <c r="D1267" s="2">
        <v>0.002025462962962963</v>
      </c>
      <c r="E1267" s="12">
        <v>1.09</v>
      </c>
      <c r="F1267" s="12">
        <v>4.65</v>
      </c>
      <c r="G1267" s="11">
        <v>13358.0</v>
      </c>
      <c r="H1267" s="11">
        <v>2874.0</v>
      </c>
    </row>
    <row r="1268">
      <c r="A1268" s="10">
        <v>43636.0</v>
      </c>
      <c r="B1268" s="11">
        <v>2166.0</v>
      </c>
      <c r="C1268" s="12">
        <v>0.4149</v>
      </c>
      <c r="D1268" s="2">
        <v>0.0030324074074074073</v>
      </c>
      <c r="E1268" s="12">
        <v>1.2</v>
      </c>
      <c r="F1268" s="12">
        <v>4.6</v>
      </c>
      <c r="G1268" s="11">
        <v>11997.0</v>
      </c>
      <c r="H1268" s="11">
        <v>2610.0</v>
      </c>
    </row>
    <row r="1269">
      <c r="A1269" s="10">
        <v>43637.0</v>
      </c>
      <c r="B1269" s="11">
        <v>2124.0</v>
      </c>
      <c r="C1269" s="12">
        <v>0.3606</v>
      </c>
      <c r="D1269" s="2">
        <v>0.0024421296296296296</v>
      </c>
      <c r="E1269" s="12">
        <v>1.12</v>
      </c>
      <c r="F1269" s="12">
        <v>5.17</v>
      </c>
      <c r="G1269" s="11">
        <v>12344.0</v>
      </c>
      <c r="H1269" s="11">
        <v>2388.0</v>
      </c>
    </row>
    <row r="1270">
      <c r="A1270" s="10">
        <v>43638.0</v>
      </c>
      <c r="B1270" s="11">
        <v>1458.0</v>
      </c>
      <c r="C1270" s="12">
        <v>0.4669</v>
      </c>
      <c r="D1270" s="2">
        <v>0.0026967592592592594</v>
      </c>
      <c r="E1270" s="12">
        <v>1.16</v>
      </c>
      <c r="F1270" s="12">
        <v>5.84</v>
      </c>
      <c r="G1270" s="11">
        <v>9886.0</v>
      </c>
      <c r="H1270" s="11">
        <v>1694.0</v>
      </c>
    </row>
    <row r="1271">
      <c r="A1271" s="10">
        <v>43639.0</v>
      </c>
      <c r="B1271" s="11">
        <v>1486.0</v>
      </c>
      <c r="C1271" s="12">
        <v>0.3901</v>
      </c>
      <c r="D1271" s="2">
        <v>0.003611111111111111</v>
      </c>
      <c r="E1271" s="12">
        <v>1.1</v>
      </c>
      <c r="F1271" s="12">
        <v>6.33</v>
      </c>
      <c r="G1271" s="11">
        <v>10372.0</v>
      </c>
      <c r="H1271" s="11">
        <v>1638.0</v>
      </c>
    </row>
    <row r="1272">
      <c r="A1272" s="10">
        <v>43640.0</v>
      </c>
      <c r="B1272" s="11">
        <v>2402.0</v>
      </c>
      <c r="C1272" s="12">
        <v>0.4272</v>
      </c>
      <c r="D1272" s="2">
        <v>0.0019675925925925924</v>
      </c>
      <c r="E1272" s="12">
        <v>1.11</v>
      </c>
      <c r="F1272" s="12">
        <v>4.45</v>
      </c>
      <c r="G1272" s="11">
        <v>11858.0</v>
      </c>
      <c r="H1272" s="11">
        <v>2666.0</v>
      </c>
    </row>
    <row r="1273">
      <c r="A1273" s="10">
        <v>43641.0</v>
      </c>
      <c r="B1273" s="11">
        <v>2333.0</v>
      </c>
      <c r="C1273" s="12">
        <v>0.3925</v>
      </c>
      <c r="D1273" s="2">
        <v>0.001585648148148148</v>
      </c>
      <c r="E1273" s="12">
        <v>1.14</v>
      </c>
      <c r="F1273" s="12">
        <v>3.98</v>
      </c>
      <c r="G1273" s="11">
        <v>10567.0</v>
      </c>
      <c r="H1273" s="11">
        <v>2652.0</v>
      </c>
    </row>
    <row r="1274">
      <c r="A1274" s="10">
        <v>43642.0</v>
      </c>
      <c r="B1274" s="11">
        <v>2708.0</v>
      </c>
      <c r="C1274" s="12">
        <v>0.4351</v>
      </c>
      <c r="D1274" s="2">
        <v>0.0021875</v>
      </c>
      <c r="E1274" s="12">
        <v>1.14</v>
      </c>
      <c r="F1274" s="12">
        <v>4.48</v>
      </c>
      <c r="G1274" s="11">
        <v>13871.0</v>
      </c>
      <c r="H1274" s="11">
        <v>3096.0</v>
      </c>
    </row>
    <row r="1275">
      <c r="A1275" s="10">
        <v>43643.0</v>
      </c>
      <c r="B1275" s="11">
        <v>2555.0</v>
      </c>
      <c r="C1275" s="12">
        <v>0.4672</v>
      </c>
      <c r="D1275" s="2">
        <v>0.0013773148148148147</v>
      </c>
      <c r="E1275" s="12">
        <v>1.08</v>
      </c>
      <c r="F1275" s="12">
        <v>3.47</v>
      </c>
      <c r="G1275" s="11">
        <v>9595.0</v>
      </c>
      <c r="H1275" s="11">
        <v>2763.0</v>
      </c>
    </row>
    <row r="1276">
      <c r="A1276" s="10">
        <v>43644.0</v>
      </c>
      <c r="B1276" s="11">
        <v>2097.0</v>
      </c>
      <c r="C1276" s="12">
        <v>0.3989</v>
      </c>
      <c r="D1276" s="2">
        <v>0.0019097222222222222</v>
      </c>
      <c r="E1276" s="12">
        <v>1.18</v>
      </c>
      <c r="F1276" s="12">
        <v>5.17</v>
      </c>
      <c r="G1276" s="11">
        <v>12775.0</v>
      </c>
      <c r="H1276" s="11">
        <v>2472.0</v>
      </c>
    </row>
    <row r="1277">
      <c r="A1277" s="10">
        <v>43645.0</v>
      </c>
      <c r="B1277" s="11">
        <v>1264.0</v>
      </c>
      <c r="C1277" s="12">
        <v>0.3587</v>
      </c>
      <c r="D1277" s="2">
        <v>0.0024074074074074076</v>
      </c>
      <c r="E1277" s="12">
        <v>1.16</v>
      </c>
      <c r="F1277" s="12">
        <v>4.89</v>
      </c>
      <c r="G1277" s="11">
        <v>7193.0</v>
      </c>
      <c r="H1277" s="11">
        <v>1472.0</v>
      </c>
    </row>
    <row r="1278">
      <c r="A1278" s="10">
        <v>43646.0</v>
      </c>
      <c r="B1278" s="11">
        <v>1250.0</v>
      </c>
      <c r="C1278" s="12">
        <v>0.358</v>
      </c>
      <c r="D1278" s="2">
        <v>0.0029976851851851853</v>
      </c>
      <c r="E1278" s="12">
        <v>1.21</v>
      </c>
      <c r="F1278" s="12">
        <v>6.72</v>
      </c>
      <c r="G1278" s="11">
        <v>10178.0</v>
      </c>
      <c r="H1278" s="11">
        <v>1514.0</v>
      </c>
    </row>
    <row r="1279">
      <c r="A1279" s="10">
        <v>43647.0</v>
      </c>
      <c r="B1279" s="11">
        <v>2305.0</v>
      </c>
      <c r="C1279" s="12">
        <v>0.3483</v>
      </c>
      <c r="D1279" s="2">
        <v>0.0023148148148148147</v>
      </c>
      <c r="E1279" s="12">
        <v>1.21</v>
      </c>
      <c r="F1279" s="12">
        <v>5.14</v>
      </c>
      <c r="G1279" s="11">
        <v>14344.0</v>
      </c>
      <c r="H1279" s="11">
        <v>2791.0</v>
      </c>
    </row>
    <row r="1280">
      <c r="A1280" s="10">
        <v>43648.0</v>
      </c>
      <c r="B1280" s="11">
        <v>2083.0</v>
      </c>
      <c r="C1280" s="12">
        <v>0.3778</v>
      </c>
      <c r="D1280" s="2">
        <v>0.0019675925925925924</v>
      </c>
      <c r="E1280" s="12">
        <v>1.25</v>
      </c>
      <c r="F1280" s="12">
        <v>4.68</v>
      </c>
      <c r="G1280" s="11">
        <v>12219.0</v>
      </c>
      <c r="H1280" s="11">
        <v>2610.0</v>
      </c>
    </row>
    <row r="1281">
      <c r="A1281" s="10">
        <v>43649.0</v>
      </c>
      <c r="B1281" s="11">
        <v>2222.0</v>
      </c>
      <c r="C1281" s="12">
        <v>0.412</v>
      </c>
      <c r="D1281" s="2">
        <v>0.0015393518518518519</v>
      </c>
      <c r="E1281" s="12">
        <v>1.14</v>
      </c>
      <c r="F1281" s="12">
        <v>4.17</v>
      </c>
      <c r="G1281" s="11">
        <v>10525.0</v>
      </c>
      <c r="H1281" s="11">
        <v>2527.0</v>
      </c>
    </row>
    <row r="1282">
      <c r="A1282" s="10">
        <v>43650.0</v>
      </c>
      <c r="B1282" s="11">
        <v>1527.0</v>
      </c>
      <c r="C1282" s="12">
        <v>0.4126</v>
      </c>
      <c r="D1282" s="2">
        <v>0.0018865740740740742</v>
      </c>
      <c r="E1282" s="12">
        <v>1.15</v>
      </c>
      <c r="F1282" s="12">
        <v>3.69</v>
      </c>
      <c r="G1282" s="11">
        <v>6457.0</v>
      </c>
      <c r="H1282" s="11">
        <v>1750.0</v>
      </c>
    </row>
    <row r="1283">
      <c r="A1283" s="10">
        <v>43651.0</v>
      </c>
      <c r="B1283" s="11">
        <v>1555.0</v>
      </c>
      <c r="C1283" s="12">
        <v>0.424</v>
      </c>
      <c r="D1283" s="2">
        <v>0.002199074074074074</v>
      </c>
      <c r="E1283" s="12">
        <v>1.12</v>
      </c>
      <c r="F1283" s="12">
        <v>4.42</v>
      </c>
      <c r="G1283" s="11">
        <v>7679.0</v>
      </c>
      <c r="H1283" s="11">
        <v>1736.0</v>
      </c>
    </row>
    <row r="1284">
      <c r="A1284" s="10">
        <v>43652.0</v>
      </c>
      <c r="B1284" s="11">
        <v>1347.0</v>
      </c>
      <c r="C1284" s="12">
        <v>0.4491</v>
      </c>
      <c r="D1284" s="2">
        <v>0.0016666666666666668</v>
      </c>
      <c r="E1284" s="12">
        <v>1.12</v>
      </c>
      <c r="F1284" s="12">
        <v>4.71</v>
      </c>
      <c r="G1284" s="11">
        <v>7137.0</v>
      </c>
      <c r="H1284" s="11">
        <v>1514.0</v>
      </c>
    </row>
    <row r="1285">
      <c r="A1285" s="10">
        <v>43653.0</v>
      </c>
      <c r="B1285" s="11">
        <v>1361.0</v>
      </c>
      <c r="C1285" s="12">
        <v>0.4533</v>
      </c>
      <c r="D1285" s="2">
        <v>0.0014699074074074074</v>
      </c>
      <c r="E1285" s="12">
        <v>1.1</v>
      </c>
      <c r="F1285" s="12">
        <v>4.39</v>
      </c>
      <c r="G1285" s="11">
        <v>6582.0</v>
      </c>
      <c r="H1285" s="11">
        <v>1500.0</v>
      </c>
    </row>
    <row r="1286">
      <c r="A1286" s="10">
        <v>43654.0</v>
      </c>
      <c r="B1286" s="11">
        <v>2416.0</v>
      </c>
      <c r="C1286" s="12">
        <v>0.4386</v>
      </c>
      <c r="D1286" s="2">
        <v>0.002384259259259259</v>
      </c>
      <c r="E1286" s="12">
        <v>1.13</v>
      </c>
      <c r="F1286" s="12">
        <v>5.13</v>
      </c>
      <c r="G1286" s="11">
        <v>13969.0</v>
      </c>
      <c r="H1286" s="11">
        <v>2722.0</v>
      </c>
    </row>
    <row r="1287">
      <c r="A1287" s="10">
        <v>43655.0</v>
      </c>
      <c r="B1287" s="11">
        <v>2610.0</v>
      </c>
      <c r="C1287" s="12">
        <v>0.3492</v>
      </c>
      <c r="D1287" s="2">
        <v>0.0023148148148148147</v>
      </c>
      <c r="E1287" s="12">
        <v>1.13</v>
      </c>
      <c r="F1287" s="12">
        <v>4.64</v>
      </c>
      <c r="G1287" s="11">
        <v>13663.0</v>
      </c>
      <c r="H1287" s="11">
        <v>2944.0</v>
      </c>
    </row>
    <row r="1288">
      <c r="A1288" s="10">
        <v>43656.0</v>
      </c>
      <c r="B1288" s="11">
        <v>2555.0</v>
      </c>
      <c r="C1288" s="12">
        <v>0.394</v>
      </c>
      <c r="D1288" s="2">
        <v>0.002025462962962963</v>
      </c>
      <c r="E1288" s="12">
        <v>1.08</v>
      </c>
      <c r="F1288" s="12">
        <v>5.19</v>
      </c>
      <c r="G1288" s="11">
        <v>14274.0</v>
      </c>
      <c r="H1288" s="11">
        <v>2749.0</v>
      </c>
    </row>
    <row r="1289">
      <c r="A1289" s="10">
        <v>43657.0</v>
      </c>
      <c r="B1289" s="11">
        <v>2111.0</v>
      </c>
      <c r="C1289" s="12">
        <v>0.3989</v>
      </c>
      <c r="D1289" s="2">
        <v>0.0023263888888888887</v>
      </c>
      <c r="E1289" s="12">
        <v>1.17</v>
      </c>
      <c r="F1289" s="12">
        <v>5.51</v>
      </c>
      <c r="G1289" s="11">
        <v>13622.0</v>
      </c>
      <c r="H1289" s="11">
        <v>2472.0</v>
      </c>
    </row>
    <row r="1290">
      <c r="A1290" s="10">
        <v>43658.0</v>
      </c>
      <c r="B1290" s="11">
        <v>1902.0</v>
      </c>
      <c r="C1290" s="12">
        <v>0.4529</v>
      </c>
      <c r="D1290" s="2">
        <v>0.0018865740740740742</v>
      </c>
      <c r="E1290" s="12">
        <v>1.16</v>
      </c>
      <c r="F1290" s="12">
        <v>4.48</v>
      </c>
      <c r="G1290" s="11">
        <v>9886.0</v>
      </c>
      <c r="H1290" s="11">
        <v>2208.0</v>
      </c>
    </row>
    <row r="1291">
      <c r="A1291" s="10">
        <v>43659.0</v>
      </c>
      <c r="B1291" s="11">
        <v>1347.0</v>
      </c>
      <c r="C1291" s="12">
        <v>0.4627</v>
      </c>
      <c r="D1291" s="2">
        <v>0.0014351851851851852</v>
      </c>
      <c r="E1291" s="12">
        <v>1.11</v>
      </c>
      <c r="F1291" s="12">
        <v>4.0</v>
      </c>
      <c r="G1291" s="11">
        <v>5998.0</v>
      </c>
      <c r="H1291" s="11">
        <v>1500.0</v>
      </c>
    </row>
    <row r="1292">
      <c r="A1292" s="10">
        <v>43660.0</v>
      </c>
      <c r="B1292" s="11">
        <v>1319.0</v>
      </c>
      <c r="C1292" s="12">
        <v>0.3999</v>
      </c>
      <c r="D1292" s="2">
        <v>0.0017708333333333332</v>
      </c>
      <c r="E1292" s="12">
        <v>1.11</v>
      </c>
      <c r="F1292" s="12">
        <v>4.91</v>
      </c>
      <c r="G1292" s="11">
        <v>7165.0</v>
      </c>
      <c r="H1292" s="11">
        <v>1458.0</v>
      </c>
    </row>
    <row r="1293">
      <c r="A1293" s="10">
        <v>43661.0</v>
      </c>
      <c r="B1293" s="11">
        <v>2319.0</v>
      </c>
      <c r="C1293" s="12">
        <v>0.3978</v>
      </c>
      <c r="D1293" s="2">
        <v>0.0012731481481481483</v>
      </c>
      <c r="E1293" s="12">
        <v>1.14</v>
      </c>
      <c r="F1293" s="12">
        <v>4.14</v>
      </c>
      <c r="G1293" s="11">
        <v>10983.0</v>
      </c>
      <c r="H1293" s="11">
        <v>2652.0</v>
      </c>
    </row>
    <row r="1294">
      <c r="A1294" s="10">
        <v>43662.0</v>
      </c>
      <c r="B1294" s="11">
        <v>2319.0</v>
      </c>
      <c r="C1294" s="12">
        <v>0.3791</v>
      </c>
      <c r="D1294" s="2">
        <v>0.0021412037037037038</v>
      </c>
      <c r="E1294" s="12">
        <v>1.14</v>
      </c>
      <c r="F1294" s="12">
        <v>4.54</v>
      </c>
      <c r="G1294" s="11">
        <v>11969.0</v>
      </c>
      <c r="H1294" s="11">
        <v>2638.0</v>
      </c>
    </row>
    <row r="1295">
      <c r="A1295" s="10">
        <v>43663.0</v>
      </c>
      <c r="B1295" s="11">
        <v>2249.0</v>
      </c>
      <c r="C1295" s="12">
        <v>0.4058</v>
      </c>
      <c r="D1295" s="2">
        <v>0.0015277777777777779</v>
      </c>
      <c r="E1295" s="12">
        <v>1.08</v>
      </c>
      <c r="F1295" s="12">
        <v>3.71</v>
      </c>
      <c r="G1295" s="11">
        <v>9025.0</v>
      </c>
      <c r="H1295" s="11">
        <v>2430.0</v>
      </c>
    </row>
    <row r="1296">
      <c r="A1296" s="10">
        <v>43664.0</v>
      </c>
      <c r="B1296" s="11">
        <v>2138.0</v>
      </c>
      <c r="C1296" s="12">
        <v>0.423</v>
      </c>
      <c r="D1296" s="2">
        <v>0.0017592592592592592</v>
      </c>
      <c r="E1296" s="12">
        <v>1.18</v>
      </c>
      <c r="F1296" s="12">
        <v>4.57</v>
      </c>
      <c r="G1296" s="11">
        <v>11539.0</v>
      </c>
      <c r="H1296" s="11">
        <v>2527.0</v>
      </c>
    </row>
    <row r="1297">
      <c r="A1297" s="10">
        <v>43665.0</v>
      </c>
      <c r="B1297" s="11">
        <v>2097.0</v>
      </c>
      <c r="C1297" s="12">
        <v>0.3597</v>
      </c>
      <c r="D1297" s="2">
        <v>0.0025578703703703705</v>
      </c>
      <c r="E1297" s="12">
        <v>1.09</v>
      </c>
      <c r="F1297" s="12">
        <v>5.12</v>
      </c>
      <c r="G1297" s="11">
        <v>11650.0</v>
      </c>
      <c r="H1297" s="11">
        <v>2277.0</v>
      </c>
    </row>
    <row r="1298">
      <c r="A1298" s="10">
        <v>43666.0</v>
      </c>
      <c r="B1298" s="11">
        <v>1236.0</v>
      </c>
      <c r="C1298" s="12">
        <v>0.525</v>
      </c>
      <c r="D1298" s="2">
        <v>0.0017013888888888888</v>
      </c>
      <c r="E1298" s="12">
        <v>1.13</v>
      </c>
      <c r="F1298" s="12">
        <v>4.38</v>
      </c>
      <c r="G1298" s="11">
        <v>6137.0</v>
      </c>
      <c r="H1298" s="11">
        <v>1402.0</v>
      </c>
    </row>
    <row r="1299">
      <c r="A1299" s="10">
        <v>43667.0</v>
      </c>
      <c r="B1299" s="11">
        <v>1347.0</v>
      </c>
      <c r="C1299" s="12">
        <v>0.3666</v>
      </c>
      <c r="D1299" s="2">
        <v>0.0022800925925925927</v>
      </c>
      <c r="E1299" s="12">
        <v>1.12</v>
      </c>
      <c r="F1299" s="12">
        <v>5.13</v>
      </c>
      <c r="G1299" s="11">
        <v>7762.0</v>
      </c>
      <c r="H1299" s="11">
        <v>1514.0</v>
      </c>
    </row>
    <row r="1300">
      <c r="A1300" s="10">
        <v>43668.0</v>
      </c>
      <c r="B1300" s="11">
        <v>2152.0</v>
      </c>
      <c r="C1300" s="12">
        <v>0.407</v>
      </c>
      <c r="D1300" s="2">
        <v>0.002476851851851852</v>
      </c>
      <c r="E1300" s="12">
        <v>1.11</v>
      </c>
      <c r="F1300" s="12">
        <v>4.68</v>
      </c>
      <c r="G1300" s="11">
        <v>11178.0</v>
      </c>
      <c r="H1300" s="11">
        <v>2388.0</v>
      </c>
    </row>
    <row r="1301">
      <c r="A1301" s="10">
        <v>43669.0</v>
      </c>
      <c r="B1301" s="11">
        <v>2124.0</v>
      </c>
      <c r="C1301" s="12">
        <v>0.4762</v>
      </c>
      <c r="D1301" s="2">
        <v>0.0016550925925925926</v>
      </c>
      <c r="E1301" s="12">
        <v>1.1</v>
      </c>
      <c r="F1301" s="12">
        <v>4.34</v>
      </c>
      <c r="G1301" s="11">
        <v>10122.0</v>
      </c>
      <c r="H1301" s="11">
        <v>2333.0</v>
      </c>
    </row>
    <row r="1302">
      <c r="A1302" s="10">
        <v>43670.0</v>
      </c>
      <c r="B1302" s="11">
        <v>2166.0</v>
      </c>
      <c r="C1302" s="12">
        <v>0.3799</v>
      </c>
      <c r="D1302" s="2">
        <v>0.0018055555555555555</v>
      </c>
      <c r="E1302" s="12">
        <v>1.15</v>
      </c>
      <c r="F1302" s="12">
        <v>4.7</v>
      </c>
      <c r="G1302" s="11">
        <v>11678.0</v>
      </c>
      <c r="H1302" s="11">
        <v>2485.0</v>
      </c>
    </row>
    <row r="1303">
      <c r="A1303" s="10">
        <v>43671.0</v>
      </c>
      <c r="B1303" s="11">
        <v>1944.0</v>
      </c>
      <c r="C1303" s="12">
        <v>0.461</v>
      </c>
      <c r="D1303" s="2">
        <v>0.0015393518518518519</v>
      </c>
      <c r="E1303" s="12">
        <v>1.19</v>
      </c>
      <c r="F1303" s="12">
        <v>3.77</v>
      </c>
      <c r="G1303" s="11">
        <v>8734.0</v>
      </c>
      <c r="H1303" s="11">
        <v>2319.0</v>
      </c>
    </row>
    <row r="1304">
      <c r="A1304" s="10">
        <v>43672.0</v>
      </c>
      <c r="B1304" s="11">
        <v>1916.0</v>
      </c>
      <c r="C1304" s="12">
        <v>0.4366</v>
      </c>
      <c r="D1304" s="2">
        <v>0.0021412037037037038</v>
      </c>
      <c r="E1304" s="12">
        <v>1.15</v>
      </c>
      <c r="F1304" s="12">
        <v>4.73</v>
      </c>
      <c r="G1304" s="11">
        <v>10386.0</v>
      </c>
      <c r="H1304" s="11">
        <v>2194.0</v>
      </c>
    </row>
    <row r="1305">
      <c r="A1305" s="10">
        <v>43673.0</v>
      </c>
      <c r="B1305" s="11">
        <v>1305.0</v>
      </c>
      <c r="C1305" s="12">
        <v>0.4216</v>
      </c>
      <c r="D1305" s="2">
        <v>0.002361111111111111</v>
      </c>
      <c r="E1305" s="12">
        <v>1.09</v>
      </c>
      <c r="F1305" s="12">
        <v>4.51</v>
      </c>
      <c r="G1305" s="11">
        <v>6387.0</v>
      </c>
      <c r="H1305" s="11">
        <v>1416.0</v>
      </c>
    </row>
    <row r="1306">
      <c r="A1306" s="10">
        <v>43674.0</v>
      </c>
      <c r="B1306" s="11">
        <v>1319.0</v>
      </c>
      <c r="C1306" s="12">
        <v>0.5478</v>
      </c>
      <c r="D1306" s="2">
        <v>0.0015972222222222223</v>
      </c>
      <c r="E1306" s="12">
        <v>1.09</v>
      </c>
      <c r="F1306" s="12">
        <v>3.64</v>
      </c>
      <c r="G1306" s="11">
        <v>5263.0</v>
      </c>
      <c r="H1306" s="11">
        <v>1444.0</v>
      </c>
    </row>
    <row r="1307">
      <c r="A1307" s="10">
        <v>43675.0</v>
      </c>
      <c r="B1307" s="11">
        <v>2124.0</v>
      </c>
      <c r="C1307" s="12">
        <v>0.3664</v>
      </c>
      <c r="D1307" s="2">
        <v>0.0015972222222222223</v>
      </c>
      <c r="E1307" s="12">
        <v>1.12</v>
      </c>
      <c r="F1307" s="12">
        <v>4.75</v>
      </c>
      <c r="G1307" s="11">
        <v>11344.0</v>
      </c>
      <c r="H1307" s="11">
        <v>2388.0</v>
      </c>
    </row>
    <row r="1308">
      <c r="A1308" s="10">
        <v>43676.0</v>
      </c>
      <c r="B1308" s="11">
        <v>2180.0</v>
      </c>
      <c r="C1308" s="12">
        <v>0.4159</v>
      </c>
      <c r="D1308" s="2">
        <v>0.0019675925925925924</v>
      </c>
      <c r="E1308" s="12">
        <v>1.13</v>
      </c>
      <c r="F1308" s="12">
        <v>3.59</v>
      </c>
      <c r="G1308" s="11">
        <v>8873.0</v>
      </c>
      <c r="H1308" s="11">
        <v>2472.0</v>
      </c>
    </row>
    <row r="1309">
      <c r="A1309" s="10">
        <v>43677.0</v>
      </c>
      <c r="B1309" s="11">
        <v>2027.0</v>
      </c>
      <c r="C1309" s="12">
        <v>0.4304</v>
      </c>
      <c r="D1309" s="2">
        <v>0.0020486111111111113</v>
      </c>
      <c r="E1309" s="12">
        <v>1.13</v>
      </c>
      <c r="F1309" s="12">
        <v>4.44</v>
      </c>
      <c r="G1309" s="11">
        <v>10178.0</v>
      </c>
      <c r="H1309" s="11">
        <v>2291.0</v>
      </c>
    </row>
    <row r="1310">
      <c r="A1310" s="10">
        <v>43678.0</v>
      </c>
      <c r="B1310" s="11">
        <v>1999.0</v>
      </c>
      <c r="C1310" s="12">
        <v>0.4481</v>
      </c>
      <c r="D1310" s="2">
        <v>0.001990740740740741</v>
      </c>
      <c r="E1310" s="12">
        <v>1.13</v>
      </c>
      <c r="F1310" s="12">
        <v>4.44</v>
      </c>
      <c r="G1310" s="11">
        <v>10053.0</v>
      </c>
      <c r="H1310" s="11">
        <v>2263.0</v>
      </c>
    </row>
    <row r="1311">
      <c r="A1311" s="10">
        <v>43679.0</v>
      </c>
      <c r="B1311" s="11">
        <v>1875.0</v>
      </c>
      <c r="C1311" s="12">
        <v>0.4012</v>
      </c>
      <c r="D1311" s="2">
        <v>0.0021064814814814813</v>
      </c>
      <c r="E1311" s="12">
        <v>1.13</v>
      </c>
      <c r="F1311" s="12">
        <v>4.58</v>
      </c>
      <c r="G1311" s="11">
        <v>9678.0</v>
      </c>
      <c r="H1311" s="11">
        <v>2111.0</v>
      </c>
    </row>
    <row r="1312">
      <c r="A1312" s="10">
        <v>43680.0</v>
      </c>
      <c r="B1312" s="11">
        <v>1083.0</v>
      </c>
      <c r="C1312" s="12">
        <v>0.4545</v>
      </c>
      <c r="D1312" s="2">
        <v>0.0017824074074074075</v>
      </c>
      <c r="E1312" s="12">
        <v>1.27</v>
      </c>
      <c r="F1312" s="12">
        <v>4.56</v>
      </c>
      <c r="G1312" s="11">
        <v>6276.0</v>
      </c>
      <c r="H1312" s="11">
        <v>1375.0</v>
      </c>
    </row>
    <row r="1313">
      <c r="A1313" s="10">
        <v>43681.0</v>
      </c>
      <c r="B1313" s="11">
        <v>1458.0</v>
      </c>
      <c r="C1313" s="12">
        <v>0.5171</v>
      </c>
      <c r="D1313" s="2">
        <v>0.0020717592592592593</v>
      </c>
      <c r="E1313" s="12">
        <v>1.1</v>
      </c>
      <c r="F1313" s="12">
        <v>4.07</v>
      </c>
      <c r="G1313" s="11">
        <v>6554.0</v>
      </c>
      <c r="H1313" s="11">
        <v>1611.0</v>
      </c>
    </row>
    <row r="1314">
      <c r="A1314" s="10">
        <v>43682.0</v>
      </c>
      <c r="B1314" s="11">
        <v>2249.0</v>
      </c>
      <c r="C1314" s="12">
        <v>0.3784</v>
      </c>
      <c r="D1314" s="2">
        <v>0.0014699074074074074</v>
      </c>
      <c r="E1314" s="12">
        <v>1.09</v>
      </c>
      <c r="F1314" s="12">
        <v>4.01</v>
      </c>
      <c r="G1314" s="11">
        <v>9859.0</v>
      </c>
      <c r="H1314" s="11">
        <v>2458.0</v>
      </c>
    </row>
    <row r="1315">
      <c r="A1315" s="10">
        <v>43683.0</v>
      </c>
      <c r="B1315" s="11">
        <v>3069.0</v>
      </c>
      <c r="C1315" s="12">
        <v>0.3362</v>
      </c>
      <c r="D1315" s="2">
        <v>0.002349537037037037</v>
      </c>
      <c r="E1315" s="12">
        <v>1.08</v>
      </c>
      <c r="F1315" s="12">
        <v>5.84</v>
      </c>
      <c r="G1315" s="11">
        <v>19287.0</v>
      </c>
      <c r="H1315" s="11">
        <v>3305.0</v>
      </c>
    </row>
    <row r="1316">
      <c r="A1316" s="10">
        <v>43684.0</v>
      </c>
      <c r="B1316" s="11">
        <v>2958.0</v>
      </c>
      <c r="C1316" s="12">
        <v>0.4245</v>
      </c>
      <c r="D1316" s="2">
        <v>0.001875</v>
      </c>
      <c r="E1316" s="12">
        <v>1.15</v>
      </c>
      <c r="F1316" s="12">
        <v>3.77</v>
      </c>
      <c r="G1316" s="11">
        <v>12830.0</v>
      </c>
      <c r="H1316" s="11">
        <v>3402.0</v>
      </c>
    </row>
    <row r="1317">
      <c r="A1317" s="10">
        <v>43685.0</v>
      </c>
      <c r="B1317" s="11">
        <v>2138.0</v>
      </c>
      <c r="C1317" s="12">
        <v>0.5113</v>
      </c>
      <c r="D1317" s="2">
        <v>0.0015162037037037036</v>
      </c>
      <c r="E1317" s="12">
        <v>1.16</v>
      </c>
      <c r="F1317" s="12">
        <v>3.85</v>
      </c>
      <c r="G1317" s="11">
        <v>9525.0</v>
      </c>
      <c r="H1317" s="11">
        <v>2472.0</v>
      </c>
    </row>
    <row r="1318">
      <c r="A1318" s="10">
        <v>43686.0</v>
      </c>
      <c r="B1318" s="11">
        <v>2152.0</v>
      </c>
      <c r="C1318" s="12">
        <v>0.3897</v>
      </c>
      <c r="D1318" s="2">
        <v>0.0024074074074074076</v>
      </c>
      <c r="E1318" s="12">
        <v>1.14</v>
      </c>
      <c r="F1318" s="12">
        <v>5.77</v>
      </c>
      <c r="G1318" s="11">
        <v>14191.0</v>
      </c>
      <c r="H1318" s="11">
        <v>2458.0</v>
      </c>
    </row>
    <row r="1319">
      <c r="A1319" s="10">
        <v>43687.0</v>
      </c>
      <c r="B1319" s="11">
        <v>1541.0</v>
      </c>
      <c r="C1319" s="12">
        <v>0.5</v>
      </c>
      <c r="D1319" s="2">
        <v>0.002361111111111111</v>
      </c>
      <c r="E1319" s="12">
        <v>1.08</v>
      </c>
      <c r="F1319" s="12">
        <v>4.94</v>
      </c>
      <c r="G1319" s="11">
        <v>8234.0</v>
      </c>
      <c r="H1319" s="11">
        <v>1666.0</v>
      </c>
    </row>
    <row r="1320">
      <c r="A1320" s="10">
        <v>43688.0</v>
      </c>
      <c r="B1320" s="11">
        <v>1389.0</v>
      </c>
      <c r="C1320" s="12">
        <v>0.4806</v>
      </c>
      <c r="D1320" s="2">
        <v>0.0011805555555555556</v>
      </c>
      <c r="E1320" s="12">
        <v>1.04</v>
      </c>
      <c r="F1320" s="12">
        <v>3.89</v>
      </c>
      <c r="G1320" s="11">
        <v>5624.0</v>
      </c>
      <c r="H1320" s="11">
        <v>1444.0</v>
      </c>
    </row>
    <row r="1321">
      <c r="A1321" s="10">
        <v>43689.0</v>
      </c>
      <c r="B1321" s="11">
        <v>2124.0</v>
      </c>
      <c r="C1321" s="12">
        <v>0.4342</v>
      </c>
      <c r="D1321" s="2">
        <v>0.0019097222222222222</v>
      </c>
      <c r="E1321" s="12">
        <v>1.14</v>
      </c>
      <c r="F1321" s="12">
        <v>4.19</v>
      </c>
      <c r="G1321" s="11">
        <v>10192.0</v>
      </c>
      <c r="H1321" s="11">
        <v>2430.0</v>
      </c>
    </row>
    <row r="1322">
      <c r="A1322" s="10">
        <v>43690.0</v>
      </c>
      <c r="B1322" s="11">
        <v>2180.0</v>
      </c>
      <c r="C1322" s="12">
        <v>0.4551</v>
      </c>
      <c r="D1322" s="2">
        <v>0.0023148148148148147</v>
      </c>
      <c r="E1322" s="12">
        <v>1.13</v>
      </c>
      <c r="F1322" s="12">
        <v>4.38</v>
      </c>
      <c r="G1322" s="11">
        <v>10831.0</v>
      </c>
      <c r="H1322" s="11">
        <v>2472.0</v>
      </c>
    </row>
    <row r="1323">
      <c r="A1323" s="10">
        <v>43691.0</v>
      </c>
      <c r="B1323" s="11">
        <v>1958.0</v>
      </c>
      <c r="C1323" s="12">
        <v>0.4001</v>
      </c>
      <c r="D1323" s="2">
        <v>0.0021412037037037038</v>
      </c>
      <c r="E1323" s="12">
        <v>1.13</v>
      </c>
      <c r="F1323" s="12">
        <v>5.11</v>
      </c>
      <c r="G1323" s="11">
        <v>11358.0</v>
      </c>
      <c r="H1323" s="11">
        <v>2222.0</v>
      </c>
    </row>
    <row r="1324">
      <c r="A1324" s="10">
        <v>43692.0</v>
      </c>
      <c r="B1324" s="11">
        <v>1958.0</v>
      </c>
      <c r="C1324" s="12">
        <v>0.4546</v>
      </c>
      <c r="D1324" s="2">
        <v>0.0026157407407407405</v>
      </c>
      <c r="E1324" s="12">
        <v>1.09</v>
      </c>
      <c r="F1324" s="12">
        <v>5.59</v>
      </c>
      <c r="G1324" s="11">
        <v>11941.0</v>
      </c>
      <c r="H1324" s="11">
        <v>2138.0</v>
      </c>
    </row>
    <row r="1325">
      <c r="A1325" s="10">
        <v>43693.0</v>
      </c>
      <c r="B1325" s="11">
        <v>1819.0</v>
      </c>
      <c r="C1325" s="12">
        <v>0.4671</v>
      </c>
      <c r="D1325" s="2">
        <v>0.0022222222222222222</v>
      </c>
      <c r="E1325" s="12">
        <v>1.16</v>
      </c>
      <c r="F1325" s="12">
        <v>5.1</v>
      </c>
      <c r="G1325" s="11">
        <v>10761.0</v>
      </c>
      <c r="H1325" s="11">
        <v>2111.0</v>
      </c>
    </row>
    <row r="1326">
      <c r="A1326" s="10">
        <v>43694.0</v>
      </c>
      <c r="B1326" s="11">
        <v>1236.0</v>
      </c>
      <c r="C1326" s="12">
        <v>0.5291</v>
      </c>
      <c r="D1326" s="2">
        <v>0.0013194444444444445</v>
      </c>
      <c r="E1326" s="12">
        <v>1.17</v>
      </c>
      <c r="F1326" s="12">
        <v>3.26</v>
      </c>
      <c r="G1326" s="11">
        <v>4707.0</v>
      </c>
      <c r="H1326" s="11">
        <v>1444.0</v>
      </c>
    </row>
    <row r="1327">
      <c r="A1327" s="10">
        <v>43695.0</v>
      </c>
      <c r="B1327" s="11">
        <v>1430.0</v>
      </c>
      <c r="C1327" s="12">
        <v>0.4643</v>
      </c>
      <c r="D1327" s="2">
        <v>0.0018171296296296297</v>
      </c>
      <c r="E1327" s="12">
        <v>1.09</v>
      </c>
      <c r="F1327" s="12">
        <v>4.17</v>
      </c>
      <c r="G1327" s="11">
        <v>6484.0</v>
      </c>
      <c r="H1327" s="11">
        <v>1555.0</v>
      </c>
    </row>
    <row r="1328">
      <c r="A1328" s="10">
        <v>43696.0</v>
      </c>
      <c r="B1328" s="11">
        <v>2569.0</v>
      </c>
      <c r="C1328" s="12">
        <v>0.444</v>
      </c>
      <c r="D1328" s="2">
        <v>0.0020949074074074073</v>
      </c>
      <c r="E1328" s="12">
        <v>1.11</v>
      </c>
      <c r="F1328" s="12">
        <v>4.79</v>
      </c>
      <c r="G1328" s="11">
        <v>13649.0</v>
      </c>
      <c r="H1328" s="11">
        <v>2847.0</v>
      </c>
    </row>
    <row r="1329">
      <c r="A1329" s="10">
        <v>43697.0</v>
      </c>
      <c r="B1329" s="11">
        <v>3124.0</v>
      </c>
      <c r="C1329" s="12">
        <v>0.5619</v>
      </c>
      <c r="D1329" s="2">
        <v>0.0012847222222222223</v>
      </c>
      <c r="E1329" s="12">
        <v>1.08</v>
      </c>
      <c r="F1329" s="12">
        <v>3.09</v>
      </c>
      <c r="G1329" s="11">
        <v>10372.0</v>
      </c>
      <c r="H1329" s="11">
        <v>3360.0</v>
      </c>
    </row>
    <row r="1330">
      <c r="A1330" s="10">
        <v>43698.0</v>
      </c>
      <c r="B1330" s="11">
        <v>2138.0</v>
      </c>
      <c r="C1330" s="12">
        <v>0.4365</v>
      </c>
      <c r="D1330" s="2">
        <v>0.002511574074074074</v>
      </c>
      <c r="E1330" s="12">
        <v>1.18</v>
      </c>
      <c r="F1330" s="12">
        <v>5.45</v>
      </c>
      <c r="G1330" s="11">
        <v>13705.0</v>
      </c>
      <c r="H1330" s="11">
        <v>2513.0</v>
      </c>
    </row>
    <row r="1331">
      <c r="A1331" s="10">
        <v>43699.0</v>
      </c>
      <c r="B1331" s="11">
        <v>2277.0</v>
      </c>
      <c r="C1331" s="12">
        <v>0.412</v>
      </c>
      <c r="D1331" s="2">
        <v>0.0023263888888888887</v>
      </c>
      <c r="E1331" s="12">
        <v>1.11</v>
      </c>
      <c r="F1331" s="12">
        <v>4.51</v>
      </c>
      <c r="G1331" s="11">
        <v>11400.0</v>
      </c>
      <c r="H1331" s="11">
        <v>2527.0</v>
      </c>
    </row>
    <row r="1332">
      <c r="A1332" s="10">
        <v>43700.0</v>
      </c>
      <c r="B1332" s="11">
        <v>2138.0</v>
      </c>
      <c r="C1332" s="12">
        <v>0.395</v>
      </c>
      <c r="D1332" s="2">
        <v>0.0016898148148148148</v>
      </c>
      <c r="E1332" s="12">
        <v>1.08</v>
      </c>
      <c r="F1332" s="12">
        <v>4.28</v>
      </c>
      <c r="G1332" s="11">
        <v>9928.0</v>
      </c>
      <c r="H1332" s="11">
        <v>2319.0</v>
      </c>
    </row>
    <row r="1333">
      <c r="A1333" s="10">
        <v>43701.0</v>
      </c>
      <c r="B1333" s="11">
        <v>1541.0</v>
      </c>
      <c r="C1333" s="12">
        <v>0.5</v>
      </c>
      <c r="D1333" s="2">
        <v>0.001574074074074074</v>
      </c>
      <c r="E1333" s="12">
        <v>1.1</v>
      </c>
      <c r="F1333" s="12">
        <v>3.84</v>
      </c>
      <c r="G1333" s="11">
        <v>6512.0</v>
      </c>
      <c r="H1333" s="11">
        <v>1694.0</v>
      </c>
    </row>
    <row r="1334">
      <c r="A1334" s="10">
        <v>43702.0</v>
      </c>
      <c r="B1334" s="11">
        <v>1389.0</v>
      </c>
      <c r="C1334" s="12">
        <v>0.5177</v>
      </c>
      <c r="D1334" s="2">
        <v>0.001712962962962963</v>
      </c>
      <c r="E1334" s="12">
        <v>1.12</v>
      </c>
      <c r="F1334" s="12">
        <v>3.93</v>
      </c>
      <c r="G1334" s="11">
        <v>6110.0</v>
      </c>
      <c r="H1334" s="11">
        <v>1555.0</v>
      </c>
    </row>
    <row r="1335">
      <c r="A1335" s="10">
        <v>43703.0</v>
      </c>
      <c r="B1335" s="11">
        <v>2166.0</v>
      </c>
      <c r="C1335" s="12">
        <v>0.4489</v>
      </c>
      <c r="D1335" s="2">
        <v>0.002638888888888889</v>
      </c>
      <c r="E1335" s="12">
        <v>1.13</v>
      </c>
      <c r="F1335" s="12">
        <v>4.37</v>
      </c>
      <c r="G1335" s="11">
        <v>10692.0</v>
      </c>
      <c r="H1335" s="11">
        <v>2444.0</v>
      </c>
    </row>
    <row r="1336">
      <c r="A1336" s="10">
        <v>43704.0</v>
      </c>
      <c r="B1336" s="11">
        <v>2374.0</v>
      </c>
      <c r="C1336" s="12">
        <v>0.4507</v>
      </c>
      <c r="D1336" s="2">
        <v>0.002002314814814815</v>
      </c>
      <c r="E1336" s="12">
        <v>1.13</v>
      </c>
      <c r="F1336" s="12">
        <v>4.95</v>
      </c>
      <c r="G1336" s="11">
        <v>13261.0</v>
      </c>
      <c r="H1336" s="11">
        <v>2680.0</v>
      </c>
    </row>
    <row r="1337">
      <c r="A1337" s="10">
        <v>43705.0</v>
      </c>
      <c r="B1337" s="11">
        <v>2069.0</v>
      </c>
      <c r="C1337" s="12">
        <v>0.4599</v>
      </c>
      <c r="D1337" s="2">
        <v>0.001736111111111111</v>
      </c>
      <c r="E1337" s="12">
        <v>1.17</v>
      </c>
      <c r="F1337" s="12">
        <v>4.43</v>
      </c>
      <c r="G1337" s="11">
        <v>10692.0</v>
      </c>
      <c r="H1337" s="11">
        <v>2416.0</v>
      </c>
    </row>
    <row r="1338">
      <c r="A1338" s="10">
        <v>43706.0</v>
      </c>
      <c r="B1338" s="11">
        <v>2138.0</v>
      </c>
      <c r="C1338" s="12">
        <v>0.4608</v>
      </c>
      <c r="D1338" s="2">
        <v>0.0015046296296296296</v>
      </c>
      <c r="E1338" s="12">
        <v>1.16</v>
      </c>
      <c r="F1338" s="12">
        <v>4.2</v>
      </c>
      <c r="G1338" s="11">
        <v>10372.0</v>
      </c>
      <c r="H1338" s="11">
        <v>2472.0</v>
      </c>
    </row>
    <row r="1339">
      <c r="A1339" s="10">
        <v>43707.0</v>
      </c>
      <c r="B1339" s="11">
        <v>1875.0</v>
      </c>
      <c r="C1339" s="12">
        <v>0.3557</v>
      </c>
      <c r="D1339" s="2">
        <v>0.001979166666666667</v>
      </c>
      <c r="E1339" s="12">
        <v>1.1</v>
      </c>
      <c r="F1339" s="12">
        <v>4.66</v>
      </c>
      <c r="G1339" s="11">
        <v>9650.0</v>
      </c>
      <c r="H1339" s="11">
        <v>2069.0</v>
      </c>
    </row>
    <row r="1340">
      <c r="A1340" s="10">
        <v>43708.0</v>
      </c>
      <c r="B1340" s="11">
        <v>1375.0</v>
      </c>
      <c r="C1340" s="12">
        <v>0.5273</v>
      </c>
      <c r="D1340" s="2">
        <v>0.002523148148148148</v>
      </c>
      <c r="E1340" s="12">
        <v>1.09</v>
      </c>
      <c r="F1340" s="12">
        <v>4.77</v>
      </c>
      <c r="G1340" s="11">
        <v>7151.0</v>
      </c>
      <c r="H1340" s="11">
        <v>1500.0</v>
      </c>
    </row>
    <row r="1341">
      <c r="A1341" s="10">
        <v>43709.0</v>
      </c>
      <c r="B1341" s="11">
        <v>1333.0</v>
      </c>
      <c r="C1341" s="12">
        <v>0.4524</v>
      </c>
      <c r="D1341" s="2">
        <v>0.0027314814814814814</v>
      </c>
      <c r="E1341" s="12">
        <v>1.1</v>
      </c>
      <c r="F1341" s="12">
        <v>4.35</v>
      </c>
      <c r="G1341" s="11">
        <v>6401.0</v>
      </c>
      <c r="H1341" s="11">
        <v>1472.0</v>
      </c>
    </row>
    <row r="1342">
      <c r="A1342" s="10">
        <v>43710.0</v>
      </c>
      <c r="B1342" s="11">
        <v>1736.0</v>
      </c>
      <c r="C1342" s="12">
        <v>0.5506</v>
      </c>
      <c r="D1342" s="2">
        <v>0.0012268518518518518</v>
      </c>
      <c r="E1342" s="12">
        <v>1.1</v>
      </c>
      <c r="F1342" s="12">
        <v>3.38</v>
      </c>
      <c r="G1342" s="11">
        <v>6471.0</v>
      </c>
      <c r="H1342" s="11">
        <v>1916.0</v>
      </c>
    </row>
    <row r="1343">
      <c r="A1343" s="10">
        <v>43711.0</v>
      </c>
      <c r="B1343" s="11">
        <v>2277.0</v>
      </c>
      <c r="C1343" s="12">
        <v>0.4971</v>
      </c>
      <c r="D1343" s="2">
        <v>0.0014930555555555556</v>
      </c>
      <c r="E1343" s="12">
        <v>1.14</v>
      </c>
      <c r="F1343" s="12">
        <v>3.42</v>
      </c>
      <c r="G1343" s="11">
        <v>8887.0</v>
      </c>
      <c r="H1343" s="11">
        <v>2597.0</v>
      </c>
    </row>
    <row r="1344">
      <c r="A1344" s="10">
        <v>43712.0</v>
      </c>
      <c r="B1344" s="11">
        <v>2277.0</v>
      </c>
      <c r="C1344" s="12">
        <v>0.4947</v>
      </c>
      <c r="D1344" s="2">
        <v>0.0016203703703703703</v>
      </c>
      <c r="E1344" s="12">
        <v>1.16</v>
      </c>
      <c r="F1344" s="12">
        <v>4.94</v>
      </c>
      <c r="G1344" s="11">
        <v>13038.0</v>
      </c>
      <c r="H1344" s="11">
        <v>2638.0</v>
      </c>
    </row>
    <row r="1345">
      <c r="A1345" s="10">
        <v>43713.0</v>
      </c>
      <c r="B1345" s="11">
        <v>2166.0</v>
      </c>
      <c r="C1345" s="12">
        <v>0.3849</v>
      </c>
      <c r="D1345" s="2">
        <v>0.0027546296296296294</v>
      </c>
      <c r="E1345" s="12">
        <v>1.12</v>
      </c>
      <c r="F1345" s="12">
        <v>5.28</v>
      </c>
      <c r="G1345" s="11">
        <v>12747.0</v>
      </c>
      <c r="H1345" s="11">
        <v>2416.0</v>
      </c>
    </row>
    <row r="1346">
      <c r="A1346" s="10">
        <v>43714.0</v>
      </c>
      <c r="B1346" s="11">
        <v>2069.0</v>
      </c>
      <c r="C1346" s="12">
        <v>0.4706</v>
      </c>
      <c r="D1346" s="2">
        <v>0.0017592592592592592</v>
      </c>
      <c r="E1346" s="12">
        <v>1.14</v>
      </c>
      <c r="F1346" s="12">
        <v>4.32</v>
      </c>
      <c r="G1346" s="11">
        <v>10206.0</v>
      </c>
      <c r="H1346" s="11">
        <v>2361.0</v>
      </c>
    </row>
    <row r="1347">
      <c r="A1347" s="10">
        <v>43715.0</v>
      </c>
      <c r="B1347" s="11">
        <v>1291.0</v>
      </c>
      <c r="C1347" s="12">
        <v>0.5374</v>
      </c>
      <c r="D1347" s="2">
        <v>0.0022569444444444442</v>
      </c>
      <c r="E1347" s="12">
        <v>1.14</v>
      </c>
      <c r="F1347" s="12">
        <v>3.84</v>
      </c>
      <c r="G1347" s="11">
        <v>5651.0</v>
      </c>
      <c r="H1347" s="11">
        <v>1472.0</v>
      </c>
    </row>
    <row r="1348">
      <c r="A1348" s="10">
        <v>43716.0</v>
      </c>
      <c r="B1348" s="11">
        <v>1527.0</v>
      </c>
      <c r="C1348" s="12">
        <v>0.4798</v>
      </c>
      <c r="D1348" s="2">
        <v>0.002372685185185185</v>
      </c>
      <c r="E1348" s="12">
        <v>1.14</v>
      </c>
      <c r="F1348" s="12">
        <v>4.41</v>
      </c>
      <c r="G1348" s="11">
        <v>7651.0</v>
      </c>
      <c r="H1348" s="11">
        <v>1736.0</v>
      </c>
    </row>
    <row r="1349">
      <c r="A1349" s="10">
        <v>43717.0</v>
      </c>
      <c r="B1349" s="11">
        <v>2222.0</v>
      </c>
      <c r="C1349" s="12">
        <v>0.4349</v>
      </c>
      <c r="D1349" s="2">
        <v>0.0023032407407407407</v>
      </c>
      <c r="E1349" s="12">
        <v>1.11</v>
      </c>
      <c r="F1349" s="12">
        <v>5.03</v>
      </c>
      <c r="G1349" s="11">
        <v>12372.0</v>
      </c>
      <c r="H1349" s="11">
        <v>2458.0</v>
      </c>
    </row>
    <row r="1350">
      <c r="A1350" s="10">
        <v>43718.0</v>
      </c>
      <c r="B1350" s="11">
        <v>2569.0</v>
      </c>
      <c r="C1350" s="12">
        <v>0.4145</v>
      </c>
      <c r="D1350" s="2">
        <v>0.002025462962962963</v>
      </c>
      <c r="E1350" s="12">
        <v>1.11</v>
      </c>
      <c r="F1350" s="12">
        <v>4.38</v>
      </c>
      <c r="G1350" s="11">
        <v>12483.0</v>
      </c>
      <c r="H1350" s="11">
        <v>2847.0</v>
      </c>
    </row>
    <row r="1351">
      <c r="A1351" s="10">
        <v>43719.0</v>
      </c>
      <c r="B1351" s="11">
        <v>2319.0</v>
      </c>
      <c r="C1351" s="12">
        <v>0.4467</v>
      </c>
      <c r="D1351" s="2">
        <v>0.0021643518518518518</v>
      </c>
      <c r="E1351" s="12">
        <v>1.13</v>
      </c>
      <c r="F1351" s="12">
        <v>4.46</v>
      </c>
      <c r="G1351" s="11">
        <v>11636.0</v>
      </c>
      <c r="H1351" s="11">
        <v>2610.0</v>
      </c>
    </row>
    <row r="1352">
      <c r="A1352" s="10">
        <v>43720.0</v>
      </c>
      <c r="B1352" s="11">
        <v>2402.0</v>
      </c>
      <c r="C1352" s="12">
        <v>0.4127</v>
      </c>
      <c r="D1352" s="2">
        <v>0.001574074074074074</v>
      </c>
      <c r="E1352" s="12">
        <v>1.09</v>
      </c>
      <c r="F1352" s="12">
        <v>4.15</v>
      </c>
      <c r="G1352" s="11">
        <v>10886.0</v>
      </c>
      <c r="H1352" s="11">
        <v>2624.0</v>
      </c>
    </row>
    <row r="1353">
      <c r="A1353" s="10">
        <v>43721.0</v>
      </c>
      <c r="B1353" s="11">
        <v>1986.0</v>
      </c>
      <c r="C1353" s="12">
        <v>0.4384</v>
      </c>
      <c r="D1353" s="2">
        <v>0.0021412037037037038</v>
      </c>
      <c r="E1353" s="12">
        <v>1.13</v>
      </c>
      <c r="F1353" s="12">
        <v>4.8</v>
      </c>
      <c r="G1353" s="11">
        <v>10789.0</v>
      </c>
      <c r="H1353" s="11">
        <v>2249.0</v>
      </c>
    </row>
    <row r="1354">
      <c r="A1354" s="10">
        <v>43722.0</v>
      </c>
      <c r="B1354" s="11">
        <v>1458.0</v>
      </c>
      <c r="C1354" s="12">
        <v>0.4271</v>
      </c>
      <c r="D1354" s="2">
        <v>0.0018055555555555555</v>
      </c>
      <c r="E1354" s="12">
        <v>1.11</v>
      </c>
      <c r="F1354" s="12">
        <v>4.26</v>
      </c>
      <c r="G1354" s="11">
        <v>6915.0</v>
      </c>
      <c r="H1354" s="11">
        <v>1625.0</v>
      </c>
    </row>
    <row r="1355">
      <c r="A1355" s="10">
        <v>43723.0</v>
      </c>
      <c r="B1355" s="11">
        <v>1527.0</v>
      </c>
      <c r="C1355" s="12">
        <v>0.5193</v>
      </c>
      <c r="D1355" s="2">
        <v>0.0024189814814814816</v>
      </c>
      <c r="E1355" s="12">
        <v>1.17</v>
      </c>
      <c r="F1355" s="12">
        <v>4.22</v>
      </c>
      <c r="G1355" s="11">
        <v>7554.0</v>
      </c>
      <c r="H1355" s="11">
        <v>1791.0</v>
      </c>
    </row>
    <row r="1356">
      <c r="A1356" s="10">
        <v>43724.0</v>
      </c>
      <c r="B1356" s="11">
        <v>2777.0</v>
      </c>
      <c r="C1356" s="12">
        <v>0.4956</v>
      </c>
      <c r="D1356" s="2">
        <v>0.0020833333333333333</v>
      </c>
      <c r="E1356" s="12">
        <v>1.14</v>
      </c>
      <c r="F1356" s="12">
        <v>4.29</v>
      </c>
      <c r="G1356" s="11">
        <v>13580.0</v>
      </c>
      <c r="H1356" s="11">
        <v>3166.0</v>
      </c>
    </row>
    <row r="1357">
      <c r="A1357" s="10">
        <v>43725.0</v>
      </c>
      <c r="B1357" s="11">
        <v>3249.0</v>
      </c>
      <c r="C1357" s="12">
        <v>0.4829</v>
      </c>
      <c r="D1357" s="2">
        <v>0.001990740740740741</v>
      </c>
      <c r="E1357" s="12">
        <v>1.13</v>
      </c>
      <c r="F1357" s="12">
        <v>3.78</v>
      </c>
      <c r="G1357" s="11">
        <v>13899.0</v>
      </c>
      <c r="H1357" s="11">
        <v>3680.0</v>
      </c>
    </row>
    <row r="1358">
      <c r="A1358" s="10">
        <v>43726.0</v>
      </c>
      <c r="B1358" s="11">
        <v>2402.0</v>
      </c>
      <c r="C1358" s="12">
        <v>0.4114</v>
      </c>
      <c r="D1358" s="2">
        <v>0.002025462962962963</v>
      </c>
      <c r="E1358" s="12">
        <v>1.21</v>
      </c>
      <c r="F1358" s="12">
        <v>4.64</v>
      </c>
      <c r="G1358" s="11">
        <v>13455.0</v>
      </c>
      <c r="H1358" s="11">
        <v>2902.0</v>
      </c>
    </row>
    <row r="1359">
      <c r="A1359" s="10">
        <v>43727.0</v>
      </c>
      <c r="B1359" s="11">
        <v>2361.0</v>
      </c>
      <c r="C1359" s="12">
        <v>0.4307</v>
      </c>
      <c r="D1359" s="2">
        <v>0.002025462962962963</v>
      </c>
      <c r="E1359" s="12">
        <v>1.19</v>
      </c>
      <c r="F1359" s="12">
        <v>5.04</v>
      </c>
      <c r="G1359" s="11">
        <v>14149.0</v>
      </c>
      <c r="H1359" s="11">
        <v>2805.0</v>
      </c>
    </row>
    <row r="1360">
      <c r="A1360" s="10">
        <v>43728.0</v>
      </c>
      <c r="B1360" s="11">
        <v>2374.0</v>
      </c>
      <c r="C1360" s="12">
        <v>0.4367</v>
      </c>
      <c r="D1360" s="2">
        <v>0.0016435185185185185</v>
      </c>
      <c r="E1360" s="12">
        <v>1.11</v>
      </c>
      <c r="F1360" s="12">
        <v>4.91</v>
      </c>
      <c r="G1360" s="11">
        <v>12941.0</v>
      </c>
      <c r="H1360" s="11">
        <v>2638.0</v>
      </c>
    </row>
    <row r="1361">
      <c r="A1361" s="10">
        <v>43729.0</v>
      </c>
      <c r="B1361" s="11">
        <v>1569.0</v>
      </c>
      <c r="C1361" s="12">
        <v>0.5155</v>
      </c>
      <c r="D1361" s="2">
        <v>0.002002314814814815</v>
      </c>
      <c r="E1361" s="12">
        <v>1.13</v>
      </c>
      <c r="F1361" s="12">
        <v>4.09</v>
      </c>
      <c r="G1361" s="11">
        <v>7276.0</v>
      </c>
      <c r="H1361" s="11">
        <v>1777.0</v>
      </c>
    </row>
    <row r="1362">
      <c r="A1362" s="10">
        <v>43730.0</v>
      </c>
      <c r="B1362" s="11">
        <v>1666.0</v>
      </c>
      <c r="C1362" s="12">
        <v>0.5427</v>
      </c>
      <c r="D1362" s="2">
        <v>0.0015046296296296296</v>
      </c>
      <c r="E1362" s="12">
        <v>1.08</v>
      </c>
      <c r="F1362" s="12">
        <v>3.42</v>
      </c>
      <c r="G1362" s="11">
        <v>6123.0</v>
      </c>
      <c r="H1362" s="11">
        <v>1791.0</v>
      </c>
    </row>
    <row r="1363">
      <c r="A1363" s="10">
        <v>43731.0</v>
      </c>
      <c r="B1363" s="11">
        <v>2569.0</v>
      </c>
      <c r="C1363" s="12">
        <v>0.5002</v>
      </c>
      <c r="D1363" s="2">
        <v>0.0017939814814814815</v>
      </c>
      <c r="E1363" s="12">
        <v>1.08</v>
      </c>
      <c r="F1363" s="12">
        <v>3.69</v>
      </c>
      <c r="G1363" s="11">
        <v>10247.0</v>
      </c>
      <c r="H1363" s="11">
        <v>2777.0</v>
      </c>
    </row>
    <row r="1364">
      <c r="A1364" s="10">
        <v>43732.0</v>
      </c>
      <c r="B1364" s="11">
        <v>2666.0</v>
      </c>
      <c r="C1364" s="12">
        <v>0.4273</v>
      </c>
      <c r="D1364" s="2">
        <v>0.0019328703703703704</v>
      </c>
      <c r="E1364" s="12">
        <v>1.11</v>
      </c>
      <c r="F1364" s="12">
        <v>5.81</v>
      </c>
      <c r="G1364" s="11">
        <v>17190.0</v>
      </c>
      <c r="H1364" s="11">
        <v>2958.0</v>
      </c>
    </row>
    <row r="1365">
      <c r="A1365" s="10">
        <v>43733.0</v>
      </c>
      <c r="B1365" s="11">
        <v>2652.0</v>
      </c>
      <c r="C1365" s="12">
        <v>0.4318</v>
      </c>
      <c r="D1365" s="2">
        <v>0.002037037037037037</v>
      </c>
      <c r="E1365" s="12">
        <v>1.15</v>
      </c>
      <c r="F1365" s="12">
        <v>4.1</v>
      </c>
      <c r="G1365" s="11">
        <v>12525.0</v>
      </c>
      <c r="H1365" s="11">
        <v>3055.0</v>
      </c>
    </row>
    <row r="1366">
      <c r="A1366" s="10">
        <v>43734.0</v>
      </c>
      <c r="B1366" s="11">
        <v>2624.0</v>
      </c>
      <c r="C1366" s="12">
        <v>0.4273</v>
      </c>
      <c r="D1366" s="2">
        <v>0.0017592592592592592</v>
      </c>
      <c r="E1366" s="12">
        <v>1.13</v>
      </c>
      <c r="F1366" s="12">
        <v>4.38</v>
      </c>
      <c r="G1366" s="11">
        <v>12955.0</v>
      </c>
      <c r="H1366" s="11">
        <v>2958.0</v>
      </c>
    </row>
    <row r="1367">
      <c r="A1367" s="10">
        <v>43735.0</v>
      </c>
      <c r="B1367" s="11">
        <v>2722.0</v>
      </c>
      <c r="C1367" s="12">
        <v>0.4648</v>
      </c>
      <c r="D1367" s="2">
        <v>0.0017592592592592592</v>
      </c>
      <c r="E1367" s="12">
        <v>1.09</v>
      </c>
      <c r="F1367" s="12">
        <v>3.68</v>
      </c>
      <c r="G1367" s="11">
        <v>10872.0</v>
      </c>
      <c r="H1367" s="11">
        <v>2958.0</v>
      </c>
    </row>
    <row r="1368">
      <c r="A1368" s="10">
        <v>43736.0</v>
      </c>
      <c r="B1368" s="11">
        <v>1361.0</v>
      </c>
      <c r="C1368" s="12">
        <v>0.5647</v>
      </c>
      <c r="D1368" s="2">
        <v>0.0016898148148148148</v>
      </c>
      <c r="E1368" s="12">
        <v>1.1</v>
      </c>
      <c r="F1368" s="12">
        <v>3.16</v>
      </c>
      <c r="G1368" s="11">
        <v>4735.0</v>
      </c>
      <c r="H1368" s="11">
        <v>1500.0</v>
      </c>
    </row>
    <row r="1369">
      <c r="A1369" s="10">
        <v>43737.0</v>
      </c>
      <c r="B1369" s="11">
        <v>1458.0</v>
      </c>
      <c r="C1369" s="12">
        <v>0.5085</v>
      </c>
      <c r="D1369" s="2">
        <v>0.0027314814814814814</v>
      </c>
      <c r="E1369" s="12">
        <v>1.12</v>
      </c>
      <c r="F1369" s="12">
        <v>4.53</v>
      </c>
      <c r="G1369" s="11">
        <v>7415.0</v>
      </c>
      <c r="H1369" s="11">
        <v>1638.0</v>
      </c>
    </row>
    <row r="1370">
      <c r="A1370" s="10">
        <v>43738.0</v>
      </c>
      <c r="B1370" s="11">
        <v>2138.0</v>
      </c>
      <c r="C1370" s="12">
        <v>0.4372</v>
      </c>
      <c r="D1370" s="2">
        <v>0.0021412037037037038</v>
      </c>
      <c r="E1370" s="12">
        <v>1.19</v>
      </c>
      <c r="F1370" s="12">
        <v>3.88</v>
      </c>
      <c r="G1370" s="11">
        <v>9859.0</v>
      </c>
      <c r="H1370" s="11">
        <v>2541.0</v>
      </c>
    </row>
    <row r="1371">
      <c r="A1371" s="10">
        <v>43739.0</v>
      </c>
      <c r="B1371" s="11">
        <v>2347.0</v>
      </c>
      <c r="C1371" s="12">
        <v>0.3803</v>
      </c>
      <c r="D1371" s="2">
        <v>0.002476851851851852</v>
      </c>
      <c r="E1371" s="12">
        <v>1.14</v>
      </c>
      <c r="F1371" s="12">
        <v>4.4</v>
      </c>
      <c r="G1371" s="11">
        <v>11733.0</v>
      </c>
      <c r="H1371" s="11">
        <v>2666.0</v>
      </c>
    </row>
    <row r="1372">
      <c r="A1372" s="10">
        <v>43740.0</v>
      </c>
      <c r="B1372" s="11">
        <v>2319.0</v>
      </c>
      <c r="C1372" s="12">
        <v>0.4813</v>
      </c>
      <c r="D1372" s="2">
        <v>0.0019675925925925924</v>
      </c>
      <c r="E1372" s="12">
        <v>1.12</v>
      </c>
      <c r="F1372" s="12">
        <v>3.89</v>
      </c>
      <c r="G1372" s="11">
        <v>10095.0</v>
      </c>
      <c r="H1372" s="11">
        <v>2597.0</v>
      </c>
    </row>
    <row r="1373">
      <c r="A1373" s="10">
        <v>43741.0</v>
      </c>
      <c r="B1373" s="11">
        <v>2583.0</v>
      </c>
      <c r="C1373" s="12">
        <v>0.3963</v>
      </c>
      <c r="D1373" s="2">
        <v>0.001875</v>
      </c>
      <c r="E1373" s="12">
        <v>1.17</v>
      </c>
      <c r="F1373" s="12">
        <v>3.52</v>
      </c>
      <c r="G1373" s="11">
        <v>10608.0</v>
      </c>
      <c r="H1373" s="11">
        <v>3013.0</v>
      </c>
    </row>
    <row r="1374">
      <c r="A1374" s="10">
        <v>43742.0</v>
      </c>
      <c r="B1374" s="11">
        <v>2041.0</v>
      </c>
      <c r="C1374" s="12">
        <v>0.3851</v>
      </c>
      <c r="D1374" s="2">
        <v>0.0019097222222222222</v>
      </c>
      <c r="E1374" s="12">
        <v>1.1</v>
      </c>
      <c r="F1374" s="12">
        <v>4.37</v>
      </c>
      <c r="G1374" s="11">
        <v>9775.0</v>
      </c>
      <c r="H1374" s="11">
        <v>2236.0</v>
      </c>
    </row>
    <row r="1375">
      <c r="A1375" s="10">
        <v>43743.0</v>
      </c>
      <c r="B1375" s="11">
        <v>1291.0</v>
      </c>
      <c r="C1375" s="12">
        <v>0.5742</v>
      </c>
      <c r="D1375" s="2">
        <v>9.490740740740741E-4</v>
      </c>
      <c r="E1375" s="12">
        <v>1.09</v>
      </c>
      <c r="F1375" s="12">
        <v>2.23</v>
      </c>
      <c r="G1375" s="11">
        <v>3124.0</v>
      </c>
      <c r="H1375" s="11">
        <v>1402.0</v>
      </c>
    </row>
    <row r="1376">
      <c r="A1376" s="10">
        <v>43744.0</v>
      </c>
      <c r="B1376" s="11">
        <v>1319.0</v>
      </c>
      <c r="C1376" s="12">
        <v>0.5</v>
      </c>
      <c r="D1376" s="2">
        <v>0.0018055555555555555</v>
      </c>
      <c r="E1376" s="12">
        <v>1.07</v>
      </c>
      <c r="F1376" s="12">
        <v>3.82</v>
      </c>
      <c r="G1376" s="11">
        <v>5415.0</v>
      </c>
      <c r="H1376" s="11">
        <v>1416.0</v>
      </c>
    </row>
    <row r="1377">
      <c r="A1377" s="10">
        <v>43745.0</v>
      </c>
      <c r="B1377" s="11">
        <v>2472.0</v>
      </c>
      <c r="C1377" s="12">
        <v>0.4318</v>
      </c>
      <c r="D1377" s="2">
        <v>0.001724537037037037</v>
      </c>
      <c r="E1377" s="12">
        <v>1.07</v>
      </c>
      <c r="F1377" s="12">
        <v>3.32</v>
      </c>
      <c r="G1377" s="11">
        <v>8762.0</v>
      </c>
      <c r="H1377" s="11">
        <v>2638.0</v>
      </c>
    </row>
    <row r="1378">
      <c r="A1378" s="10">
        <v>43746.0</v>
      </c>
      <c r="B1378" s="11">
        <v>2208.0</v>
      </c>
      <c r="C1378" s="12">
        <v>0.4887</v>
      </c>
      <c r="D1378" s="2">
        <v>0.0013310185185185185</v>
      </c>
      <c r="E1378" s="12">
        <v>1.12</v>
      </c>
      <c r="F1378" s="12">
        <v>3.31</v>
      </c>
      <c r="G1378" s="11">
        <v>8192.0</v>
      </c>
      <c r="H1378" s="11">
        <v>2472.0</v>
      </c>
    </row>
    <row r="1379">
      <c r="A1379" s="10">
        <v>43747.0</v>
      </c>
      <c r="B1379" s="11">
        <v>2361.0</v>
      </c>
      <c r="C1379" s="12">
        <v>0.4536</v>
      </c>
      <c r="D1379" s="2">
        <v>0.0018171296296296297</v>
      </c>
      <c r="E1379" s="12">
        <v>1.14</v>
      </c>
      <c r="F1379" s="12">
        <v>3.55</v>
      </c>
      <c r="G1379" s="11">
        <v>9567.0</v>
      </c>
      <c r="H1379" s="11">
        <v>2694.0</v>
      </c>
    </row>
    <row r="1380">
      <c r="A1380" s="10">
        <v>43748.0</v>
      </c>
      <c r="B1380" s="11">
        <v>2236.0</v>
      </c>
      <c r="C1380" s="12">
        <v>0.4705</v>
      </c>
      <c r="D1380" s="2">
        <v>0.0015277777777777779</v>
      </c>
      <c r="E1380" s="12">
        <v>1.16</v>
      </c>
      <c r="F1380" s="12">
        <v>3.01</v>
      </c>
      <c r="G1380" s="11">
        <v>7804.0</v>
      </c>
      <c r="H1380" s="11">
        <v>2597.0</v>
      </c>
    </row>
    <row r="1381">
      <c r="A1381" s="10">
        <v>43749.0</v>
      </c>
      <c r="B1381" s="11">
        <v>1791.0</v>
      </c>
      <c r="C1381" s="12">
        <v>0.4722</v>
      </c>
      <c r="D1381" s="2">
        <v>0.0017708333333333332</v>
      </c>
      <c r="E1381" s="12">
        <v>1.12</v>
      </c>
      <c r="F1381" s="12">
        <v>3.18</v>
      </c>
      <c r="G1381" s="11">
        <v>6360.0</v>
      </c>
      <c r="H1381" s="11">
        <v>1999.0</v>
      </c>
    </row>
    <row r="1382">
      <c r="A1382" s="10">
        <v>43750.0</v>
      </c>
      <c r="B1382" s="11">
        <v>1152.0</v>
      </c>
      <c r="C1382" s="12">
        <v>0.564</v>
      </c>
      <c r="D1382" s="2">
        <v>0.001990740740740741</v>
      </c>
      <c r="E1382" s="12">
        <v>1.13</v>
      </c>
      <c r="F1382" s="12">
        <v>3.09</v>
      </c>
      <c r="G1382" s="11">
        <v>4027.0</v>
      </c>
      <c r="H1382" s="11">
        <v>1305.0</v>
      </c>
    </row>
    <row r="1383">
      <c r="A1383" s="10">
        <v>43751.0</v>
      </c>
      <c r="B1383" s="11">
        <v>1222.0</v>
      </c>
      <c r="C1383" s="12">
        <v>0.485</v>
      </c>
      <c r="D1383" s="2">
        <v>0.0011689814814814816</v>
      </c>
      <c r="E1383" s="12">
        <v>1.15</v>
      </c>
      <c r="F1383" s="12">
        <v>2.77</v>
      </c>
      <c r="G1383" s="11">
        <v>3888.0</v>
      </c>
      <c r="H1383" s="11">
        <v>1402.0</v>
      </c>
    </row>
    <row r="1384">
      <c r="A1384" s="10">
        <v>43752.0</v>
      </c>
      <c r="B1384" s="11">
        <v>2041.0</v>
      </c>
      <c r="C1384" s="12">
        <v>0.4406</v>
      </c>
      <c r="D1384" s="2">
        <v>0.0019675925925925924</v>
      </c>
      <c r="E1384" s="12">
        <v>1.14</v>
      </c>
      <c r="F1384" s="12">
        <v>3.92</v>
      </c>
      <c r="G1384" s="11">
        <v>9150.0</v>
      </c>
      <c r="H1384" s="11">
        <v>2333.0</v>
      </c>
    </row>
    <row r="1385">
      <c r="A1385" s="10">
        <v>43753.0</v>
      </c>
      <c r="B1385" s="11">
        <v>2874.0</v>
      </c>
      <c r="C1385" s="12">
        <v>0.4773</v>
      </c>
      <c r="D1385" s="2">
        <v>0.0023148148148148147</v>
      </c>
      <c r="E1385" s="12">
        <v>1.16</v>
      </c>
      <c r="F1385" s="12">
        <v>3.53</v>
      </c>
      <c r="G1385" s="11">
        <v>11816.0</v>
      </c>
      <c r="H1385" s="11">
        <v>3346.0</v>
      </c>
    </row>
    <row r="1386">
      <c r="A1386" s="10">
        <v>43754.0</v>
      </c>
      <c r="B1386" s="11">
        <v>2694.0</v>
      </c>
      <c r="C1386" s="12">
        <v>0.444</v>
      </c>
      <c r="D1386" s="2">
        <v>0.001990740740740741</v>
      </c>
      <c r="E1386" s="12">
        <v>1.1</v>
      </c>
      <c r="F1386" s="12">
        <v>3.6</v>
      </c>
      <c r="G1386" s="11">
        <v>10706.0</v>
      </c>
      <c r="H1386" s="11">
        <v>2971.0</v>
      </c>
    </row>
    <row r="1387">
      <c r="A1387" s="10">
        <v>43755.0</v>
      </c>
      <c r="B1387" s="11">
        <v>2485.0</v>
      </c>
      <c r="C1387" s="12">
        <v>0.3916</v>
      </c>
      <c r="D1387" s="2">
        <v>0.002337962962962963</v>
      </c>
      <c r="E1387" s="12">
        <v>1.08</v>
      </c>
      <c r="F1387" s="12">
        <v>4.69</v>
      </c>
      <c r="G1387" s="11">
        <v>12636.0</v>
      </c>
      <c r="H1387" s="11">
        <v>2694.0</v>
      </c>
    </row>
    <row r="1388">
      <c r="A1388" s="10">
        <v>43756.0</v>
      </c>
      <c r="B1388" s="11">
        <v>2152.0</v>
      </c>
      <c r="C1388" s="12">
        <v>0.4</v>
      </c>
      <c r="D1388" s="2">
        <v>0.001712962962962963</v>
      </c>
      <c r="E1388" s="12">
        <v>1.13</v>
      </c>
      <c r="F1388" s="12">
        <v>3.27</v>
      </c>
      <c r="G1388" s="11">
        <v>7942.0</v>
      </c>
      <c r="H1388" s="11">
        <v>2430.0</v>
      </c>
    </row>
    <row r="1389">
      <c r="A1389" s="10">
        <v>43757.0</v>
      </c>
      <c r="B1389" s="11">
        <v>1402.0</v>
      </c>
      <c r="C1389" s="12">
        <v>0.4097</v>
      </c>
      <c r="D1389" s="2">
        <v>0.0028819444444444444</v>
      </c>
      <c r="E1389" s="12">
        <v>1.21</v>
      </c>
      <c r="F1389" s="12">
        <v>3.53</v>
      </c>
      <c r="G1389" s="11">
        <v>5985.0</v>
      </c>
      <c r="H1389" s="11">
        <v>1694.0</v>
      </c>
    </row>
    <row r="1390">
      <c r="A1390" s="10">
        <v>43758.0</v>
      </c>
      <c r="B1390" s="11">
        <v>1430.0</v>
      </c>
      <c r="C1390" s="12">
        <v>0.4615</v>
      </c>
      <c r="D1390" s="2">
        <v>0.0025</v>
      </c>
      <c r="E1390" s="12">
        <v>1.14</v>
      </c>
      <c r="F1390" s="12">
        <v>4.26</v>
      </c>
      <c r="G1390" s="11">
        <v>6929.0</v>
      </c>
      <c r="H1390" s="11">
        <v>1625.0</v>
      </c>
    </row>
    <row r="1391">
      <c r="A1391" s="10">
        <v>43759.0</v>
      </c>
      <c r="B1391" s="11">
        <v>2555.0</v>
      </c>
      <c r="C1391" s="12">
        <v>0.397</v>
      </c>
      <c r="D1391" s="2">
        <v>0.0017592592592592592</v>
      </c>
      <c r="E1391" s="12">
        <v>1.14</v>
      </c>
      <c r="F1391" s="12">
        <v>3.6</v>
      </c>
      <c r="G1391" s="11">
        <v>10456.0</v>
      </c>
      <c r="H1391" s="11">
        <v>2902.0</v>
      </c>
    </row>
    <row r="1392">
      <c r="A1392" s="10">
        <v>43760.0</v>
      </c>
      <c r="B1392" s="11">
        <v>2624.0</v>
      </c>
      <c r="C1392" s="12">
        <v>0.461</v>
      </c>
      <c r="D1392" s="2">
        <v>0.0022453703703703702</v>
      </c>
      <c r="E1392" s="12">
        <v>1.16</v>
      </c>
      <c r="F1392" s="12">
        <v>3.47</v>
      </c>
      <c r="G1392" s="11">
        <v>10539.0</v>
      </c>
      <c r="H1392" s="11">
        <v>3041.0</v>
      </c>
    </row>
    <row r="1393">
      <c r="A1393" s="10">
        <v>43761.0</v>
      </c>
      <c r="B1393" s="11">
        <v>2583.0</v>
      </c>
      <c r="C1393" s="12">
        <v>0.5044</v>
      </c>
      <c r="D1393" s="2">
        <v>0.0016319444444444445</v>
      </c>
      <c r="E1393" s="12">
        <v>1.19</v>
      </c>
      <c r="F1393" s="12">
        <v>3.21</v>
      </c>
      <c r="G1393" s="11">
        <v>9886.0</v>
      </c>
      <c r="H1393" s="11">
        <v>3083.0</v>
      </c>
    </row>
    <row r="1394">
      <c r="A1394" s="10">
        <v>43762.0</v>
      </c>
      <c r="B1394" s="11">
        <v>2319.0</v>
      </c>
      <c r="C1394" s="12">
        <v>0.4116</v>
      </c>
      <c r="D1394" s="2">
        <v>0.0020601851851851853</v>
      </c>
      <c r="E1394" s="12">
        <v>1.12</v>
      </c>
      <c r="F1394" s="12">
        <v>4.33</v>
      </c>
      <c r="G1394" s="11">
        <v>11233.0</v>
      </c>
      <c r="H1394" s="11">
        <v>2597.0</v>
      </c>
    </row>
    <row r="1395">
      <c r="A1395" s="10">
        <v>43763.0</v>
      </c>
      <c r="B1395" s="11">
        <v>1930.0</v>
      </c>
      <c r="C1395" s="12">
        <v>0.4243</v>
      </c>
      <c r="D1395" s="2">
        <v>0.0022453703703703702</v>
      </c>
      <c r="E1395" s="12">
        <v>1.19</v>
      </c>
      <c r="F1395" s="12">
        <v>3.94</v>
      </c>
      <c r="G1395" s="11">
        <v>9025.0</v>
      </c>
      <c r="H1395" s="11">
        <v>2291.0</v>
      </c>
    </row>
    <row r="1396">
      <c r="A1396" s="10">
        <v>43764.0</v>
      </c>
      <c r="B1396" s="11">
        <v>1319.0</v>
      </c>
      <c r="C1396" s="12">
        <v>0.5417</v>
      </c>
      <c r="D1396" s="2">
        <v>0.0016319444444444445</v>
      </c>
      <c r="E1396" s="12">
        <v>1.13</v>
      </c>
      <c r="F1396" s="12">
        <v>2.94</v>
      </c>
      <c r="G1396" s="11">
        <v>4374.0</v>
      </c>
      <c r="H1396" s="11">
        <v>1486.0</v>
      </c>
    </row>
    <row r="1397">
      <c r="A1397" s="10">
        <v>43765.0</v>
      </c>
      <c r="B1397" s="11">
        <v>1264.0</v>
      </c>
      <c r="C1397" s="12">
        <v>0.3919</v>
      </c>
      <c r="D1397" s="2">
        <v>0.001979166666666667</v>
      </c>
      <c r="E1397" s="12">
        <v>1.12</v>
      </c>
      <c r="F1397" s="12">
        <v>4.36</v>
      </c>
      <c r="G1397" s="11">
        <v>6179.0</v>
      </c>
      <c r="H1397" s="11">
        <v>1416.0</v>
      </c>
    </row>
    <row r="1398">
      <c r="A1398" s="10">
        <v>43766.0</v>
      </c>
      <c r="B1398" s="11">
        <v>2263.0</v>
      </c>
      <c r="C1398" s="12">
        <v>0.4341</v>
      </c>
      <c r="D1398" s="2">
        <v>0.001400462962962963</v>
      </c>
      <c r="E1398" s="12">
        <v>1.12</v>
      </c>
      <c r="F1398" s="12">
        <v>3.83</v>
      </c>
      <c r="G1398" s="11">
        <v>9678.0</v>
      </c>
      <c r="H1398" s="11">
        <v>2527.0</v>
      </c>
    </row>
    <row r="1399">
      <c r="A1399" s="10">
        <v>43767.0</v>
      </c>
      <c r="B1399" s="11">
        <v>2388.0</v>
      </c>
      <c r="C1399" s="12">
        <v>0.5078</v>
      </c>
      <c r="D1399" s="2">
        <v>0.002673611111111111</v>
      </c>
      <c r="E1399" s="12">
        <v>1.12</v>
      </c>
      <c r="F1399" s="12">
        <v>4.14</v>
      </c>
      <c r="G1399" s="11">
        <v>11094.0</v>
      </c>
      <c r="H1399" s="11">
        <v>2680.0</v>
      </c>
    </row>
    <row r="1400">
      <c r="A1400" s="10">
        <v>43768.0</v>
      </c>
      <c r="B1400" s="11">
        <v>2361.0</v>
      </c>
      <c r="C1400" s="12">
        <v>0.4622</v>
      </c>
      <c r="D1400" s="2">
        <v>0.0023263888888888887</v>
      </c>
      <c r="E1400" s="12">
        <v>1.16</v>
      </c>
      <c r="F1400" s="12">
        <v>4.32</v>
      </c>
      <c r="G1400" s="11">
        <v>11803.0</v>
      </c>
      <c r="H1400" s="11">
        <v>2735.0</v>
      </c>
    </row>
    <row r="1401">
      <c r="A1401" s="10">
        <v>43769.0</v>
      </c>
      <c r="B1401" s="11">
        <v>2180.0</v>
      </c>
      <c r="C1401" s="12">
        <v>0.4302</v>
      </c>
      <c r="D1401" s="2">
        <v>0.0017476851851851852</v>
      </c>
      <c r="E1401" s="12">
        <v>1.14</v>
      </c>
      <c r="F1401" s="12">
        <v>4.09</v>
      </c>
      <c r="G1401" s="11">
        <v>10164.0</v>
      </c>
      <c r="H1401" s="11">
        <v>2485.0</v>
      </c>
    </row>
    <row r="1402">
      <c r="A1402" s="10">
        <v>43770.0</v>
      </c>
      <c r="B1402" s="11">
        <v>2111.0</v>
      </c>
      <c r="C1402" s="12">
        <v>0.473</v>
      </c>
      <c r="D1402" s="2">
        <v>0.0019097222222222222</v>
      </c>
      <c r="E1402" s="12">
        <v>1.1</v>
      </c>
      <c r="F1402" s="12">
        <v>4.58</v>
      </c>
      <c r="G1402" s="11">
        <v>10622.0</v>
      </c>
      <c r="H1402" s="11">
        <v>2319.0</v>
      </c>
    </row>
    <row r="1403">
      <c r="A1403" s="10">
        <v>43771.0</v>
      </c>
      <c r="B1403" s="11">
        <v>1194.0</v>
      </c>
      <c r="C1403" s="12">
        <v>0.4802</v>
      </c>
      <c r="D1403" s="2">
        <v>0.0021180555555555558</v>
      </c>
      <c r="E1403" s="12">
        <v>1.19</v>
      </c>
      <c r="F1403" s="12">
        <v>5.18</v>
      </c>
      <c r="G1403" s="11">
        <v>7331.0</v>
      </c>
      <c r="H1403" s="11">
        <v>1416.0</v>
      </c>
    </row>
    <row r="1404">
      <c r="A1404" s="10">
        <v>43772.0</v>
      </c>
      <c r="B1404" s="11">
        <v>1430.0</v>
      </c>
      <c r="C1404" s="12">
        <v>0.4473</v>
      </c>
      <c r="D1404" s="2">
        <v>0.002025462962962963</v>
      </c>
      <c r="E1404" s="12">
        <v>1.11</v>
      </c>
      <c r="F1404" s="12">
        <v>3.79</v>
      </c>
      <c r="G1404" s="11">
        <v>5998.0</v>
      </c>
      <c r="H1404" s="11">
        <v>1583.0</v>
      </c>
    </row>
    <row r="1405">
      <c r="A1405" s="10">
        <v>43773.0</v>
      </c>
      <c r="B1405" s="11">
        <v>2333.0</v>
      </c>
      <c r="C1405" s="12">
        <v>0.4107</v>
      </c>
      <c r="D1405" s="2">
        <v>0.001979166666666667</v>
      </c>
      <c r="E1405" s="12">
        <v>1.1</v>
      </c>
      <c r="F1405" s="12">
        <v>4.33</v>
      </c>
      <c r="G1405" s="11">
        <v>11122.0</v>
      </c>
      <c r="H1405" s="11">
        <v>2569.0</v>
      </c>
    </row>
    <row r="1406">
      <c r="A1406" s="10">
        <v>43774.0</v>
      </c>
      <c r="B1406" s="11">
        <v>2610.0</v>
      </c>
      <c r="C1406" s="12">
        <v>0.4364</v>
      </c>
      <c r="D1406" s="2">
        <v>0.002962962962962963</v>
      </c>
      <c r="E1406" s="12">
        <v>1.13</v>
      </c>
      <c r="F1406" s="12">
        <v>4.71</v>
      </c>
      <c r="G1406" s="11">
        <v>13927.0</v>
      </c>
      <c r="H1406" s="11">
        <v>2958.0</v>
      </c>
    </row>
    <row r="1407">
      <c r="A1407" s="10">
        <v>43775.0</v>
      </c>
      <c r="B1407" s="11">
        <v>2652.0</v>
      </c>
      <c r="C1407" s="12">
        <v>0.4547</v>
      </c>
      <c r="D1407" s="2">
        <v>0.0016087962962962963</v>
      </c>
      <c r="E1407" s="12">
        <v>1.15</v>
      </c>
      <c r="F1407" s="12">
        <v>4.19</v>
      </c>
      <c r="G1407" s="11">
        <v>12788.0</v>
      </c>
      <c r="H1407" s="11">
        <v>3055.0</v>
      </c>
    </row>
    <row r="1408">
      <c r="A1408" s="10">
        <v>43776.0</v>
      </c>
      <c r="B1408" s="11">
        <v>2444.0</v>
      </c>
      <c r="C1408" s="12">
        <v>0.3869</v>
      </c>
      <c r="D1408" s="2">
        <v>0.0022569444444444442</v>
      </c>
      <c r="E1408" s="12">
        <v>1.2</v>
      </c>
      <c r="F1408" s="12">
        <v>5.85</v>
      </c>
      <c r="G1408" s="11">
        <v>17232.0</v>
      </c>
      <c r="H1408" s="11">
        <v>2944.0</v>
      </c>
    </row>
    <row r="1409">
      <c r="A1409" s="10">
        <v>43777.0</v>
      </c>
      <c r="B1409" s="11">
        <v>2041.0</v>
      </c>
      <c r="C1409" s="12">
        <v>0.4765</v>
      </c>
      <c r="D1409" s="2">
        <v>0.0020486111111111113</v>
      </c>
      <c r="E1409" s="12">
        <v>1.16</v>
      </c>
      <c r="F1409" s="12">
        <v>4.83</v>
      </c>
      <c r="G1409" s="11">
        <v>11400.0</v>
      </c>
      <c r="H1409" s="11">
        <v>2361.0</v>
      </c>
    </row>
    <row r="1410">
      <c r="A1410" s="10">
        <v>43778.0</v>
      </c>
      <c r="B1410" s="11">
        <v>1472.0</v>
      </c>
      <c r="C1410" s="12">
        <v>0.4873</v>
      </c>
      <c r="D1410" s="2">
        <v>0.0025</v>
      </c>
      <c r="E1410" s="12">
        <v>1.12</v>
      </c>
      <c r="F1410" s="12">
        <v>5.02</v>
      </c>
      <c r="G1410" s="11">
        <v>8290.0</v>
      </c>
      <c r="H1410" s="11">
        <v>1652.0</v>
      </c>
    </row>
    <row r="1411">
      <c r="A1411" s="10">
        <v>43779.0</v>
      </c>
      <c r="B1411" s="11">
        <v>1430.0</v>
      </c>
      <c r="C1411" s="12">
        <v>0.4868</v>
      </c>
      <c r="D1411" s="2">
        <v>0.0021296296296296298</v>
      </c>
      <c r="E1411" s="12">
        <v>1.14</v>
      </c>
      <c r="F1411" s="12">
        <v>4.29</v>
      </c>
      <c r="G1411" s="11">
        <v>6970.0</v>
      </c>
      <c r="H1411" s="11">
        <v>1625.0</v>
      </c>
    </row>
    <row r="1412">
      <c r="A1412" s="10">
        <v>43780.0</v>
      </c>
      <c r="B1412" s="11">
        <v>2416.0</v>
      </c>
      <c r="C1412" s="12">
        <v>0.4652</v>
      </c>
      <c r="D1412" s="2">
        <v>0.002766203703703704</v>
      </c>
      <c r="E1412" s="12">
        <v>1.16</v>
      </c>
      <c r="F1412" s="12">
        <v>6.25</v>
      </c>
      <c r="G1412" s="11">
        <v>17537.0</v>
      </c>
      <c r="H1412" s="11">
        <v>2805.0</v>
      </c>
    </row>
    <row r="1413">
      <c r="A1413" s="10">
        <v>43781.0</v>
      </c>
      <c r="B1413" s="11">
        <v>2569.0</v>
      </c>
      <c r="C1413" s="12">
        <v>0.4292</v>
      </c>
      <c r="D1413" s="2">
        <v>0.0024421296296296296</v>
      </c>
      <c r="E1413" s="12">
        <v>1.11</v>
      </c>
      <c r="F1413" s="12">
        <v>5.19</v>
      </c>
      <c r="G1413" s="11">
        <v>14774.0</v>
      </c>
      <c r="H1413" s="11">
        <v>2847.0</v>
      </c>
    </row>
    <row r="1414">
      <c r="A1414" s="10">
        <v>43782.0</v>
      </c>
      <c r="B1414" s="11">
        <v>3346.0</v>
      </c>
      <c r="C1414" s="12">
        <v>0.5864</v>
      </c>
      <c r="D1414" s="2">
        <v>0.0015046296296296296</v>
      </c>
      <c r="E1414" s="12">
        <v>1.22</v>
      </c>
      <c r="F1414" s="12">
        <v>3.27</v>
      </c>
      <c r="G1414" s="11">
        <v>13413.0</v>
      </c>
      <c r="H1414" s="11">
        <v>4096.0</v>
      </c>
    </row>
    <row r="1415">
      <c r="A1415" s="10">
        <v>43783.0</v>
      </c>
      <c r="B1415" s="11">
        <v>2999.0</v>
      </c>
      <c r="C1415" s="12">
        <v>0.4959</v>
      </c>
      <c r="D1415" s="2">
        <v>0.0021875</v>
      </c>
      <c r="E1415" s="12">
        <v>1.19</v>
      </c>
      <c r="F1415" s="12">
        <v>4.57</v>
      </c>
      <c r="G1415" s="11">
        <v>16232.0</v>
      </c>
      <c r="H1415" s="11">
        <v>3555.0</v>
      </c>
    </row>
    <row r="1416">
      <c r="A1416" s="10">
        <v>43784.0</v>
      </c>
      <c r="B1416" s="11">
        <v>2180.0</v>
      </c>
      <c r="C1416" s="12">
        <v>0.3893</v>
      </c>
      <c r="D1416" s="2">
        <v>0.002476851851851852</v>
      </c>
      <c r="E1416" s="12">
        <v>1.18</v>
      </c>
      <c r="F1416" s="12">
        <v>5.05</v>
      </c>
      <c r="G1416" s="11">
        <v>12969.0</v>
      </c>
      <c r="H1416" s="11">
        <v>2569.0</v>
      </c>
    </row>
    <row r="1417">
      <c r="A1417" s="10">
        <v>43785.0</v>
      </c>
      <c r="B1417" s="11">
        <v>1694.0</v>
      </c>
      <c r="C1417" s="12">
        <v>0.5223</v>
      </c>
      <c r="D1417" s="2">
        <v>0.0014814814814814814</v>
      </c>
      <c r="E1417" s="12">
        <v>1.1</v>
      </c>
      <c r="F1417" s="12">
        <v>3.59</v>
      </c>
      <c r="G1417" s="11">
        <v>6679.0</v>
      </c>
      <c r="H1417" s="11">
        <v>1861.0</v>
      </c>
    </row>
    <row r="1418">
      <c r="A1418" s="10">
        <v>43786.0</v>
      </c>
      <c r="B1418" s="11">
        <v>1680.0</v>
      </c>
      <c r="C1418" s="12">
        <v>0.4959</v>
      </c>
      <c r="D1418" s="2">
        <v>0.002523148148148148</v>
      </c>
      <c r="E1418" s="12">
        <v>1.1</v>
      </c>
      <c r="F1418" s="12">
        <v>4.01</v>
      </c>
      <c r="G1418" s="11">
        <v>7401.0</v>
      </c>
      <c r="H1418" s="11">
        <v>1847.0</v>
      </c>
    </row>
    <row r="1419">
      <c r="A1419" s="10">
        <v>43787.0</v>
      </c>
      <c r="B1419" s="11">
        <v>3027.0</v>
      </c>
      <c r="C1419" s="12">
        <v>0.4872</v>
      </c>
      <c r="D1419" s="2">
        <v>0.001724537037037037</v>
      </c>
      <c r="E1419" s="12">
        <v>1.07</v>
      </c>
      <c r="F1419" s="12">
        <v>3.23</v>
      </c>
      <c r="G1419" s="11">
        <v>10497.0</v>
      </c>
      <c r="H1419" s="11">
        <v>3249.0</v>
      </c>
    </row>
    <row r="1420">
      <c r="A1420" s="10">
        <v>43788.0</v>
      </c>
      <c r="B1420" s="11">
        <v>2666.0</v>
      </c>
      <c r="C1420" s="12">
        <v>0.4719</v>
      </c>
      <c r="D1420" s="2">
        <v>0.0018287037037037037</v>
      </c>
      <c r="E1420" s="12">
        <v>1.3</v>
      </c>
      <c r="F1420" s="12">
        <v>3.6</v>
      </c>
      <c r="G1420" s="11">
        <v>12511.0</v>
      </c>
      <c r="H1420" s="11">
        <v>3471.0</v>
      </c>
    </row>
    <row r="1421">
      <c r="A1421" s="10">
        <v>43789.0</v>
      </c>
      <c r="B1421" s="11">
        <v>2833.0</v>
      </c>
      <c r="C1421" s="12">
        <v>0.443</v>
      </c>
      <c r="D1421" s="2">
        <v>0.002337962962962963</v>
      </c>
      <c r="E1421" s="12">
        <v>1.16</v>
      </c>
      <c r="F1421" s="12">
        <v>5.36</v>
      </c>
      <c r="G1421" s="11">
        <v>17648.0</v>
      </c>
      <c r="H1421" s="11">
        <v>3291.0</v>
      </c>
    </row>
    <row r="1422">
      <c r="A1422" s="10">
        <v>43790.0</v>
      </c>
      <c r="B1422" s="11">
        <v>2749.0</v>
      </c>
      <c r="C1422" s="12">
        <v>0.4731</v>
      </c>
      <c r="D1422" s="2">
        <v>0.0030092592592592593</v>
      </c>
      <c r="E1422" s="12">
        <v>1.22</v>
      </c>
      <c r="F1422" s="12">
        <v>4.56</v>
      </c>
      <c r="G1422" s="11">
        <v>15274.0</v>
      </c>
      <c r="H1422" s="11">
        <v>3346.0</v>
      </c>
    </row>
    <row r="1423">
      <c r="A1423" s="10">
        <v>43791.0</v>
      </c>
      <c r="B1423" s="11">
        <v>2485.0</v>
      </c>
      <c r="C1423" s="12">
        <v>0.44</v>
      </c>
      <c r="D1423" s="2">
        <v>0.002337962962962963</v>
      </c>
      <c r="E1423" s="12">
        <v>1.17</v>
      </c>
      <c r="F1423" s="12">
        <v>5.32</v>
      </c>
      <c r="G1423" s="11">
        <v>15427.0</v>
      </c>
      <c r="H1423" s="11">
        <v>2902.0</v>
      </c>
    </row>
    <row r="1424">
      <c r="A1424" s="10">
        <v>43792.0</v>
      </c>
      <c r="B1424" s="11">
        <v>2083.0</v>
      </c>
      <c r="C1424" s="12">
        <v>0.5506</v>
      </c>
      <c r="D1424" s="2">
        <v>0.0017939814814814815</v>
      </c>
      <c r="E1424" s="12">
        <v>1.05</v>
      </c>
      <c r="F1424" s="12">
        <v>4.27</v>
      </c>
      <c r="G1424" s="11">
        <v>9373.0</v>
      </c>
      <c r="H1424" s="11">
        <v>2194.0</v>
      </c>
    </row>
    <row r="1425">
      <c r="A1425" s="10">
        <v>43793.0</v>
      </c>
      <c r="B1425" s="11">
        <v>2236.0</v>
      </c>
      <c r="C1425" s="12">
        <v>0.4943</v>
      </c>
      <c r="D1425" s="2">
        <v>0.0019097222222222222</v>
      </c>
      <c r="E1425" s="12">
        <v>1.09</v>
      </c>
      <c r="F1425" s="12">
        <v>3.7</v>
      </c>
      <c r="G1425" s="11">
        <v>9053.0</v>
      </c>
      <c r="H1425" s="11">
        <v>2444.0</v>
      </c>
    </row>
    <row r="1426">
      <c r="A1426" s="10">
        <v>43794.0</v>
      </c>
      <c r="B1426" s="11">
        <v>3013.0</v>
      </c>
      <c r="C1426" s="12">
        <v>0.4898</v>
      </c>
      <c r="D1426" s="2">
        <v>0.0019675925925925924</v>
      </c>
      <c r="E1426" s="12">
        <v>1.14</v>
      </c>
      <c r="F1426" s="12">
        <v>4.0</v>
      </c>
      <c r="G1426" s="11">
        <v>13705.0</v>
      </c>
      <c r="H1426" s="11">
        <v>3430.0</v>
      </c>
    </row>
    <row r="1427">
      <c r="A1427" s="10">
        <v>43795.0</v>
      </c>
      <c r="B1427" s="11">
        <v>2888.0</v>
      </c>
      <c r="C1427" s="12">
        <v>0.5237</v>
      </c>
      <c r="D1427" s="2">
        <v>0.0016782407407407408</v>
      </c>
      <c r="E1427" s="12">
        <v>1.22</v>
      </c>
      <c r="F1427" s="12">
        <v>3.76</v>
      </c>
      <c r="G1427" s="11">
        <v>13274.0</v>
      </c>
      <c r="H1427" s="11">
        <v>3527.0</v>
      </c>
    </row>
    <row r="1428">
      <c r="A1428" s="10">
        <v>43796.0</v>
      </c>
      <c r="B1428" s="11">
        <v>2499.0</v>
      </c>
      <c r="C1428" s="12">
        <v>0.4377</v>
      </c>
      <c r="D1428" s="2">
        <v>0.001712962962962963</v>
      </c>
      <c r="E1428" s="12">
        <v>1.16</v>
      </c>
      <c r="F1428" s="12">
        <v>4.1</v>
      </c>
      <c r="G1428" s="11">
        <v>11844.0</v>
      </c>
      <c r="H1428" s="11">
        <v>2888.0</v>
      </c>
    </row>
    <row r="1429">
      <c r="A1429" s="10">
        <v>43797.0</v>
      </c>
      <c r="B1429" s="11">
        <v>2513.0</v>
      </c>
      <c r="C1429" s="12">
        <v>0.4046</v>
      </c>
      <c r="D1429" s="2">
        <v>0.0017476851851851852</v>
      </c>
      <c r="E1429" s="12">
        <v>1.13</v>
      </c>
      <c r="F1429" s="12">
        <v>4.09</v>
      </c>
      <c r="G1429" s="11">
        <v>11650.0</v>
      </c>
      <c r="H1429" s="11">
        <v>2847.0</v>
      </c>
    </row>
    <row r="1430">
      <c r="A1430" s="10">
        <v>43798.0</v>
      </c>
      <c r="B1430" s="11">
        <v>2763.0</v>
      </c>
      <c r="C1430" s="12">
        <v>0.4667</v>
      </c>
      <c r="D1430" s="2">
        <v>0.0016319444444444445</v>
      </c>
      <c r="E1430" s="12">
        <v>1.13</v>
      </c>
      <c r="F1430" s="12">
        <v>4.53</v>
      </c>
      <c r="G1430" s="11">
        <v>14163.0</v>
      </c>
      <c r="H1430" s="11">
        <v>3124.0</v>
      </c>
    </row>
    <row r="1431">
      <c r="A1431" s="10">
        <v>43799.0</v>
      </c>
      <c r="B1431" s="11">
        <v>1972.0</v>
      </c>
      <c r="C1431" s="12">
        <v>0.4808</v>
      </c>
      <c r="D1431" s="2">
        <v>0.0017476851851851852</v>
      </c>
      <c r="E1431" s="12">
        <v>1.08</v>
      </c>
      <c r="F1431" s="12">
        <v>4.12</v>
      </c>
      <c r="G1431" s="11">
        <v>8803.0</v>
      </c>
      <c r="H1431" s="11">
        <v>2138.0</v>
      </c>
    </row>
    <row r="1432">
      <c r="A1432" s="10">
        <v>43800.0</v>
      </c>
      <c r="B1432" s="11">
        <v>1999.0</v>
      </c>
      <c r="C1432" s="12">
        <v>0.4196</v>
      </c>
      <c r="D1432" s="2">
        <v>0.002488425925925926</v>
      </c>
      <c r="E1432" s="12">
        <v>1.08</v>
      </c>
      <c r="F1432" s="12">
        <v>5.08</v>
      </c>
      <c r="G1432" s="11">
        <v>10928.0</v>
      </c>
      <c r="H1432" s="11">
        <v>2152.0</v>
      </c>
    </row>
    <row r="1433">
      <c r="A1433" s="10">
        <v>43801.0</v>
      </c>
      <c r="B1433" s="11">
        <v>4124.0</v>
      </c>
      <c r="C1433" s="12">
        <v>0.4256</v>
      </c>
      <c r="D1433" s="2">
        <v>0.0018287037037037037</v>
      </c>
      <c r="E1433" s="12">
        <v>1.11</v>
      </c>
      <c r="F1433" s="12">
        <v>4.56</v>
      </c>
      <c r="G1433" s="11">
        <v>20842.0</v>
      </c>
      <c r="H1433" s="11">
        <v>4568.0</v>
      </c>
    </row>
    <row r="1434">
      <c r="A1434" s="10">
        <v>43802.0</v>
      </c>
      <c r="B1434" s="11">
        <v>3124.0</v>
      </c>
      <c r="C1434" s="12">
        <v>0.3785</v>
      </c>
      <c r="D1434" s="2">
        <v>0.0018865740740740742</v>
      </c>
      <c r="E1434" s="12">
        <v>1.15</v>
      </c>
      <c r="F1434" s="12">
        <v>4.24</v>
      </c>
      <c r="G1434" s="11">
        <v>15246.0</v>
      </c>
      <c r="H1434" s="11">
        <v>3596.0</v>
      </c>
    </row>
    <row r="1435">
      <c r="A1435" s="10">
        <v>43803.0</v>
      </c>
      <c r="B1435" s="11">
        <v>2819.0</v>
      </c>
      <c r="C1435" s="12">
        <v>0.3999</v>
      </c>
      <c r="D1435" s="2">
        <v>0.0018865740740740742</v>
      </c>
      <c r="E1435" s="12">
        <v>1.16</v>
      </c>
      <c r="F1435" s="12">
        <v>3.83</v>
      </c>
      <c r="G1435" s="11">
        <v>12483.0</v>
      </c>
      <c r="H1435" s="11">
        <v>3263.0</v>
      </c>
    </row>
    <row r="1436">
      <c r="A1436" s="10">
        <v>43804.0</v>
      </c>
      <c r="B1436" s="11">
        <v>2458.0</v>
      </c>
      <c r="C1436" s="12">
        <v>0.4224</v>
      </c>
      <c r="D1436" s="2">
        <v>0.0022453703703703702</v>
      </c>
      <c r="E1436" s="12">
        <v>1.16</v>
      </c>
      <c r="F1436" s="12">
        <v>4.55</v>
      </c>
      <c r="G1436" s="11">
        <v>13011.0</v>
      </c>
      <c r="H1436" s="11">
        <v>2860.0</v>
      </c>
    </row>
    <row r="1437">
      <c r="A1437" s="10">
        <v>43805.0</v>
      </c>
      <c r="B1437" s="11">
        <v>2374.0</v>
      </c>
      <c r="C1437" s="12">
        <v>0.4154</v>
      </c>
      <c r="D1437" s="2">
        <v>0.0024305555555555556</v>
      </c>
      <c r="E1437" s="12">
        <v>1.14</v>
      </c>
      <c r="F1437" s="12">
        <v>5.39</v>
      </c>
      <c r="G1437" s="11">
        <v>14607.0</v>
      </c>
      <c r="H1437" s="11">
        <v>2708.0</v>
      </c>
    </row>
    <row r="1438">
      <c r="A1438" s="10">
        <v>43806.0</v>
      </c>
      <c r="B1438" s="11">
        <v>1583.0</v>
      </c>
      <c r="C1438" s="12">
        <v>0.5152</v>
      </c>
      <c r="D1438" s="2">
        <v>0.002210648148148148</v>
      </c>
      <c r="E1438" s="12">
        <v>1.14</v>
      </c>
      <c r="F1438" s="12">
        <v>3.89</v>
      </c>
      <c r="G1438" s="11">
        <v>7026.0</v>
      </c>
      <c r="H1438" s="11">
        <v>1805.0</v>
      </c>
    </row>
    <row r="1439">
      <c r="A1439" s="10">
        <v>43807.0</v>
      </c>
      <c r="B1439" s="11">
        <v>1763.0</v>
      </c>
      <c r="C1439" s="12">
        <v>0.4219</v>
      </c>
      <c r="D1439" s="2">
        <v>0.002523148148148148</v>
      </c>
      <c r="E1439" s="12">
        <v>1.06</v>
      </c>
      <c r="F1439" s="12">
        <v>4.38</v>
      </c>
      <c r="G1439" s="11">
        <v>8206.0</v>
      </c>
      <c r="H1439" s="11">
        <v>1875.0</v>
      </c>
    </row>
    <row r="1440">
      <c r="A1440" s="10">
        <v>43808.0</v>
      </c>
      <c r="B1440" s="11">
        <v>2708.0</v>
      </c>
      <c r="C1440" s="12">
        <v>0.4398</v>
      </c>
      <c r="D1440" s="2">
        <v>0.001990740740740741</v>
      </c>
      <c r="E1440" s="12">
        <v>1.11</v>
      </c>
      <c r="F1440" s="12">
        <v>4.8</v>
      </c>
      <c r="G1440" s="11">
        <v>14385.0</v>
      </c>
      <c r="H1440" s="11">
        <v>2999.0</v>
      </c>
    </row>
    <row r="1441">
      <c r="A1441" s="10">
        <v>43809.0</v>
      </c>
      <c r="B1441" s="11">
        <v>3083.0</v>
      </c>
      <c r="C1441" s="12">
        <v>0.4344</v>
      </c>
      <c r="D1441" s="2">
        <v>0.0018055555555555555</v>
      </c>
      <c r="E1441" s="12">
        <v>1.13</v>
      </c>
      <c r="F1441" s="12">
        <v>4.46</v>
      </c>
      <c r="G1441" s="11">
        <v>15538.0</v>
      </c>
      <c r="H1441" s="11">
        <v>3485.0</v>
      </c>
    </row>
    <row r="1442">
      <c r="A1442" s="10">
        <v>43810.0</v>
      </c>
      <c r="B1442" s="11">
        <v>2902.0</v>
      </c>
      <c r="C1442" s="12">
        <v>0.4225</v>
      </c>
      <c r="D1442" s="2">
        <v>0.0021759259259259258</v>
      </c>
      <c r="E1442" s="12">
        <v>1.11</v>
      </c>
      <c r="F1442" s="12">
        <v>4.67</v>
      </c>
      <c r="G1442" s="11">
        <v>15038.0</v>
      </c>
      <c r="H1442" s="11">
        <v>3221.0</v>
      </c>
    </row>
    <row r="1443">
      <c r="A1443" s="10">
        <v>43811.0</v>
      </c>
      <c r="B1443" s="11">
        <v>2971.0</v>
      </c>
      <c r="C1443" s="12">
        <v>0.4521</v>
      </c>
      <c r="D1443" s="2">
        <v>0.0019444444444444444</v>
      </c>
      <c r="E1443" s="12">
        <v>1.08</v>
      </c>
      <c r="F1443" s="12">
        <v>4.29</v>
      </c>
      <c r="G1443" s="11">
        <v>13691.0</v>
      </c>
      <c r="H1443" s="11">
        <v>3194.0</v>
      </c>
    </row>
    <row r="1444">
      <c r="A1444" s="10">
        <v>43812.0</v>
      </c>
      <c r="B1444" s="11">
        <v>2860.0</v>
      </c>
      <c r="C1444" s="12">
        <v>0.3749</v>
      </c>
      <c r="D1444" s="2">
        <v>0.0018171296296296297</v>
      </c>
      <c r="E1444" s="12">
        <v>1.09</v>
      </c>
      <c r="F1444" s="12">
        <v>4.31</v>
      </c>
      <c r="G1444" s="11">
        <v>13399.0</v>
      </c>
      <c r="H1444" s="11">
        <v>3110.0</v>
      </c>
    </row>
    <row r="1445">
      <c r="A1445" s="10">
        <v>43813.0</v>
      </c>
      <c r="B1445" s="11">
        <v>1583.0</v>
      </c>
      <c r="C1445" s="12">
        <v>0.4309</v>
      </c>
      <c r="D1445" s="2">
        <v>0.0018402777777777777</v>
      </c>
      <c r="E1445" s="12">
        <v>1.08</v>
      </c>
      <c r="F1445" s="12">
        <v>5.42</v>
      </c>
      <c r="G1445" s="11">
        <v>9262.0</v>
      </c>
      <c r="H1445" s="11">
        <v>1708.0</v>
      </c>
    </row>
    <row r="1446">
      <c r="A1446" s="10">
        <v>43814.0</v>
      </c>
      <c r="B1446" s="11">
        <v>1847.0</v>
      </c>
      <c r="C1446" s="12">
        <v>0.546</v>
      </c>
      <c r="D1446" s="2">
        <v>0.0016435185185185185</v>
      </c>
      <c r="E1446" s="12">
        <v>1.06</v>
      </c>
      <c r="F1446" s="12">
        <v>4.04</v>
      </c>
      <c r="G1446" s="11">
        <v>7901.0</v>
      </c>
      <c r="H1446" s="11">
        <v>1958.0</v>
      </c>
    </row>
    <row r="1447">
      <c r="A1447" s="10">
        <v>43815.0</v>
      </c>
      <c r="B1447" s="11">
        <v>3180.0</v>
      </c>
      <c r="C1447" s="12">
        <v>0.4378</v>
      </c>
      <c r="D1447" s="2">
        <v>0.0021064814814814813</v>
      </c>
      <c r="E1447" s="12">
        <v>1.27</v>
      </c>
      <c r="F1447" s="12">
        <v>4.75</v>
      </c>
      <c r="G1447" s="11">
        <v>19134.0</v>
      </c>
      <c r="H1447" s="11">
        <v>4027.0</v>
      </c>
    </row>
    <row r="1448">
      <c r="A1448" s="10">
        <v>43816.0</v>
      </c>
      <c r="B1448" s="11">
        <v>2763.0</v>
      </c>
      <c r="C1448" s="12">
        <v>0.4435</v>
      </c>
      <c r="D1448" s="2">
        <v>0.0018287037037037037</v>
      </c>
      <c r="E1448" s="12">
        <v>1.11</v>
      </c>
      <c r="F1448" s="12">
        <v>3.9</v>
      </c>
      <c r="G1448" s="11">
        <v>11983.0</v>
      </c>
      <c r="H1448" s="11">
        <v>3069.0</v>
      </c>
    </row>
    <row r="1449">
      <c r="A1449" s="10">
        <v>43817.0</v>
      </c>
      <c r="B1449" s="11">
        <v>2527.0</v>
      </c>
      <c r="C1449" s="12">
        <v>0.4061</v>
      </c>
      <c r="D1449" s="2">
        <v>0.001979166666666667</v>
      </c>
      <c r="E1449" s="12">
        <v>1.11</v>
      </c>
      <c r="F1449" s="12">
        <v>4.54</v>
      </c>
      <c r="G1449" s="11">
        <v>12747.0</v>
      </c>
      <c r="H1449" s="11">
        <v>2805.0</v>
      </c>
    </row>
    <row r="1450">
      <c r="A1450" s="10">
        <v>43818.0</v>
      </c>
      <c r="B1450" s="11">
        <v>2444.0</v>
      </c>
      <c r="C1450" s="12">
        <v>0.4479</v>
      </c>
      <c r="D1450" s="2">
        <v>0.0019328703703703704</v>
      </c>
      <c r="E1450" s="12">
        <v>1.09</v>
      </c>
      <c r="F1450" s="12">
        <v>4.64</v>
      </c>
      <c r="G1450" s="11">
        <v>12358.0</v>
      </c>
      <c r="H1450" s="11">
        <v>2666.0</v>
      </c>
    </row>
    <row r="1451">
      <c r="A1451" s="10">
        <v>43819.0</v>
      </c>
      <c r="B1451" s="11">
        <v>1999.0</v>
      </c>
      <c r="C1451" s="12">
        <v>0.4014</v>
      </c>
      <c r="D1451" s="2">
        <v>0.0020717592592592593</v>
      </c>
      <c r="E1451" s="12">
        <v>1.09</v>
      </c>
      <c r="F1451" s="12">
        <v>4.85</v>
      </c>
      <c r="G1451" s="11">
        <v>10567.0</v>
      </c>
      <c r="H1451" s="11">
        <v>2180.0</v>
      </c>
    </row>
    <row r="1452">
      <c r="A1452" s="10">
        <v>43820.0</v>
      </c>
      <c r="B1452" s="11">
        <v>1111.0</v>
      </c>
      <c r="C1452" s="12">
        <v>0.3932</v>
      </c>
      <c r="D1452" s="2">
        <v>0.002349537037037037</v>
      </c>
      <c r="E1452" s="12">
        <v>1.11</v>
      </c>
      <c r="F1452" s="12">
        <v>5.97</v>
      </c>
      <c r="G1452" s="11">
        <v>7373.0</v>
      </c>
      <c r="H1452" s="11">
        <v>1236.0</v>
      </c>
    </row>
    <row r="1453">
      <c r="A1453" s="10">
        <v>43821.0</v>
      </c>
      <c r="B1453" s="11">
        <v>1222.0</v>
      </c>
      <c r="C1453" s="12">
        <v>0.4632</v>
      </c>
      <c r="D1453" s="2">
        <v>0.0014351851851851852</v>
      </c>
      <c r="E1453" s="12">
        <v>1.08</v>
      </c>
      <c r="F1453" s="12">
        <v>3.87</v>
      </c>
      <c r="G1453" s="11">
        <v>5110.0</v>
      </c>
      <c r="H1453" s="11">
        <v>1319.0</v>
      </c>
    </row>
    <row r="1454">
      <c r="A1454" s="10">
        <v>43822.0</v>
      </c>
      <c r="B1454" s="11">
        <v>1583.0</v>
      </c>
      <c r="C1454" s="12">
        <v>0.508</v>
      </c>
      <c r="D1454" s="2">
        <v>0.0016319444444444445</v>
      </c>
      <c r="E1454" s="12">
        <v>1.11</v>
      </c>
      <c r="F1454" s="12">
        <v>3.2</v>
      </c>
      <c r="G1454" s="11">
        <v>5596.0</v>
      </c>
      <c r="H1454" s="11">
        <v>1750.0</v>
      </c>
    </row>
    <row r="1455">
      <c r="A1455" s="10">
        <v>43823.0</v>
      </c>
      <c r="B1455" s="11">
        <v>1028.0</v>
      </c>
      <c r="C1455" s="12">
        <v>0.4648</v>
      </c>
      <c r="D1455" s="2">
        <v>0.0027430555555555554</v>
      </c>
      <c r="E1455" s="12">
        <v>1.13</v>
      </c>
      <c r="F1455" s="12">
        <v>5.03</v>
      </c>
      <c r="G1455" s="11">
        <v>5860.0</v>
      </c>
      <c r="H1455" s="11">
        <v>1166.0</v>
      </c>
    </row>
    <row r="1456">
      <c r="A1456" s="10">
        <v>43824.0</v>
      </c>
      <c r="B1456" s="11">
        <v>1028.0</v>
      </c>
      <c r="C1456" s="12">
        <v>0.4717</v>
      </c>
      <c r="D1456" s="2">
        <v>0.0013657407407407407</v>
      </c>
      <c r="E1456" s="12">
        <v>1.2</v>
      </c>
      <c r="F1456" s="12">
        <v>3.35</v>
      </c>
      <c r="G1456" s="11">
        <v>4138.0</v>
      </c>
      <c r="H1456" s="11">
        <v>1236.0</v>
      </c>
    </row>
    <row r="1457">
      <c r="A1457" s="10">
        <v>43825.0</v>
      </c>
      <c r="B1457" s="11">
        <v>1555.0</v>
      </c>
      <c r="C1457" s="12">
        <v>0.4593</v>
      </c>
      <c r="D1457" s="2">
        <v>0.0022222222222222222</v>
      </c>
      <c r="E1457" s="12">
        <v>1.09</v>
      </c>
      <c r="F1457" s="12">
        <v>4.73</v>
      </c>
      <c r="G1457" s="11">
        <v>8012.0</v>
      </c>
      <c r="H1457" s="11">
        <v>1694.0</v>
      </c>
    </row>
    <row r="1458">
      <c r="A1458" s="10">
        <v>43826.0</v>
      </c>
      <c r="B1458" s="11">
        <v>1430.0</v>
      </c>
      <c r="C1458" s="12">
        <v>0.5833</v>
      </c>
      <c r="D1458" s="2">
        <v>0.001261574074074074</v>
      </c>
      <c r="E1458" s="12">
        <v>1.05</v>
      </c>
      <c r="F1458" s="12">
        <v>3.32</v>
      </c>
      <c r="G1458" s="11">
        <v>4985.0</v>
      </c>
      <c r="H1458" s="11">
        <v>1500.0</v>
      </c>
    </row>
    <row r="1459">
      <c r="A1459" s="10">
        <v>43827.0</v>
      </c>
      <c r="B1459" s="11">
        <v>944.0</v>
      </c>
      <c r="C1459" s="12">
        <v>0.4875</v>
      </c>
      <c r="D1459" s="2">
        <v>0.0021527777777777778</v>
      </c>
      <c r="E1459" s="12">
        <v>1.15</v>
      </c>
      <c r="F1459" s="12">
        <v>4.08</v>
      </c>
      <c r="G1459" s="11">
        <v>4416.0</v>
      </c>
      <c r="H1459" s="11">
        <v>1083.0</v>
      </c>
    </row>
    <row r="1460">
      <c r="A1460" s="10">
        <v>43828.0</v>
      </c>
      <c r="B1460" s="11">
        <v>1111.0</v>
      </c>
      <c r="C1460" s="12">
        <v>0.4168</v>
      </c>
      <c r="D1460" s="2">
        <v>0.0017939814814814815</v>
      </c>
      <c r="E1460" s="12">
        <v>1.05</v>
      </c>
      <c r="F1460" s="12">
        <v>4.45</v>
      </c>
      <c r="G1460" s="11">
        <v>5193.0</v>
      </c>
      <c r="H1460" s="11">
        <v>1166.0</v>
      </c>
    </row>
    <row r="1461">
      <c r="A1461" s="10">
        <v>43829.0</v>
      </c>
      <c r="B1461" s="11">
        <v>1555.0</v>
      </c>
      <c r="C1461" s="12">
        <v>0.4631</v>
      </c>
      <c r="D1461" s="2">
        <v>0.0013425925925925925</v>
      </c>
      <c r="E1461" s="12">
        <v>1.1</v>
      </c>
      <c r="F1461" s="12">
        <v>3.33</v>
      </c>
      <c r="G1461" s="11">
        <v>5693.0</v>
      </c>
      <c r="H1461" s="11">
        <v>1708.0</v>
      </c>
    </row>
    <row r="1462">
      <c r="A1462" s="10">
        <v>43830.0</v>
      </c>
      <c r="B1462" s="11">
        <v>861.0</v>
      </c>
      <c r="C1462" s="12">
        <v>0.4379</v>
      </c>
      <c r="D1462" s="2">
        <v>0.0016435185185185185</v>
      </c>
      <c r="E1462" s="12">
        <v>1.18</v>
      </c>
      <c r="F1462" s="12">
        <v>4.11</v>
      </c>
      <c r="G1462" s="11">
        <v>4166.0</v>
      </c>
      <c r="H1462" s="11">
        <v>1014.0</v>
      </c>
    </row>
    <row r="1463">
      <c r="A1463" s="10">
        <v>43831.0</v>
      </c>
      <c r="B1463" s="11">
        <v>1180.0</v>
      </c>
      <c r="C1463" s="12">
        <v>0.4584</v>
      </c>
      <c r="D1463" s="2">
        <v>0.0030324074074074073</v>
      </c>
      <c r="E1463" s="12">
        <v>1.13</v>
      </c>
      <c r="F1463" s="12">
        <v>4.78</v>
      </c>
      <c r="G1463" s="11">
        <v>6373.0</v>
      </c>
      <c r="H1463" s="11">
        <v>1333.0</v>
      </c>
    </row>
    <row r="1464">
      <c r="A1464" s="10">
        <v>43832.0</v>
      </c>
      <c r="B1464" s="11">
        <v>1736.0</v>
      </c>
      <c r="C1464" s="12">
        <v>0.5506</v>
      </c>
      <c r="D1464" s="2">
        <v>0.0011226851851851851</v>
      </c>
      <c r="E1464" s="12">
        <v>1.1</v>
      </c>
      <c r="F1464" s="12">
        <v>3.33</v>
      </c>
      <c r="G1464" s="11">
        <v>6387.0</v>
      </c>
      <c r="H1464" s="11">
        <v>1916.0</v>
      </c>
    </row>
    <row r="1465">
      <c r="A1465" s="10">
        <v>43833.0</v>
      </c>
      <c r="B1465" s="11">
        <v>1527.0</v>
      </c>
      <c r="C1465" s="12">
        <v>0.4529</v>
      </c>
      <c r="D1465" s="2">
        <v>0.0019328703703703704</v>
      </c>
      <c r="E1465" s="12">
        <v>1.06</v>
      </c>
      <c r="F1465" s="12">
        <v>4.36</v>
      </c>
      <c r="G1465" s="11">
        <v>7082.0</v>
      </c>
      <c r="H1465" s="11">
        <v>1625.0</v>
      </c>
    </row>
    <row r="1466">
      <c r="A1466" s="10">
        <v>43834.0</v>
      </c>
      <c r="B1466" s="11">
        <v>1194.0</v>
      </c>
      <c r="C1466" s="12">
        <v>0.5809</v>
      </c>
      <c r="D1466" s="2">
        <v>0.0013194444444444445</v>
      </c>
      <c r="E1466" s="12">
        <v>1.08</v>
      </c>
      <c r="F1466" s="12">
        <v>3.75</v>
      </c>
      <c r="G1466" s="11">
        <v>4846.0</v>
      </c>
      <c r="H1466" s="11">
        <v>1291.0</v>
      </c>
    </row>
    <row r="1467">
      <c r="A1467" s="10">
        <v>43835.0</v>
      </c>
      <c r="B1467" s="11">
        <v>1152.0</v>
      </c>
      <c r="C1467" s="12">
        <v>0.3748</v>
      </c>
      <c r="D1467" s="2">
        <v>0.001851851851851852</v>
      </c>
      <c r="E1467" s="12">
        <v>1.06</v>
      </c>
      <c r="F1467" s="12">
        <v>3.93</v>
      </c>
      <c r="G1467" s="11">
        <v>4804.0</v>
      </c>
      <c r="H1467" s="11">
        <v>1222.0</v>
      </c>
    </row>
    <row r="1468">
      <c r="A1468" s="10">
        <v>43836.0</v>
      </c>
      <c r="B1468" s="11">
        <v>2111.0</v>
      </c>
      <c r="C1468" s="12">
        <v>0.3851</v>
      </c>
      <c r="D1468" s="2">
        <v>0.0017592592592592592</v>
      </c>
      <c r="E1468" s="12">
        <v>1.06</v>
      </c>
      <c r="F1468" s="12">
        <v>4.39</v>
      </c>
      <c r="G1468" s="11">
        <v>9817.0</v>
      </c>
      <c r="H1468" s="11">
        <v>2236.0</v>
      </c>
    </row>
    <row r="1469">
      <c r="A1469" s="10">
        <v>43837.0</v>
      </c>
      <c r="B1469" s="11">
        <v>2111.0</v>
      </c>
      <c r="C1469" s="12">
        <v>0.3926</v>
      </c>
      <c r="D1469" s="2">
        <v>0.0016203703703703703</v>
      </c>
      <c r="E1469" s="12">
        <v>1.11</v>
      </c>
      <c r="F1469" s="12">
        <v>3.92</v>
      </c>
      <c r="G1469" s="11">
        <v>9137.0</v>
      </c>
      <c r="H1469" s="11">
        <v>2333.0</v>
      </c>
    </row>
    <row r="1470">
      <c r="A1470" s="10">
        <v>43838.0</v>
      </c>
      <c r="B1470" s="11">
        <v>2333.0</v>
      </c>
      <c r="C1470" s="12">
        <v>0.4866</v>
      </c>
      <c r="D1470" s="2">
        <v>0.0014467592592592592</v>
      </c>
      <c r="E1470" s="12">
        <v>1.1</v>
      </c>
      <c r="F1470" s="12">
        <v>4.02</v>
      </c>
      <c r="G1470" s="11">
        <v>10331.0</v>
      </c>
      <c r="H1470" s="11">
        <v>2569.0</v>
      </c>
    </row>
    <row r="1471">
      <c r="A1471" s="10">
        <v>43839.0</v>
      </c>
      <c r="B1471" s="11">
        <v>2138.0</v>
      </c>
      <c r="C1471" s="12">
        <v>0.4939</v>
      </c>
      <c r="D1471" s="2">
        <v>0.002025462962962963</v>
      </c>
      <c r="E1471" s="12">
        <v>1.1</v>
      </c>
      <c r="F1471" s="12">
        <v>4.42</v>
      </c>
      <c r="G1471" s="11">
        <v>10442.0</v>
      </c>
      <c r="H1471" s="11">
        <v>2361.0</v>
      </c>
    </row>
    <row r="1472">
      <c r="A1472" s="10">
        <v>43840.0</v>
      </c>
      <c r="B1472" s="11">
        <v>1847.0</v>
      </c>
      <c r="C1472" s="12">
        <v>0.4229</v>
      </c>
      <c r="D1472" s="2">
        <v>0.0027199074074074074</v>
      </c>
      <c r="E1472" s="12">
        <v>1.12</v>
      </c>
      <c r="F1472" s="12">
        <v>5.16</v>
      </c>
      <c r="G1472" s="11">
        <v>10678.0</v>
      </c>
      <c r="H1472" s="11">
        <v>2069.0</v>
      </c>
    </row>
    <row r="1473">
      <c r="A1473" s="10">
        <v>43841.0</v>
      </c>
      <c r="B1473" s="11">
        <v>1277.0</v>
      </c>
      <c r="C1473" s="12">
        <v>0.5317</v>
      </c>
      <c r="D1473" s="2">
        <v>0.0024537037037037036</v>
      </c>
      <c r="E1473" s="12">
        <v>1.19</v>
      </c>
      <c r="F1473" s="12">
        <v>4.75</v>
      </c>
      <c r="G1473" s="11">
        <v>7193.0</v>
      </c>
      <c r="H1473" s="11">
        <v>1514.0</v>
      </c>
    </row>
    <row r="1474">
      <c r="A1474" s="10">
        <v>43842.0</v>
      </c>
      <c r="B1474" s="11">
        <v>1305.0</v>
      </c>
      <c r="C1474" s="12">
        <v>0.4579</v>
      </c>
      <c r="D1474" s="2">
        <v>0.0025694444444444445</v>
      </c>
      <c r="E1474" s="12">
        <v>1.26</v>
      </c>
      <c r="F1474" s="12">
        <v>4.45</v>
      </c>
      <c r="G1474" s="11">
        <v>7290.0</v>
      </c>
      <c r="H1474" s="11">
        <v>1638.0</v>
      </c>
    </row>
    <row r="1475">
      <c r="A1475" s="10">
        <v>43843.0</v>
      </c>
      <c r="B1475" s="11">
        <v>2402.0</v>
      </c>
      <c r="C1475" s="12">
        <v>0.457</v>
      </c>
      <c r="D1475" s="2">
        <v>0.0020717592592592593</v>
      </c>
      <c r="E1475" s="12">
        <v>1.14</v>
      </c>
      <c r="F1475" s="12">
        <v>4.03</v>
      </c>
      <c r="G1475" s="11">
        <v>11011.0</v>
      </c>
      <c r="H1475" s="11">
        <v>2735.0</v>
      </c>
    </row>
    <row r="1476">
      <c r="A1476" s="10">
        <v>43844.0</v>
      </c>
      <c r="B1476" s="11">
        <v>2152.0</v>
      </c>
      <c r="C1476" s="12">
        <v>0.4142</v>
      </c>
      <c r="D1476" s="2">
        <v>0.0019097222222222222</v>
      </c>
      <c r="E1476" s="12">
        <v>1.17</v>
      </c>
      <c r="F1476" s="12">
        <v>4.43</v>
      </c>
      <c r="G1476" s="11">
        <v>11122.0</v>
      </c>
      <c r="H1476" s="11">
        <v>2513.0</v>
      </c>
    </row>
    <row r="1477">
      <c r="A1477" s="10">
        <v>43845.0</v>
      </c>
      <c r="B1477" s="11">
        <v>2249.0</v>
      </c>
      <c r="C1477" s="12">
        <v>0.4262</v>
      </c>
      <c r="D1477" s="2">
        <v>0.0023263888888888887</v>
      </c>
      <c r="E1477" s="12">
        <v>1.13</v>
      </c>
      <c r="F1477" s="12">
        <v>4.57</v>
      </c>
      <c r="G1477" s="11">
        <v>11622.0</v>
      </c>
      <c r="H1477" s="11">
        <v>2541.0</v>
      </c>
    </row>
    <row r="1478">
      <c r="A1478" s="10">
        <v>43846.0</v>
      </c>
      <c r="B1478" s="11">
        <v>2319.0</v>
      </c>
      <c r="C1478" s="12">
        <v>0.4652</v>
      </c>
      <c r="D1478" s="2">
        <v>0.0025925925925925925</v>
      </c>
      <c r="E1478" s="12">
        <v>1.12</v>
      </c>
      <c r="F1478" s="12">
        <v>4.5</v>
      </c>
      <c r="G1478" s="11">
        <v>11691.0</v>
      </c>
      <c r="H1478" s="11">
        <v>2597.0</v>
      </c>
    </row>
    <row r="1479">
      <c r="A1479" s="10">
        <v>43847.0</v>
      </c>
      <c r="B1479" s="11">
        <v>1888.0</v>
      </c>
      <c r="C1479" s="12">
        <v>0.4769</v>
      </c>
      <c r="D1479" s="2">
        <v>0.0018287037037037037</v>
      </c>
      <c r="E1479" s="12">
        <v>1.11</v>
      </c>
      <c r="F1479" s="12">
        <v>5.36</v>
      </c>
      <c r="G1479" s="11">
        <v>11247.0</v>
      </c>
      <c r="H1479" s="11">
        <v>2097.0</v>
      </c>
    </row>
    <row r="1480">
      <c r="A1480" s="10">
        <v>43848.0</v>
      </c>
      <c r="B1480" s="11">
        <v>1305.0</v>
      </c>
      <c r="C1480" s="12">
        <v>0.5047</v>
      </c>
      <c r="D1480" s="2">
        <v>0.0024074074074074076</v>
      </c>
      <c r="E1480" s="12">
        <v>1.14</v>
      </c>
      <c r="F1480" s="12">
        <v>4.32</v>
      </c>
      <c r="G1480" s="11">
        <v>6415.0</v>
      </c>
      <c r="H1480" s="11">
        <v>1486.0</v>
      </c>
    </row>
    <row r="1481">
      <c r="A1481" s="10">
        <v>43849.0</v>
      </c>
      <c r="B1481" s="11">
        <v>1333.0</v>
      </c>
      <c r="C1481" s="12">
        <v>0.519</v>
      </c>
      <c r="D1481" s="2">
        <v>0.0018865740740740742</v>
      </c>
      <c r="E1481" s="12">
        <v>1.1</v>
      </c>
      <c r="F1481" s="12">
        <v>4.26</v>
      </c>
      <c r="G1481" s="11">
        <v>6276.0</v>
      </c>
      <c r="H1481" s="11">
        <v>1472.0</v>
      </c>
    </row>
    <row r="1482">
      <c r="A1482" s="10">
        <v>43850.0</v>
      </c>
      <c r="B1482" s="11">
        <v>1791.0</v>
      </c>
      <c r="C1482" s="12">
        <v>0.5208</v>
      </c>
      <c r="D1482" s="2">
        <v>0.0024305555555555556</v>
      </c>
      <c r="E1482" s="12">
        <v>1.12</v>
      </c>
      <c r="F1482" s="12">
        <v>4.15</v>
      </c>
      <c r="G1482" s="11">
        <v>8303.0</v>
      </c>
      <c r="H1482" s="11">
        <v>1999.0</v>
      </c>
    </row>
    <row r="1483">
      <c r="A1483" s="10">
        <v>43851.0</v>
      </c>
      <c r="B1483" s="11">
        <v>2208.0</v>
      </c>
      <c r="C1483" s="12">
        <v>0.4058</v>
      </c>
      <c r="D1483" s="2">
        <v>0.0020486111111111113</v>
      </c>
      <c r="E1483" s="12">
        <v>1.1</v>
      </c>
      <c r="F1483" s="12">
        <v>4.41</v>
      </c>
      <c r="G1483" s="11">
        <v>10706.0</v>
      </c>
      <c r="H1483" s="11">
        <v>2430.0</v>
      </c>
    </row>
    <row r="1484">
      <c r="A1484" s="10">
        <v>43852.0</v>
      </c>
      <c r="B1484" s="11">
        <v>2263.0</v>
      </c>
      <c r="C1484" s="12">
        <v>0.431</v>
      </c>
      <c r="D1484" s="2">
        <v>0.0014351851851851852</v>
      </c>
      <c r="E1484" s="12">
        <v>1.11</v>
      </c>
      <c r="F1484" s="12">
        <v>3.85</v>
      </c>
      <c r="G1484" s="11">
        <v>9664.0</v>
      </c>
      <c r="H1484" s="11">
        <v>2513.0</v>
      </c>
    </row>
    <row r="1485">
      <c r="A1485" s="10">
        <v>43853.0</v>
      </c>
      <c r="B1485" s="11">
        <v>2180.0</v>
      </c>
      <c r="C1485" s="12">
        <v>0.412</v>
      </c>
      <c r="D1485" s="2">
        <v>0.0013541666666666667</v>
      </c>
      <c r="E1485" s="12">
        <v>1.05</v>
      </c>
      <c r="F1485" s="12">
        <v>3.79</v>
      </c>
      <c r="G1485" s="11">
        <v>8692.0</v>
      </c>
      <c r="H1485" s="11">
        <v>2291.0</v>
      </c>
    </row>
    <row r="1486">
      <c r="A1486" s="10">
        <v>43854.0</v>
      </c>
      <c r="B1486" s="11">
        <v>1833.0</v>
      </c>
      <c r="C1486" s="12">
        <v>0.4716</v>
      </c>
      <c r="D1486" s="2">
        <v>0.0016435185185185185</v>
      </c>
      <c r="E1486" s="12">
        <v>1.08</v>
      </c>
      <c r="F1486" s="12">
        <v>4.5</v>
      </c>
      <c r="G1486" s="11">
        <v>8873.0</v>
      </c>
      <c r="H1486" s="11">
        <v>1972.0</v>
      </c>
    </row>
    <row r="1487">
      <c r="A1487" s="10">
        <v>43855.0</v>
      </c>
      <c r="B1487" s="11">
        <v>1222.0</v>
      </c>
      <c r="C1487" s="12">
        <v>0.4386</v>
      </c>
      <c r="D1487" s="2">
        <v>0.002476851851851852</v>
      </c>
      <c r="E1487" s="12">
        <v>1.11</v>
      </c>
      <c r="F1487" s="12">
        <v>5.41</v>
      </c>
      <c r="G1487" s="11">
        <v>7359.0</v>
      </c>
      <c r="H1487" s="11">
        <v>1361.0</v>
      </c>
    </row>
    <row r="1488">
      <c r="A1488" s="10">
        <v>43856.0</v>
      </c>
      <c r="B1488" s="11">
        <v>1222.0</v>
      </c>
      <c r="C1488" s="12">
        <v>0.4</v>
      </c>
      <c r="D1488" s="2">
        <v>0.0019675925925925924</v>
      </c>
      <c r="E1488" s="12">
        <v>1.02</v>
      </c>
      <c r="F1488" s="12">
        <v>3.75</v>
      </c>
      <c r="G1488" s="11">
        <v>4693.0</v>
      </c>
      <c r="H1488" s="11">
        <v>1250.0</v>
      </c>
    </row>
    <row r="1489">
      <c r="A1489" s="10">
        <v>43857.0</v>
      </c>
      <c r="B1489" s="11">
        <v>2249.0</v>
      </c>
      <c r="C1489" s="12">
        <v>0.4603</v>
      </c>
      <c r="D1489" s="2">
        <v>0.0019444444444444444</v>
      </c>
      <c r="E1489" s="12">
        <v>1.09</v>
      </c>
      <c r="F1489" s="12">
        <v>4.0</v>
      </c>
      <c r="G1489" s="11">
        <v>9775.0</v>
      </c>
      <c r="H1489" s="11">
        <v>2444.0</v>
      </c>
    </row>
    <row r="1490">
      <c r="A1490" s="10">
        <v>43858.0</v>
      </c>
      <c r="B1490" s="11">
        <v>2180.0</v>
      </c>
      <c r="C1490" s="12">
        <v>0.4239</v>
      </c>
      <c r="D1490" s="2">
        <v>0.0021875</v>
      </c>
      <c r="E1490" s="12">
        <v>1.17</v>
      </c>
      <c r="F1490" s="12">
        <v>4.2</v>
      </c>
      <c r="G1490" s="11">
        <v>10733.0</v>
      </c>
      <c r="H1490" s="11">
        <v>2555.0</v>
      </c>
    </row>
    <row r="1491">
      <c r="A1491" s="10">
        <v>43859.0</v>
      </c>
      <c r="B1491" s="11">
        <v>2263.0</v>
      </c>
      <c r="C1491" s="12">
        <v>0.4766</v>
      </c>
      <c r="D1491" s="2">
        <v>0.002511574074074074</v>
      </c>
      <c r="E1491" s="12">
        <v>1.17</v>
      </c>
      <c r="F1491" s="12">
        <v>3.98</v>
      </c>
      <c r="G1491" s="11">
        <v>10553.0</v>
      </c>
      <c r="H1491" s="11">
        <v>2652.0</v>
      </c>
    </row>
    <row r="1492">
      <c r="A1492" s="10">
        <v>43860.0</v>
      </c>
      <c r="B1492" s="11">
        <v>2069.0</v>
      </c>
      <c r="C1492" s="12">
        <v>0.4824</v>
      </c>
      <c r="D1492" s="2">
        <v>0.002534722222222222</v>
      </c>
      <c r="E1492" s="12">
        <v>1.15</v>
      </c>
      <c r="F1492" s="12">
        <v>4.95</v>
      </c>
      <c r="G1492" s="11">
        <v>11816.0</v>
      </c>
      <c r="H1492" s="11">
        <v>2388.0</v>
      </c>
    </row>
    <row r="1493">
      <c r="A1493" s="10">
        <v>43861.0</v>
      </c>
      <c r="B1493" s="11">
        <v>1694.0</v>
      </c>
      <c r="C1493" s="12">
        <v>0.4159</v>
      </c>
      <c r="D1493" s="2">
        <v>0.0024074074074074076</v>
      </c>
      <c r="E1493" s="12">
        <v>1.12</v>
      </c>
      <c r="F1493" s="12">
        <v>5.07</v>
      </c>
      <c r="G1493" s="11">
        <v>9650.0</v>
      </c>
      <c r="H1493" s="11">
        <v>1902.0</v>
      </c>
    </row>
    <row r="1494">
      <c r="A1494" s="10">
        <v>43862.0</v>
      </c>
      <c r="B1494" s="11">
        <v>1264.0</v>
      </c>
      <c r="C1494" s="12">
        <v>0.4901</v>
      </c>
      <c r="D1494" s="2">
        <v>0.0017013888888888888</v>
      </c>
      <c r="E1494" s="12">
        <v>1.12</v>
      </c>
      <c r="F1494" s="12">
        <v>4.59</v>
      </c>
      <c r="G1494" s="11">
        <v>6498.0</v>
      </c>
      <c r="H1494" s="11">
        <v>1416.0</v>
      </c>
    </row>
    <row r="1495">
      <c r="A1495" s="10">
        <v>43863.0</v>
      </c>
      <c r="B1495" s="11">
        <v>1444.0</v>
      </c>
      <c r="C1495" s="12">
        <v>0.4199</v>
      </c>
      <c r="D1495" s="2">
        <v>0.0020486111111111113</v>
      </c>
      <c r="E1495" s="12">
        <v>1.08</v>
      </c>
      <c r="F1495" s="12">
        <v>4.13</v>
      </c>
      <c r="G1495" s="11">
        <v>6415.0</v>
      </c>
      <c r="H1495" s="11">
        <v>1555.0</v>
      </c>
    </row>
    <row r="1496">
      <c r="A1496" s="10">
        <v>43864.0</v>
      </c>
      <c r="B1496" s="11">
        <v>2291.0</v>
      </c>
      <c r="C1496" s="12">
        <v>0.4947</v>
      </c>
      <c r="D1496" s="2">
        <v>0.0020717592592592593</v>
      </c>
      <c r="E1496" s="12">
        <v>1.12</v>
      </c>
      <c r="F1496" s="12">
        <v>3.77</v>
      </c>
      <c r="G1496" s="11">
        <v>9636.0</v>
      </c>
      <c r="H1496" s="11">
        <v>2555.0</v>
      </c>
    </row>
    <row r="1497">
      <c r="A1497" s="10">
        <v>43865.0</v>
      </c>
      <c r="B1497" s="11">
        <v>2097.0</v>
      </c>
      <c r="C1497" s="12">
        <v>0.4397</v>
      </c>
      <c r="D1497" s="2">
        <v>0.001990740740740741</v>
      </c>
      <c r="E1497" s="12">
        <v>1.21</v>
      </c>
      <c r="F1497" s="12">
        <v>4.18</v>
      </c>
      <c r="G1497" s="11">
        <v>10553.0</v>
      </c>
      <c r="H1497" s="11">
        <v>2527.0</v>
      </c>
    </row>
    <row r="1498">
      <c r="A1498" s="10">
        <v>43866.0</v>
      </c>
      <c r="B1498" s="11">
        <v>2249.0</v>
      </c>
      <c r="C1498" s="12">
        <v>0.4317</v>
      </c>
      <c r="D1498" s="2">
        <v>0.0023263888888888887</v>
      </c>
      <c r="E1498" s="12">
        <v>1.13</v>
      </c>
      <c r="F1498" s="12">
        <v>4.8</v>
      </c>
      <c r="G1498" s="11">
        <v>12205.0</v>
      </c>
      <c r="H1498" s="11">
        <v>2541.0</v>
      </c>
    </row>
    <row r="1499">
      <c r="A1499" s="10">
        <v>43867.0</v>
      </c>
      <c r="B1499" s="11">
        <v>2236.0</v>
      </c>
      <c r="C1499" s="12">
        <v>0.4572</v>
      </c>
      <c r="D1499" s="2">
        <v>0.0016782407407407408</v>
      </c>
      <c r="E1499" s="12">
        <v>1.09</v>
      </c>
      <c r="F1499" s="12">
        <v>4.75</v>
      </c>
      <c r="G1499" s="11">
        <v>11553.0</v>
      </c>
      <c r="H1499" s="11">
        <v>2430.0</v>
      </c>
    </row>
    <row r="1500">
      <c r="A1500" s="10">
        <v>43868.0</v>
      </c>
      <c r="B1500" s="11">
        <v>1847.0</v>
      </c>
      <c r="C1500" s="12">
        <v>0.4142</v>
      </c>
      <c r="D1500" s="2">
        <v>0.0020717592592592593</v>
      </c>
      <c r="E1500" s="12">
        <v>1.18</v>
      </c>
      <c r="F1500" s="12">
        <v>4.1</v>
      </c>
      <c r="G1500" s="11">
        <v>8928.0</v>
      </c>
      <c r="H1500" s="11">
        <v>2180.0</v>
      </c>
    </row>
    <row r="1501">
      <c r="A1501" s="10">
        <v>43869.0</v>
      </c>
      <c r="B1501" s="11">
        <v>1486.0</v>
      </c>
      <c r="C1501" s="12">
        <v>0.4018</v>
      </c>
      <c r="D1501" s="2">
        <v>0.002002314814814815</v>
      </c>
      <c r="E1501" s="12">
        <v>1.09</v>
      </c>
      <c r="F1501" s="12">
        <v>4.53</v>
      </c>
      <c r="G1501" s="11">
        <v>7359.0</v>
      </c>
      <c r="H1501" s="11">
        <v>1625.0</v>
      </c>
    </row>
    <row r="1502">
      <c r="A1502" s="10">
        <v>43870.0</v>
      </c>
      <c r="B1502" s="11">
        <v>1444.0</v>
      </c>
      <c r="C1502" s="12">
        <v>0.4631</v>
      </c>
      <c r="D1502" s="2">
        <v>0.0018865740740740742</v>
      </c>
      <c r="E1502" s="12">
        <v>1.16</v>
      </c>
      <c r="F1502" s="12">
        <v>4.26</v>
      </c>
      <c r="G1502" s="11">
        <v>7165.0</v>
      </c>
      <c r="H1502" s="11">
        <v>1680.0</v>
      </c>
    </row>
    <row r="1503">
      <c r="A1503" s="10">
        <v>43871.0</v>
      </c>
      <c r="B1503" s="11">
        <v>2041.0</v>
      </c>
      <c r="C1503" s="12">
        <v>0.4879</v>
      </c>
      <c r="D1503" s="2">
        <v>0.0015162037037037036</v>
      </c>
      <c r="E1503" s="12">
        <v>1.12</v>
      </c>
      <c r="F1503" s="12">
        <v>4.04</v>
      </c>
      <c r="G1503" s="11">
        <v>9192.0</v>
      </c>
      <c r="H1503" s="11">
        <v>2277.0</v>
      </c>
    </row>
    <row r="1504">
      <c r="A1504" s="10">
        <v>43872.0</v>
      </c>
      <c r="B1504" s="11">
        <v>2499.0</v>
      </c>
      <c r="C1504" s="12">
        <v>0.456</v>
      </c>
      <c r="D1504" s="2">
        <v>0.0020486111111111113</v>
      </c>
      <c r="E1504" s="12">
        <v>1.07</v>
      </c>
      <c r="F1504" s="12">
        <v>4.98</v>
      </c>
      <c r="G1504" s="11">
        <v>13358.0</v>
      </c>
      <c r="H1504" s="11">
        <v>2680.0</v>
      </c>
    </row>
    <row r="1505">
      <c r="A1505" s="10">
        <v>43873.0</v>
      </c>
      <c r="B1505" s="11">
        <v>2222.0</v>
      </c>
      <c r="C1505" s="12">
        <v>0.4467</v>
      </c>
      <c r="D1505" s="2">
        <v>0.002013888888888889</v>
      </c>
      <c r="E1505" s="12">
        <v>1.17</v>
      </c>
      <c r="F1505" s="12">
        <v>4.37</v>
      </c>
      <c r="G1505" s="11">
        <v>11400.0</v>
      </c>
      <c r="H1505" s="11">
        <v>2610.0</v>
      </c>
    </row>
    <row r="1506">
      <c r="A1506" s="10">
        <v>43874.0</v>
      </c>
      <c r="B1506" s="11">
        <v>2041.0</v>
      </c>
      <c r="C1506" s="12">
        <v>0.5086</v>
      </c>
      <c r="D1506" s="2">
        <v>0.0024305555555555556</v>
      </c>
      <c r="E1506" s="12">
        <v>1.19</v>
      </c>
      <c r="F1506" s="12">
        <v>4.95</v>
      </c>
      <c r="G1506" s="11">
        <v>12039.0</v>
      </c>
      <c r="H1506" s="11">
        <v>2430.0</v>
      </c>
    </row>
    <row r="1507">
      <c r="A1507" s="10">
        <v>43875.0</v>
      </c>
      <c r="B1507" s="11">
        <v>1736.0</v>
      </c>
      <c r="C1507" s="12">
        <v>0.4338</v>
      </c>
      <c r="D1507" s="2">
        <v>0.0018402777777777777</v>
      </c>
      <c r="E1507" s="12">
        <v>1.09</v>
      </c>
      <c r="F1507" s="12">
        <v>4.09</v>
      </c>
      <c r="G1507" s="11">
        <v>7720.0</v>
      </c>
      <c r="H1507" s="11">
        <v>1888.0</v>
      </c>
    </row>
    <row r="1508">
      <c r="A1508" s="10">
        <v>43876.0</v>
      </c>
      <c r="B1508" s="11">
        <v>1389.0</v>
      </c>
      <c r="C1508" s="12">
        <v>0.4643</v>
      </c>
      <c r="D1508" s="2">
        <v>0.001863425925925926</v>
      </c>
      <c r="E1508" s="12">
        <v>1.12</v>
      </c>
      <c r="F1508" s="12">
        <v>5.55</v>
      </c>
      <c r="G1508" s="11">
        <v>8623.0</v>
      </c>
      <c r="H1508" s="11">
        <v>1555.0</v>
      </c>
    </row>
    <row r="1509">
      <c r="A1509" s="10">
        <v>43877.0</v>
      </c>
      <c r="B1509" s="11">
        <v>1347.0</v>
      </c>
      <c r="C1509" s="12">
        <v>0.481</v>
      </c>
      <c r="D1509" s="2">
        <v>0.0011805555555555556</v>
      </c>
      <c r="E1509" s="12">
        <v>1.09</v>
      </c>
      <c r="F1509" s="12">
        <v>3.67</v>
      </c>
      <c r="G1509" s="11">
        <v>5401.0</v>
      </c>
      <c r="H1509" s="11">
        <v>1472.0</v>
      </c>
    </row>
    <row r="1510">
      <c r="A1510" s="10">
        <v>43878.0</v>
      </c>
      <c r="B1510" s="11">
        <v>1916.0</v>
      </c>
      <c r="C1510" s="12">
        <v>0.4829</v>
      </c>
      <c r="D1510" s="2">
        <v>0.0012962962962962963</v>
      </c>
      <c r="E1510" s="12">
        <v>1.05</v>
      </c>
      <c r="F1510" s="12">
        <v>3.23</v>
      </c>
      <c r="G1510" s="11">
        <v>6498.0</v>
      </c>
      <c r="H1510" s="11">
        <v>2013.0</v>
      </c>
    </row>
    <row r="1511">
      <c r="A1511" s="10">
        <v>43879.0</v>
      </c>
      <c r="B1511" s="11">
        <v>2333.0</v>
      </c>
      <c r="C1511" s="12">
        <v>0.4287</v>
      </c>
      <c r="D1511" s="2">
        <v>0.002534722222222222</v>
      </c>
      <c r="E1511" s="12">
        <v>1.12</v>
      </c>
      <c r="F1511" s="12">
        <v>4.32</v>
      </c>
      <c r="G1511" s="11">
        <v>11344.0</v>
      </c>
      <c r="H1511" s="11">
        <v>2624.0</v>
      </c>
    </row>
    <row r="1512">
      <c r="A1512" s="10">
        <v>43880.0</v>
      </c>
      <c r="B1512" s="11">
        <v>2374.0</v>
      </c>
      <c r="C1512" s="12">
        <v>0.4947</v>
      </c>
      <c r="D1512" s="2">
        <v>0.0015625</v>
      </c>
      <c r="E1512" s="12">
        <v>1.11</v>
      </c>
      <c r="F1512" s="12">
        <v>3.79</v>
      </c>
      <c r="G1512" s="11">
        <v>10011.0</v>
      </c>
      <c r="H1512" s="11">
        <v>2638.0</v>
      </c>
    </row>
    <row r="1513">
      <c r="A1513" s="10">
        <v>43881.0</v>
      </c>
      <c r="B1513" s="11">
        <v>2527.0</v>
      </c>
      <c r="C1513" s="12">
        <v>0.4636</v>
      </c>
      <c r="D1513" s="2">
        <v>0.0012962962962962963</v>
      </c>
      <c r="E1513" s="12">
        <v>1.06</v>
      </c>
      <c r="F1513" s="12">
        <v>3.84</v>
      </c>
      <c r="G1513" s="11">
        <v>10234.0</v>
      </c>
      <c r="H1513" s="11">
        <v>2666.0</v>
      </c>
    </row>
    <row r="1514">
      <c r="A1514" s="10">
        <v>43882.0</v>
      </c>
      <c r="B1514" s="11">
        <v>1930.0</v>
      </c>
      <c r="C1514" s="12">
        <v>0.4415</v>
      </c>
      <c r="D1514" s="2">
        <v>0.0022337962962962962</v>
      </c>
      <c r="E1514" s="12">
        <v>1.11</v>
      </c>
      <c r="F1514" s="12">
        <v>4.42</v>
      </c>
      <c r="G1514" s="11">
        <v>9456.0</v>
      </c>
      <c r="H1514" s="11">
        <v>2138.0</v>
      </c>
    </row>
    <row r="1515">
      <c r="A1515" s="10">
        <v>43883.0</v>
      </c>
      <c r="B1515" s="11">
        <v>1458.0</v>
      </c>
      <c r="C1515" s="12">
        <v>0.5537</v>
      </c>
      <c r="D1515" s="2">
        <v>0.0014583333333333334</v>
      </c>
      <c r="E1515" s="12">
        <v>1.07</v>
      </c>
      <c r="F1515" s="12">
        <v>3.36</v>
      </c>
      <c r="G1515" s="11">
        <v>5221.0</v>
      </c>
      <c r="H1515" s="11">
        <v>1555.0</v>
      </c>
    </row>
    <row r="1516">
      <c r="A1516" s="10">
        <v>43884.0</v>
      </c>
      <c r="B1516" s="11">
        <v>1291.0</v>
      </c>
      <c r="C1516" s="12">
        <v>0.4953</v>
      </c>
      <c r="D1516" s="2">
        <v>0.001736111111111111</v>
      </c>
      <c r="E1516" s="12">
        <v>1.15</v>
      </c>
      <c r="F1516" s="12">
        <v>3.87</v>
      </c>
      <c r="G1516" s="11">
        <v>5749.0</v>
      </c>
      <c r="H1516" s="11">
        <v>1486.0</v>
      </c>
    </row>
    <row r="1517">
      <c r="A1517" s="10">
        <v>43885.0</v>
      </c>
      <c r="B1517" s="11">
        <v>1972.0</v>
      </c>
      <c r="C1517" s="12">
        <v>0.4577</v>
      </c>
      <c r="D1517" s="2">
        <v>0.002685185185185185</v>
      </c>
      <c r="E1517" s="12">
        <v>1.17</v>
      </c>
      <c r="F1517" s="12">
        <v>4.98</v>
      </c>
      <c r="G1517" s="11">
        <v>11483.0</v>
      </c>
      <c r="H1517" s="11">
        <v>2305.0</v>
      </c>
    </row>
    <row r="1518">
      <c r="A1518" s="10">
        <v>43886.0</v>
      </c>
      <c r="B1518" s="11">
        <v>2083.0</v>
      </c>
      <c r="C1518" s="12">
        <v>0.5029</v>
      </c>
      <c r="D1518" s="2">
        <v>0.0027314814814814814</v>
      </c>
      <c r="E1518" s="12">
        <v>1.17</v>
      </c>
      <c r="F1518" s="12">
        <v>4.23</v>
      </c>
      <c r="G1518" s="11">
        <v>10275.0</v>
      </c>
      <c r="H1518" s="11">
        <v>2430.0</v>
      </c>
    </row>
    <row r="1519">
      <c r="A1519" s="10">
        <v>43887.0</v>
      </c>
      <c r="B1519" s="11">
        <v>2124.0</v>
      </c>
      <c r="C1519" s="12">
        <v>0.4489</v>
      </c>
      <c r="D1519" s="2">
        <v>0.001990740740740741</v>
      </c>
      <c r="E1519" s="12">
        <v>1.09</v>
      </c>
      <c r="F1519" s="12">
        <v>4.31</v>
      </c>
      <c r="G1519" s="11">
        <v>9997.0</v>
      </c>
      <c r="H1519" s="11">
        <v>2319.0</v>
      </c>
    </row>
    <row r="1520">
      <c r="A1520" s="10">
        <v>43888.0</v>
      </c>
      <c r="B1520" s="11">
        <v>2138.0</v>
      </c>
      <c r="C1520" s="12">
        <v>0.4768</v>
      </c>
      <c r="D1520" s="2">
        <v>0.002025462962962963</v>
      </c>
      <c r="E1520" s="12">
        <v>1.13</v>
      </c>
      <c r="F1520" s="12">
        <v>4.33</v>
      </c>
      <c r="G1520" s="11">
        <v>10456.0</v>
      </c>
      <c r="H1520" s="11">
        <v>2416.0</v>
      </c>
    </row>
    <row r="1521">
      <c r="A1521" s="10">
        <v>43889.0</v>
      </c>
      <c r="B1521" s="11">
        <v>1833.0</v>
      </c>
      <c r="C1521" s="12">
        <v>0.5334</v>
      </c>
      <c r="D1521" s="2">
        <v>0.0015162037037037036</v>
      </c>
      <c r="E1521" s="12">
        <v>1.14</v>
      </c>
      <c r="F1521" s="12">
        <v>3.66</v>
      </c>
      <c r="G1521" s="11">
        <v>7623.0</v>
      </c>
      <c r="H1521" s="11">
        <v>2083.0</v>
      </c>
    </row>
    <row r="1522">
      <c r="A1522" s="10">
        <v>43890.0</v>
      </c>
      <c r="B1522" s="11">
        <v>1389.0</v>
      </c>
      <c r="C1522" s="12">
        <v>0.5617</v>
      </c>
      <c r="D1522" s="2">
        <v>0.001875</v>
      </c>
      <c r="E1522" s="12">
        <v>1.05</v>
      </c>
      <c r="F1522" s="12">
        <v>4.2</v>
      </c>
      <c r="G1522" s="11">
        <v>6123.0</v>
      </c>
      <c r="H1522" s="11">
        <v>1458.0</v>
      </c>
    </row>
    <row r="1523">
      <c r="A1523" s="10">
        <v>43891.0</v>
      </c>
      <c r="B1523" s="11">
        <v>1458.0</v>
      </c>
      <c r="C1523" s="12">
        <v>0.4491</v>
      </c>
      <c r="D1523" s="2">
        <v>0.0016319444444444445</v>
      </c>
      <c r="E1523" s="12">
        <v>1.04</v>
      </c>
      <c r="F1523" s="12">
        <v>3.4</v>
      </c>
      <c r="G1523" s="11">
        <v>5151.0</v>
      </c>
      <c r="H1523" s="11">
        <v>1514.0</v>
      </c>
    </row>
    <row r="1524">
      <c r="A1524" s="10">
        <v>43892.0</v>
      </c>
      <c r="B1524" s="11">
        <v>2166.0</v>
      </c>
      <c r="C1524" s="12">
        <v>0.5058</v>
      </c>
      <c r="D1524" s="2">
        <v>0.0018981481481481482</v>
      </c>
      <c r="E1524" s="12">
        <v>1.12</v>
      </c>
      <c r="F1524" s="12">
        <v>5.0</v>
      </c>
      <c r="G1524" s="11">
        <v>12080.0</v>
      </c>
      <c r="H1524" s="11">
        <v>2416.0</v>
      </c>
    </row>
    <row r="1525">
      <c r="A1525" s="10">
        <v>43893.0</v>
      </c>
      <c r="B1525" s="11">
        <v>2236.0</v>
      </c>
      <c r="C1525" s="12">
        <v>0.5272</v>
      </c>
      <c r="D1525" s="2">
        <v>0.001863425925925926</v>
      </c>
      <c r="E1525" s="12">
        <v>1.14</v>
      </c>
      <c r="F1525" s="12">
        <v>3.63</v>
      </c>
      <c r="G1525" s="11">
        <v>9262.0</v>
      </c>
      <c r="H1525" s="11">
        <v>2555.0</v>
      </c>
    </row>
    <row r="1526">
      <c r="A1526" s="10">
        <v>43894.0</v>
      </c>
      <c r="B1526" s="11">
        <v>2347.0</v>
      </c>
      <c r="C1526" s="12">
        <v>0.4971</v>
      </c>
      <c r="D1526" s="2">
        <v>0.0014351851851851852</v>
      </c>
      <c r="E1526" s="12">
        <v>1.11</v>
      </c>
      <c r="F1526" s="12">
        <v>3.41</v>
      </c>
      <c r="G1526" s="11">
        <v>8859.0</v>
      </c>
      <c r="H1526" s="11">
        <v>2597.0</v>
      </c>
    </row>
    <row r="1527">
      <c r="A1527" s="10">
        <v>43895.0</v>
      </c>
      <c r="B1527" s="11">
        <v>2097.0</v>
      </c>
      <c r="C1527" s="12">
        <v>0.4968</v>
      </c>
      <c r="D1527" s="2">
        <v>0.0022453703703703702</v>
      </c>
      <c r="E1527" s="12">
        <v>1.11</v>
      </c>
      <c r="F1527" s="12">
        <v>4.57</v>
      </c>
      <c r="G1527" s="11">
        <v>10595.0</v>
      </c>
      <c r="H1527" s="11">
        <v>2319.0</v>
      </c>
    </row>
    <row r="1528">
      <c r="A1528" s="10">
        <v>43896.0</v>
      </c>
      <c r="B1528" s="11">
        <v>1958.0</v>
      </c>
      <c r="C1528" s="12">
        <v>0.5197</v>
      </c>
      <c r="D1528" s="2">
        <v>0.0021875</v>
      </c>
      <c r="E1528" s="12">
        <v>1.08</v>
      </c>
      <c r="F1528" s="12">
        <v>4.39</v>
      </c>
      <c r="G1528" s="11">
        <v>9275.0</v>
      </c>
      <c r="H1528" s="11">
        <v>2111.0</v>
      </c>
    </row>
    <row r="1529">
      <c r="A1529" s="10">
        <v>43897.0</v>
      </c>
      <c r="B1529" s="11">
        <v>1222.0</v>
      </c>
      <c r="C1529" s="12">
        <v>0.4755</v>
      </c>
      <c r="D1529" s="2">
        <v>0.0021759259259259258</v>
      </c>
      <c r="E1529" s="12">
        <v>1.17</v>
      </c>
      <c r="F1529" s="12">
        <v>3.85</v>
      </c>
      <c r="G1529" s="11">
        <v>5499.0</v>
      </c>
      <c r="H1529" s="11">
        <v>1430.0</v>
      </c>
    </row>
    <row r="1530">
      <c r="A1530" s="10">
        <v>43898.0</v>
      </c>
      <c r="B1530" s="11">
        <v>1194.0</v>
      </c>
      <c r="C1530" s="12">
        <v>0.4795</v>
      </c>
      <c r="D1530" s="2">
        <v>0.0014583333333333334</v>
      </c>
      <c r="E1530" s="12">
        <v>1.16</v>
      </c>
      <c r="F1530" s="12">
        <v>3.48</v>
      </c>
      <c r="G1530" s="11">
        <v>4832.0</v>
      </c>
      <c r="H1530" s="11">
        <v>1389.0</v>
      </c>
    </row>
    <row r="1531">
      <c r="A1531" s="10">
        <v>43899.0</v>
      </c>
      <c r="B1531" s="11">
        <v>2027.0</v>
      </c>
      <c r="C1531" s="12">
        <v>0.4811</v>
      </c>
      <c r="D1531" s="2">
        <v>0.0018287037037037037</v>
      </c>
      <c r="E1531" s="12">
        <v>1.1</v>
      </c>
      <c r="F1531" s="12">
        <v>5.06</v>
      </c>
      <c r="G1531" s="11">
        <v>11247.0</v>
      </c>
      <c r="H1531" s="11">
        <v>2222.0</v>
      </c>
    </row>
    <row r="1532">
      <c r="A1532" s="10">
        <v>43900.0</v>
      </c>
      <c r="B1532" s="11">
        <v>2180.0</v>
      </c>
      <c r="C1532" s="12">
        <v>0.4509</v>
      </c>
      <c r="D1532" s="2">
        <v>0.0015625</v>
      </c>
      <c r="E1532" s="12">
        <v>1.17</v>
      </c>
      <c r="F1532" s="12">
        <v>3.25</v>
      </c>
      <c r="G1532" s="11">
        <v>8303.0</v>
      </c>
      <c r="H1532" s="11">
        <v>2555.0</v>
      </c>
    </row>
    <row r="1533">
      <c r="A1533" s="10">
        <v>43901.0</v>
      </c>
      <c r="B1533" s="11">
        <v>2027.0</v>
      </c>
      <c r="C1533" s="12">
        <v>0.4233</v>
      </c>
      <c r="D1533" s="2">
        <v>0.002013888888888889</v>
      </c>
      <c r="E1533" s="12">
        <v>1.12</v>
      </c>
      <c r="F1533" s="12">
        <v>4.44</v>
      </c>
      <c r="G1533" s="11">
        <v>10053.0</v>
      </c>
      <c r="H1533" s="11">
        <v>2263.0</v>
      </c>
    </row>
    <row r="1534">
      <c r="A1534" s="10">
        <v>43902.0</v>
      </c>
      <c r="B1534" s="11">
        <v>1736.0</v>
      </c>
      <c r="C1534" s="12">
        <v>0.5</v>
      </c>
      <c r="D1534" s="2">
        <v>0.002037037037037037</v>
      </c>
      <c r="E1534" s="12">
        <v>1.12</v>
      </c>
      <c r="F1534" s="12">
        <v>4.0</v>
      </c>
      <c r="G1534" s="11">
        <v>7776.0</v>
      </c>
      <c r="H1534" s="11">
        <v>1944.0</v>
      </c>
    </row>
    <row r="1535">
      <c r="A1535" s="10">
        <v>43903.0</v>
      </c>
      <c r="B1535" s="11">
        <v>1402.0</v>
      </c>
      <c r="C1535" s="12">
        <v>0.5315</v>
      </c>
      <c r="D1535" s="2">
        <v>0.001261574074074074</v>
      </c>
      <c r="E1535" s="12">
        <v>1.1</v>
      </c>
      <c r="F1535" s="12">
        <v>3.05</v>
      </c>
      <c r="G1535" s="11">
        <v>4693.0</v>
      </c>
      <c r="H1535" s="11">
        <v>1541.0</v>
      </c>
    </row>
    <row r="1536">
      <c r="A1536" s="10">
        <v>43904.0</v>
      </c>
      <c r="B1536" s="11">
        <v>1055.0</v>
      </c>
      <c r="C1536" s="12">
        <v>0.4883</v>
      </c>
      <c r="D1536" s="2">
        <v>0.001712962962962963</v>
      </c>
      <c r="E1536" s="12">
        <v>1.13</v>
      </c>
      <c r="F1536" s="12">
        <v>3.59</v>
      </c>
      <c r="G1536" s="11">
        <v>4291.0</v>
      </c>
      <c r="H1536" s="11">
        <v>1194.0</v>
      </c>
    </row>
    <row r="1537">
      <c r="A1537" s="10">
        <v>43905.0</v>
      </c>
      <c r="B1537" s="11">
        <v>1139.0</v>
      </c>
      <c r="C1537" s="12">
        <v>0.5823</v>
      </c>
      <c r="D1537" s="2">
        <v>0.0021412037037037038</v>
      </c>
      <c r="E1537" s="12">
        <v>1.11</v>
      </c>
      <c r="F1537" s="12">
        <v>3.87</v>
      </c>
      <c r="G1537" s="11">
        <v>4888.0</v>
      </c>
      <c r="H1537" s="11">
        <v>1264.0</v>
      </c>
    </row>
    <row r="1538">
      <c r="A1538" s="10">
        <v>43906.0</v>
      </c>
      <c r="B1538" s="11">
        <v>1430.0</v>
      </c>
      <c r="C1538" s="12">
        <v>0.4913</v>
      </c>
      <c r="D1538" s="2">
        <v>0.002824074074074074</v>
      </c>
      <c r="E1538" s="12">
        <v>1.09</v>
      </c>
      <c r="F1538" s="12">
        <v>4.06</v>
      </c>
      <c r="G1538" s="11">
        <v>6318.0</v>
      </c>
      <c r="H1538" s="11">
        <v>1555.0</v>
      </c>
    </row>
    <row r="1539">
      <c r="A1539" s="10">
        <v>43907.0</v>
      </c>
      <c r="B1539" s="11">
        <v>1402.0</v>
      </c>
      <c r="C1539" s="12">
        <v>0.4776</v>
      </c>
      <c r="D1539" s="2">
        <v>0.0029745370370370373</v>
      </c>
      <c r="E1539" s="12">
        <v>1.1</v>
      </c>
      <c r="F1539" s="12">
        <v>4.34</v>
      </c>
      <c r="G1539" s="11">
        <v>6693.0</v>
      </c>
      <c r="H1539" s="11">
        <v>1541.0</v>
      </c>
    </row>
    <row r="1540">
      <c r="A1540" s="10">
        <v>43908.0</v>
      </c>
      <c r="B1540" s="11">
        <v>1500.0</v>
      </c>
      <c r="C1540" s="12">
        <v>0.5723</v>
      </c>
      <c r="D1540" s="2">
        <v>0.0016666666666666668</v>
      </c>
      <c r="E1540" s="12">
        <v>1.08</v>
      </c>
      <c r="F1540" s="12">
        <v>2.98</v>
      </c>
      <c r="G1540" s="11">
        <v>4846.0</v>
      </c>
      <c r="H1540" s="11">
        <v>1625.0</v>
      </c>
    </row>
    <row r="1541">
      <c r="A1541" s="10">
        <v>43909.0</v>
      </c>
      <c r="B1541" s="11">
        <v>1222.0</v>
      </c>
      <c r="C1541" s="12">
        <v>0.4612</v>
      </c>
      <c r="D1541" s="2">
        <v>0.002685185185185185</v>
      </c>
      <c r="E1541" s="12">
        <v>1.16</v>
      </c>
      <c r="F1541" s="12">
        <v>5.14</v>
      </c>
      <c r="G1541" s="11">
        <v>7276.0</v>
      </c>
      <c r="H1541" s="11">
        <v>1416.0</v>
      </c>
    </row>
    <row r="1542">
      <c r="A1542" s="10">
        <v>43910.0</v>
      </c>
      <c r="B1542" s="11">
        <v>1194.0</v>
      </c>
      <c r="C1542" s="12">
        <v>0.5099</v>
      </c>
      <c r="D1542" s="2">
        <v>0.0033564814814814816</v>
      </c>
      <c r="E1542" s="12">
        <v>1.19</v>
      </c>
      <c r="F1542" s="12">
        <v>4.09</v>
      </c>
      <c r="G1542" s="11">
        <v>5790.0</v>
      </c>
      <c r="H1542" s="11">
        <v>1416.0</v>
      </c>
    </row>
    <row r="1543">
      <c r="A1543" s="10">
        <v>43911.0</v>
      </c>
      <c r="B1543" s="11">
        <v>1041.0</v>
      </c>
      <c r="C1543" s="12">
        <v>0.5952</v>
      </c>
      <c r="D1543" s="2">
        <v>0.0015046296296296296</v>
      </c>
      <c r="E1543" s="12">
        <v>1.12</v>
      </c>
      <c r="F1543" s="12">
        <v>3.44</v>
      </c>
      <c r="G1543" s="11">
        <v>4013.0</v>
      </c>
      <c r="H1543" s="11">
        <v>1166.0</v>
      </c>
    </row>
    <row r="1544">
      <c r="A1544" s="10">
        <v>43912.0</v>
      </c>
      <c r="B1544" s="11">
        <v>986.0</v>
      </c>
      <c r="C1544" s="12">
        <v>0.4569</v>
      </c>
      <c r="D1544" s="2">
        <v>0.0029861111111111113</v>
      </c>
      <c r="E1544" s="12">
        <v>1.14</v>
      </c>
      <c r="F1544" s="12">
        <v>4.04</v>
      </c>
      <c r="G1544" s="11">
        <v>4541.0</v>
      </c>
      <c r="H1544" s="11">
        <v>1125.0</v>
      </c>
    </row>
    <row r="1545">
      <c r="A1545" s="10">
        <v>43913.0</v>
      </c>
      <c r="B1545" s="11">
        <v>1319.0</v>
      </c>
      <c r="C1545" s="12">
        <v>0.4201</v>
      </c>
      <c r="D1545" s="2">
        <v>0.002037037037037037</v>
      </c>
      <c r="E1545" s="12">
        <v>1.25</v>
      </c>
      <c r="F1545" s="12">
        <v>3.88</v>
      </c>
      <c r="G1545" s="11">
        <v>6415.0</v>
      </c>
      <c r="H1545" s="11">
        <v>1652.0</v>
      </c>
    </row>
    <row r="1546">
      <c r="A1546" s="10">
        <v>43914.0</v>
      </c>
      <c r="B1546" s="11">
        <v>1514.0</v>
      </c>
      <c r="C1546" s="12">
        <v>0.4915</v>
      </c>
      <c r="D1546" s="2">
        <v>9.25925925925926E-4</v>
      </c>
      <c r="E1546" s="12">
        <v>1.05</v>
      </c>
      <c r="F1546" s="12">
        <v>3.13</v>
      </c>
      <c r="G1546" s="11">
        <v>4957.0</v>
      </c>
      <c r="H1546" s="11">
        <v>1583.0</v>
      </c>
    </row>
    <row r="1547">
      <c r="A1547" s="10">
        <v>43915.0</v>
      </c>
      <c r="B1547" s="11">
        <v>1597.0</v>
      </c>
      <c r="C1547" s="12">
        <v>0.4922</v>
      </c>
      <c r="D1547" s="2">
        <v>0.0021527777777777778</v>
      </c>
      <c r="E1547" s="12">
        <v>1.17</v>
      </c>
      <c r="F1547" s="12">
        <v>4.16</v>
      </c>
      <c r="G1547" s="11">
        <v>7734.0</v>
      </c>
      <c r="H1547" s="11">
        <v>1861.0</v>
      </c>
    </row>
    <row r="1548">
      <c r="A1548" s="10">
        <v>43916.0</v>
      </c>
      <c r="B1548" s="11">
        <v>1527.0</v>
      </c>
      <c r="C1548" s="12">
        <v>0.4875</v>
      </c>
      <c r="D1548" s="2">
        <v>0.0015046296296296296</v>
      </c>
      <c r="E1548" s="12">
        <v>1.1</v>
      </c>
      <c r="F1548" s="12">
        <v>3.44</v>
      </c>
      <c r="G1548" s="11">
        <v>5776.0</v>
      </c>
      <c r="H1548" s="11">
        <v>1680.0</v>
      </c>
    </row>
    <row r="1549">
      <c r="A1549" s="10">
        <v>43917.0</v>
      </c>
      <c r="B1549" s="11">
        <v>1486.0</v>
      </c>
      <c r="C1549" s="12">
        <v>0.5041</v>
      </c>
      <c r="D1549" s="2">
        <v>0.0017824074074074075</v>
      </c>
      <c r="E1549" s="12">
        <v>1.15</v>
      </c>
      <c r="F1549" s="12">
        <v>4.08</v>
      </c>
      <c r="G1549" s="11">
        <v>6970.0</v>
      </c>
      <c r="H1549" s="11">
        <v>1708.0</v>
      </c>
    </row>
    <row r="1550">
      <c r="A1550" s="10">
        <v>43918.0</v>
      </c>
      <c r="B1550" s="11">
        <v>1028.0</v>
      </c>
      <c r="C1550" s="12">
        <v>0.4951</v>
      </c>
      <c r="D1550" s="2">
        <v>0.002395833333333333</v>
      </c>
      <c r="E1550" s="12">
        <v>1.28</v>
      </c>
      <c r="F1550" s="12">
        <v>3.42</v>
      </c>
      <c r="G1550" s="11">
        <v>4513.0</v>
      </c>
      <c r="H1550" s="11">
        <v>1319.0</v>
      </c>
    </row>
    <row r="1551">
      <c r="A1551" s="10">
        <v>43919.0</v>
      </c>
      <c r="B1551" s="11">
        <v>1208.0</v>
      </c>
      <c r="C1551" s="12">
        <v>0.5533</v>
      </c>
      <c r="D1551" s="2">
        <v>0.002013888888888889</v>
      </c>
      <c r="E1551" s="12">
        <v>1.08</v>
      </c>
      <c r="F1551" s="12">
        <v>3.68</v>
      </c>
      <c r="G1551" s="11">
        <v>4804.0</v>
      </c>
      <c r="H1551" s="11">
        <v>1305.0</v>
      </c>
    </row>
    <row r="1552">
      <c r="A1552" s="10">
        <v>43920.0</v>
      </c>
      <c r="B1552" s="11">
        <v>1777.0</v>
      </c>
      <c r="C1552" s="12">
        <v>0.5179</v>
      </c>
      <c r="D1552" s="2">
        <v>0.0013773148148148147</v>
      </c>
      <c r="E1552" s="12">
        <v>1.1</v>
      </c>
      <c r="F1552" s="12">
        <v>3.48</v>
      </c>
      <c r="G1552" s="11">
        <v>6818.0</v>
      </c>
      <c r="H1552" s="11">
        <v>1958.0</v>
      </c>
    </row>
    <row r="1553">
      <c r="A1553" s="10">
        <v>43921.0</v>
      </c>
      <c r="B1553" s="11">
        <v>1680.0</v>
      </c>
      <c r="C1553" s="12">
        <v>0.5449</v>
      </c>
      <c r="D1553" s="2">
        <v>0.0013541666666666667</v>
      </c>
      <c r="E1553" s="12">
        <v>1.11</v>
      </c>
      <c r="F1553" s="12">
        <v>3.77</v>
      </c>
      <c r="G1553" s="11">
        <v>7012.0</v>
      </c>
      <c r="H1553" s="11">
        <v>1861.0</v>
      </c>
    </row>
    <row r="1554">
      <c r="A1554" s="10">
        <v>43922.0</v>
      </c>
      <c r="B1554" s="11">
        <v>1611.0</v>
      </c>
      <c r="C1554" s="12">
        <v>0.4766</v>
      </c>
      <c r="D1554" s="2">
        <v>0.0019097222222222222</v>
      </c>
      <c r="E1554" s="12">
        <v>1.1</v>
      </c>
      <c r="F1554" s="12">
        <v>4.5</v>
      </c>
      <c r="G1554" s="11">
        <v>7998.0</v>
      </c>
      <c r="H1554" s="11">
        <v>1777.0</v>
      </c>
    </row>
    <row r="1555">
      <c r="A1555" s="10">
        <v>43923.0</v>
      </c>
      <c r="B1555" s="11">
        <v>1805.0</v>
      </c>
      <c r="C1555" s="12">
        <v>0.5292</v>
      </c>
      <c r="D1555" s="2">
        <v>0.0011226851851851851</v>
      </c>
      <c r="E1555" s="12">
        <v>1.06</v>
      </c>
      <c r="F1555" s="12">
        <v>3.43</v>
      </c>
      <c r="G1555" s="11">
        <v>6568.0</v>
      </c>
      <c r="H1555" s="11">
        <v>1916.0</v>
      </c>
    </row>
    <row r="1556">
      <c r="A1556" s="10">
        <v>43924.0</v>
      </c>
      <c r="B1556" s="11">
        <v>1527.0</v>
      </c>
      <c r="C1556" s="12">
        <v>0.5375</v>
      </c>
      <c r="D1556" s="2">
        <v>0.001990740740740741</v>
      </c>
      <c r="E1556" s="12">
        <v>1.1</v>
      </c>
      <c r="F1556" s="12">
        <v>3.4</v>
      </c>
      <c r="G1556" s="11">
        <v>5707.0</v>
      </c>
      <c r="H1556" s="11">
        <v>1680.0</v>
      </c>
    </row>
    <row r="1557">
      <c r="A1557" s="10">
        <v>43925.0</v>
      </c>
      <c r="B1557" s="11">
        <v>1180.0</v>
      </c>
      <c r="C1557" s="12">
        <v>0.5353</v>
      </c>
      <c r="D1557" s="2">
        <v>0.001400462962962963</v>
      </c>
      <c r="E1557" s="12">
        <v>1.17</v>
      </c>
      <c r="F1557" s="12">
        <v>4.24</v>
      </c>
      <c r="G1557" s="11">
        <v>5832.0</v>
      </c>
      <c r="H1557" s="11">
        <v>1375.0</v>
      </c>
    </row>
    <row r="1558">
      <c r="A1558" s="10">
        <v>43926.0</v>
      </c>
      <c r="B1558" s="11">
        <v>1250.0</v>
      </c>
      <c r="C1558" s="12">
        <v>0.5297</v>
      </c>
      <c r="D1558" s="2">
        <v>0.0021875</v>
      </c>
      <c r="E1558" s="12">
        <v>1.13</v>
      </c>
      <c r="F1558" s="12">
        <v>3.95</v>
      </c>
      <c r="G1558" s="11">
        <v>5596.0</v>
      </c>
      <c r="H1558" s="11">
        <v>1416.0</v>
      </c>
    </row>
    <row r="1559">
      <c r="A1559" s="10">
        <v>43927.0</v>
      </c>
      <c r="B1559" s="11">
        <v>1777.0</v>
      </c>
      <c r="C1559" s="12">
        <v>0.51</v>
      </c>
      <c r="D1559" s="2">
        <v>0.0019675925925925924</v>
      </c>
      <c r="E1559" s="12">
        <v>1.15</v>
      </c>
      <c r="F1559" s="12">
        <v>4.51</v>
      </c>
      <c r="G1559" s="11">
        <v>9206.0</v>
      </c>
      <c r="H1559" s="11">
        <v>2041.0</v>
      </c>
    </row>
    <row r="1560">
      <c r="A1560" s="10">
        <v>43928.0</v>
      </c>
      <c r="B1560" s="11">
        <v>1736.0</v>
      </c>
      <c r="C1560" s="12">
        <v>0.4858</v>
      </c>
      <c r="D1560" s="2">
        <v>0.001585648148148148</v>
      </c>
      <c r="E1560" s="12">
        <v>1.14</v>
      </c>
      <c r="F1560" s="12">
        <v>2.99</v>
      </c>
      <c r="G1560" s="11">
        <v>5901.0</v>
      </c>
      <c r="H1560" s="11">
        <v>1972.0</v>
      </c>
    </row>
    <row r="1561">
      <c r="A1561" s="10">
        <v>43929.0</v>
      </c>
      <c r="B1561" s="11">
        <v>1819.0</v>
      </c>
      <c r="C1561" s="12">
        <v>0.5065</v>
      </c>
      <c r="D1561" s="2">
        <v>0.0021296296296296298</v>
      </c>
      <c r="E1561" s="12">
        <v>1.15</v>
      </c>
      <c r="F1561" s="12">
        <v>4.19</v>
      </c>
      <c r="G1561" s="11">
        <v>8720.0</v>
      </c>
      <c r="H1561" s="11">
        <v>2083.0</v>
      </c>
    </row>
    <row r="1562">
      <c r="A1562" s="10">
        <v>43930.0</v>
      </c>
      <c r="B1562" s="11">
        <v>1680.0</v>
      </c>
      <c r="C1562" s="12">
        <v>0.4612</v>
      </c>
      <c r="D1562" s="2">
        <v>0.0022800925925925927</v>
      </c>
      <c r="E1562" s="12">
        <v>1.18</v>
      </c>
      <c r="F1562" s="12">
        <v>3.85</v>
      </c>
      <c r="G1562" s="11">
        <v>7637.0</v>
      </c>
      <c r="H1562" s="11">
        <v>1986.0</v>
      </c>
    </row>
    <row r="1563">
      <c r="A1563" s="10">
        <v>43931.0</v>
      </c>
      <c r="B1563" s="11">
        <v>1541.0</v>
      </c>
      <c r="C1563" s="12">
        <v>0.4518</v>
      </c>
      <c r="D1563" s="2">
        <v>0.0023263888888888887</v>
      </c>
      <c r="E1563" s="12">
        <v>1.12</v>
      </c>
      <c r="F1563" s="12">
        <v>4.36</v>
      </c>
      <c r="G1563" s="11">
        <v>7512.0</v>
      </c>
      <c r="H1563" s="11">
        <v>1722.0</v>
      </c>
    </row>
    <row r="1564">
      <c r="A1564" s="10">
        <v>43932.0</v>
      </c>
      <c r="B1564" s="11">
        <v>1305.0</v>
      </c>
      <c r="C1564" s="12">
        <v>0.5388</v>
      </c>
      <c r="D1564" s="2">
        <v>0.0016550925925925926</v>
      </c>
      <c r="E1564" s="12">
        <v>1.11</v>
      </c>
      <c r="F1564" s="12">
        <v>4.41</v>
      </c>
      <c r="G1564" s="11">
        <v>6373.0</v>
      </c>
      <c r="H1564" s="11">
        <v>1444.0</v>
      </c>
    </row>
    <row r="1565">
      <c r="A1565" s="10">
        <v>43933.0</v>
      </c>
      <c r="B1565" s="11">
        <v>1305.0</v>
      </c>
      <c r="C1565" s="12">
        <v>0.5336</v>
      </c>
      <c r="D1565" s="2">
        <v>9.722222222222222E-4</v>
      </c>
      <c r="E1565" s="12">
        <v>1.12</v>
      </c>
      <c r="F1565" s="12">
        <v>3.01</v>
      </c>
      <c r="G1565" s="11">
        <v>4388.0</v>
      </c>
      <c r="H1565" s="11">
        <v>1458.0</v>
      </c>
    </row>
    <row r="1566">
      <c r="A1566" s="10">
        <v>43934.0</v>
      </c>
      <c r="B1566" s="11">
        <v>1819.0</v>
      </c>
      <c r="C1566" s="12">
        <v>0.4502</v>
      </c>
      <c r="D1566" s="2">
        <v>0.0024189814814814816</v>
      </c>
      <c r="E1566" s="12">
        <v>1.15</v>
      </c>
      <c r="F1566" s="12">
        <v>5.11</v>
      </c>
      <c r="G1566" s="11">
        <v>10720.0</v>
      </c>
      <c r="H1566" s="11">
        <v>2097.0</v>
      </c>
    </row>
    <row r="1567">
      <c r="A1567" s="10">
        <v>43935.0</v>
      </c>
      <c r="B1567" s="11">
        <v>1847.0</v>
      </c>
      <c r="C1567" s="12">
        <v>0.5033</v>
      </c>
      <c r="D1567" s="2">
        <v>0.0020833333333333333</v>
      </c>
      <c r="E1567" s="12">
        <v>1.15</v>
      </c>
      <c r="F1567" s="12">
        <v>4.71</v>
      </c>
      <c r="G1567" s="11">
        <v>9997.0</v>
      </c>
      <c r="H1567" s="11">
        <v>2124.0</v>
      </c>
    </row>
    <row r="1568">
      <c r="A1568" s="10">
        <v>43936.0</v>
      </c>
      <c r="B1568" s="11">
        <v>2041.0</v>
      </c>
      <c r="C1568" s="12">
        <v>0.4968</v>
      </c>
      <c r="D1568" s="2">
        <v>0.0014814814814814814</v>
      </c>
      <c r="E1568" s="12">
        <v>1.07</v>
      </c>
      <c r="F1568" s="12">
        <v>3.79</v>
      </c>
      <c r="G1568" s="11">
        <v>8262.0</v>
      </c>
      <c r="H1568" s="11">
        <v>2180.0</v>
      </c>
    </row>
    <row r="1569">
      <c r="A1569" s="10">
        <v>43937.0</v>
      </c>
      <c r="B1569" s="11">
        <v>2055.0</v>
      </c>
      <c r="C1569" s="12">
        <v>0.4444</v>
      </c>
      <c r="D1569" s="2">
        <v>0.0016203703703703703</v>
      </c>
      <c r="E1569" s="12">
        <v>1.16</v>
      </c>
      <c r="F1569" s="12">
        <v>3.61</v>
      </c>
      <c r="G1569" s="11">
        <v>8567.0</v>
      </c>
      <c r="H1569" s="11">
        <v>2374.0</v>
      </c>
    </row>
    <row r="1570">
      <c r="A1570" s="10">
        <v>43938.0</v>
      </c>
      <c r="B1570" s="11">
        <v>1944.0</v>
      </c>
      <c r="C1570" s="12">
        <v>0.5231</v>
      </c>
      <c r="D1570" s="2">
        <v>0.0014814814814814814</v>
      </c>
      <c r="E1570" s="12">
        <v>1.08</v>
      </c>
      <c r="F1570" s="12">
        <v>4.28</v>
      </c>
      <c r="G1570" s="11">
        <v>8970.0</v>
      </c>
      <c r="H1570" s="11">
        <v>2097.0</v>
      </c>
    </row>
    <row r="1571">
      <c r="A1571" s="10">
        <v>43939.0</v>
      </c>
      <c r="B1571" s="11">
        <v>1472.0</v>
      </c>
      <c r="C1571" s="12">
        <v>0.467</v>
      </c>
      <c r="D1571" s="2">
        <v>0.0018981481481481482</v>
      </c>
      <c r="E1571" s="12">
        <v>1.13</v>
      </c>
      <c r="F1571" s="12">
        <v>4.65</v>
      </c>
      <c r="G1571" s="11">
        <v>7748.0</v>
      </c>
      <c r="H1571" s="11">
        <v>1666.0</v>
      </c>
    </row>
    <row r="1572">
      <c r="A1572" s="10">
        <v>43940.0</v>
      </c>
      <c r="B1572" s="11">
        <v>1541.0</v>
      </c>
      <c r="C1572" s="12">
        <v>0.4631</v>
      </c>
      <c r="D1572" s="2">
        <v>0.001875</v>
      </c>
      <c r="E1572" s="12">
        <v>1.11</v>
      </c>
      <c r="F1572" s="12">
        <v>3.55</v>
      </c>
      <c r="G1572" s="11">
        <v>6068.0</v>
      </c>
      <c r="H1572" s="11">
        <v>1708.0</v>
      </c>
    </row>
    <row r="1573">
      <c r="A1573" s="10">
        <v>43941.0</v>
      </c>
      <c r="B1573" s="11">
        <v>1972.0</v>
      </c>
      <c r="C1573" s="12">
        <v>0.4941</v>
      </c>
      <c r="D1573" s="2">
        <v>0.0023148148148148147</v>
      </c>
      <c r="E1573" s="12">
        <v>1.15</v>
      </c>
      <c r="F1573" s="12">
        <v>3.98</v>
      </c>
      <c r="G1573" s="11">
        <v>9053.0</v>
      </c>
      <c r="H1573" s="11">
        <v>2277.0</v>
      </c>
    </row>
    <row r="1574">
      <c r="A1574" s="10">
        <v>43942.0</v>
      </c>
      <c r="B1574" s="11">
        <v>2180.0</v>
      </c>
      <c r="C1574" s="12">
        <v>0.5358</v>
      </c>
      <c r="D1574" s="2">
        <v>0.0016550925925925926</v>
      </c>
      <c r="E1574" s="12">
        <v>1.07</v>
      </c>
      <c r="F1574" s="12">
        <v>3.29</v>
      </c>
      <c r="G1574" s="11">
        <v>7679.0</v>
      </c>
      <c r="H1574" s="11">
        <v>2333.0</v>
      </c>
    </row>
    <row r="1575">
      <c r="A1575" s="10">
        <v>43943.0</v>
      </c>
      <c r="B1575" s="11">
        <v>2069.0</v>
      </c>
      <c r="C1575" s="12">
        <v>0.473</v>
      </c>
      <c r="D1575" s="2">
        <v>0.0021527777777777778</v>
      </c>
      <c r="E1575" s="12">
        <v>1.12</v>
      </c>
      <c r="F1575" s="12">
        <v>4.39</v>
      </c>
      <c r="G1575" s="11">
        <v>10178.0</v>
      </c>
      <c r="H1575" s="11">
        <v>2319.0</v>
      </c>
    </row>
    <row r="1576">
      <c r="A1576" s="10">
        <v>43944.0</v>
      </c>
      <c r="B1576" s="11">
        <v>1958.0</v>
      </c>
      <c r="C1576" s="12">
        <v>0.5327</v>
      </c>
      <c r="D1576" s="2">
        <v>0.0011805555555555556</v>
      </c>
      <c r="E1576" s="12">
        <v>1.09</v>
      </c>
      <c r="F1576" s="12">
        <v>3.07</v>
      </c>
      <c r="G1576" s="11">
        <v>6554.0</v>
      </c>
      <c r="H1576" s="11">
        <v>2138.0</v>
      </c>
    </row>
    <row r="1577">
      <c r="A1577" s="10">
        <v>43945.0</v>
      </c>
      <c r="B1577" s="11">
        <v>1875.0</v>
      </c>
      <c r="C1577" s="12">
        <v>0.4928</v>
      </c>
      <c r="D1577" s="2">
        <v>0.0020833333333333333</v>
      </c>
      <c r="E1577" s="12">
        <v>1.04</v>
      </c>
      <c r="F1577" s="12">
        <v>3.86</v>
      </c>
      <c r="G1577" s="11">
        <v>7512.0</v>
      </c>
      <c r="H1577" s="11">
        <v>1944.0</v>
      </c>
    </row>
    <row r="1578">
      <c r="A1578" s="10">
        <v>43946.0</v>
      </c>
      <c r="B1578" s="11">
        <v>1458.0</v>
      </c>
      <c r="C1578" s="12">
        <v>0.624</v>
      </c>
      <c r="D1578" s="2">
        <v>0.0015162037037037036</v>
      </c>
      <c r="E1578" s="12">
        <v>1.11</v>
      </c>
      <c r="F1578" s="12">
        <v>3.49</v>
      </c>
      <c r="G1578" s="11">
        <v>5665.0</v>
      </c>
      <c r="H1578" s="11">
        <v>1625.0</v>
      </c>
    </row>
    <row r="1579">
      <c r="A1579" s="10">
        <v>43947.0</v>
      </c>
      <c r="B1579" s="11">
        <v>1694.0</v>
      </c>
      <c r="C1579" s="12">
        <v>0.5193</v>
      </c>
      <c r="D1579" s="2">
        <v>0.0013541666666666667</v>
      </c>
      <c r="E1579" s="12">
        <v>1.06</v>
      </c>
      <c r="F1579" s="12">
        <v>3.16</v>
      </c>
      <c r="G1579" s="11">
        <v>5665.0</v>
      </c>
      <c r="H1579" s="11">
        <v>1791.0</v>
      </c>
    </row>
    <row r="1580">
      <c r="A1580" s="10">
        <v>43948.0</v>
      </c>
      <c r="B1580" s="11">
        <v>2305.0</v>
      </c>
      <c r="C1580" s="12">
        <v>0.5487</v>
      </c>
      <c r="D1580" s="2">
        <v>0.0014583333333333334</v>
      </c>
      <c r="E1580" s="12">
        <v>1.11</v>
      </c>
      <c r="F1580" s="12">
        <v>3.42</v>
      </c>
      <c r="G1580" s="11">
        <v>8748.0</v>
      </c>
      <c r="H1580" s="11">
        <v>2555.0</v>
      </c>
    </row>
    <row r="1581">
      <c r="A1581" s="10">
        <v>43949.0</v>
      </c>
      <c r="B1581" s="11">
        <v>2097.0</v>
      </c>
      <c r="C1581" s="12">
        <v>0.4971</v>
      </c>
      <c r="D1581" s="2">
        <v>0.0017708333333333332</v>
      </c>
      <c r="E1581" s="12">
        <v>1.15</v>
      </c>
      <c r="F1581" s="12">
        <v>3.47</v>
      </c>
      <c r="G1581" s="11">
        <v>8331.0</v>
      </c>
      <c r="H1581" s="11">
        <v>2402.0</v>
      </c>
    </row>
    <row r="1582">
      <c r="A1582" s="10">
        <v>43950.0</v>
      </c>
      <c r="B1582" s="11">
        <v>1888.0</v>
      </c>
      <c r="C1582" s="12">
        <v>0.4935</v>
      </c>
      <c r="D1582" s="2">
        <v>0.001736111111111111</v>
      </c>
      <c r="E1582" s="12">
        <v>1.13</v>
      </c>
      <c r="F1582" s="12">
        <v>4.4</v>
      </c>
      <c r="G1582" s="11">
        <v>9400.0</v>
      </c>
      <c r="H1582" s="11">
        <v>2138.0</v>
      </c>
    </row>
    <row r="1583">
      <c r="A1583" s="10">
        <v>43951.0</v>
      </c>
      <c r="B1583" s="11">
        <v>1972.0</v>
      </c>
      <c r="C1583" s="12">
        <v>0.5161</v>
      </c>
      <c r="D1583" s="2">
        <v>0.002199074074074074</v>
      </c>
      <c r="E1583" s="12">
        <v>1.11</v>
      </c>
      <c r="F1583" s="12">
        <v>4.52</v>
      </c>
      <c r="G1583" s="11">
        <v>9859.0</v>
      </c>
      <c r="H1583" s="11">
        <v>2180.0</v>
      </c>
    </row>
    <row r="1584">
      <c r="A1584" s="10">
        <v>43952.0</v>
      </c>
      <c r="B1584" s="11">
        <v>1805.0</v>
      </c>
      <c r="C1584" s="12">
        <v>0.4224</v>
      </c>
      <c r="D1584" s="2">
        <v>0.0021875</v>
      </c>
      <c r="E1584" s="12">
        <v>1.09</v>
      </c>
      <c r="F1584" s="12">
        <v>5.19</v>
      </c>
      <c r="G1584" s="11">
        <v>10234.0</v>
      </c>
      <c r="H1584" s="11">
        <v>1972.0</v>
      </c>
    </row>
    <row r="1585">
      <c r="A1585" s="10">
        <v>43953.0</v>
      </c>
      <c r="B1585" s="11">
        <v>1444.0</v>
      </c>
      <c r="C1585" s="12">
        <v>0.5309</v>
      </c>
      <c r="D1585" s="2">
        <v>0.0010648148148148149</v>
      </c>
      <c r="E1585" s="12">
        <v>1.09</v>
      </c>
      <c r="F1585" s="12">
        <v>3.19</v>
      </c>
      <c r="G1585" s="11">
        <v>4999.0</v>
      </c>
      <c r="H1585" s="11">
        <v>1569.0</v>
      </c>
    </row>
    <row r="1586">
      <c r="A1586" s="10">
        <v>43954.0</v>
      </c>
      <c r="B1586" s="11">
        <v>1597.0</v>
      </c>
      <c r="C1586" s="12">
        <v>0.678</v>
      </c>
      <c r="D1586" s="2">
        <v>0.0012731481481481483</v>
      </c>
      <c r="E1586" s="12">
        <v>1.05</v>
      </c>
      <c r="F1586" s="12">
        <v>2.26</v>
      </c>
      <c r="G1586" s="11">
        <v>3805.0</v>
      </c>
      <c r="H1586" s="11">
        <v>1680.0</v>
      </c>
    </row>
    <row r="1587">
      <c r="A1587" s="10">
        <v>43955.0</v>
      </c>
      <c r="B1587" s="11">
        <v>2055.0</v>
      </c>
      <c r="C1587" s="12">
        <v>0.4818</v>
      </c>
      <c r="D1587" s="2">
        <v>0.0015277777777777779</v>
      </c>
      <c r="E1587" s="12">
        <v>1.11</v>
      </c>
      <c r="F1587" s="12">
        <v>3.48</v>
      </c>
      <c r="G1587" s="11">
        <v>7929.0</v>
      </c>
      <c r="H1587" s="11">
        <v>2277.0</v>
      </c>
    </row>
    <row r="1588">
      <c r="A1588" s="10">
        <v>43956.0</v>
      </c>
      <c r="B1588" s="11">
        <v>1958.0</v>
      </c>
      <c r="C1588" s="12">
        <v>0.4998</v>
      </c>
      <c r="D1588" s="2">
        <v>0.0022453703703703702</v>
      </c>
      <c r="E1588" s="12">
        <v>1.19</v>
      </c>
      <c r="F1588" s="12">
        <v>3.9</v>
      </c>
      <c r="G1588" s="11">
        <v>9109.0</v>
      </c>
      <c r="H1588" s="11">
        <v>2333.0</v>
      </c>
    </row>
    <row r="1589">
      <c r="A1589" s="10">
        <v>43957.0</v>
      </c>
      <c r="B1589" s="11">
        <v>2041.0</v>
      </c>
      <c r="C1589" s="12">
        <v>0.4115</v>
      </c>
      <c r="D1589" s="2">
        <v>0.0020717592592592593</v>
      </c>
      <c r="E1589" s="12">
        <v>1.19</v>
      </c>
      <c r="F1589" s="12">
        <v>4.26</v>
      </c>
      <c r="G1589" s="11">
        <v>10358.0</v>
      </c>
      <c r="H1589" s="11">
        <v>2430.0</v>
      </c>
    </row>
    <row r="1590">
      <c r="A1590" s="10">
        <v>43958.0</v>
      </c>
      <c r="B1590" s="11">
        <v>1916.0</v>
      </c>
      <c r="C1590" s="12">
        <v>0.562</v>
      </c>
      <c r="D1590" s="2">
        <v>0.0011689814814814816</v>
      </c>
      <c r="E1590" s="12">
        <v>1.17</v>
      </c>
      <c r="F1590" s="12">
        <v>3.22</v>
      </c>
      <c r="G1590" s="11">
        <v>7234.0</v>
      </c>
      <c r="H1590" s="11">
        <v>2249.0</v>
      </c>
    </row>
    <row r="1591">
      <c r="A1591" s="10">
        <v>43959.0</v>
      </c>
      <c r="B1591" s="11">
        <v>1958.0</v>
      </c>
      <c r="C1591" s="12">
        <v>0.4207</v>
      </c>
      <c r="D1591" s="2">
        <v>0.0024074074074074076</v>
      </c>
      <c r="E1591" s="12">
        <v>1.16</v>
      </c>
      <c r="F1591" s="12">
        <v>4.77</v>
      </c>
      <c r="G1591" s="11">
        <v>10872.0</v>
      </c>
      <c r="H1591" s="11">
        <v>2277.0</v>
      </c>
    </row>
    <row r="1592">
      <c r="A1592" s="10">
        <v>43960.0</v>
      </c>
      <c r="B1592" s="11">
        <v>1638.0</v>
      </c>
      <c r="C1592" s="12">
        <v>0.5234</v>
      </c>
      <c r="D1592" s="2">
        <v>0.0019212962962962964</v>
      </c>
      <c r="E1592" s="12">
        <v>1.08</v>
      </c>
      <c r="F1592" s="12">
        <v>3.26</v>
      </c>
      <c r="G1592" s="11">
        <v>5790.0</v>
      </c>
      <c r="H1592" s="11">
        <v>1777.0</v>
      </c>
    </row>
    <row r="1593">
      <c r="A1593" s="10">
        <v>43961.0</v>
      </c>
      <c r="B1593" s="11">
        <v>1555.0</v>
      </c>
      <c r="C1593" s="12">
        <v>0.5669</v>
      </c>
      <c r="D1593" s="2">
        <v>0.002685185185185185</v>
      </c>
      <c r="E1593" s="12">
        <v>1.2</v>
      </c>
      <c r="F1593" s="12">
        <v>6.14</v>
      </c>
      <c r="G1593" s="11">
        <v>11428.0</v>
      </c>
      <c r="H1593" s="11">
        <v>1861.0</v>
      </c>
    </row>
    <row r="1594">
      <c r="A1594" s="10">
        <v>43962.0</v>
      </c>
      <c r="B1594" s="11">
        <v>2111.0</v>
      </c>
      <c r="C1594" s="12">
        <v>0.4189</v>
      </c>
      <c r="D1594" s="2">
        <v>0.0022800925925925927</v>
      </c>
      <c r="E1594" s="12">
        <v>1.18</v>
      </c>
      <c r="F1594" s="12">
        <v>5.33</v>
      </c>
      <c r="G1594" s="11">
        <v>13247.0</v>
      </c>
      <c r="H1594" s="11">
        <v>2485.0</v>
      </c>
    </row>
    <row r="1595">
      <c r="A1595" s="10">
        <v>43963.0</v>
      </c>
      <c r="B1595" s="11">
        <v>2263.0</v>
      </c>
      <c r="C1595" s="12">
        <v>0.4893</v>
      </c>
      <c r="D1595" s="2">
        <v>0.0020833333333333333</v>
      </c>
      <c r="E1595" s="12">
        <v>1.15</v>
      </c>
      <c r="F1595" s="12">
        <v>4.06</v>
      </c>
      <c r="G1595" s="11">
        <v>10608.0</v>
      </c>
      <c r="H1595" s="11">
        <v>2610.0</v>
      </c>
    </row>
    <row r="1596">
      <c r="A1596" s="10">
        <v>43964.0</v>
      </c>
      <c r="B1596" s="11">
        <v>2236.0</v>
      </c>
      <c r="C1596" s="12">
        <v>0.4636</v>
      </c>
      <c r="D1596" s="2">
        <v>0.0021527777777777778</v>
      </c>
      <c r="E1596" s="12">
        <v>1.11</v>
      </c>
      <c r="F1596" s="12">
        <v>4.95</v>
      </c>
      <c r="G1596" s="11">
        <v>12302.0</v>
      </c>
      <c r="H1596" s="11">
        <v>2485.0</v>
      </c>
    </row>
    <row r="1597">
      <c r="A1597" s="10">
        <v>43965.0</v>
      </c>
      <c r="B1597" s="11">
        <v>2222.0</v>
      </c>
      <c r="C1597" s="12">
        <v>0.5423</v>
      </c>
      <c r="D1597" s="2">
        <v>0.0017708333333333332</v>
      </c>
      <c r="E1597" s="12">
        <v>1.11</v>
      </c>
      <c r="F1597" s="12">
        <v>4.01</v>
      </c>
      <c r="G1597" s="11">
        <v>9859.0</v>
      </c>
      <c r="H1597" s="11">
        <v>2458.0</v>
      </c>
    </row>
    <row r="1598">
      <c r="A1598" s="10">
        <v>43966.0</v>
      </c>
      <c r="B1598" s="11">
        <v>1916.0</v>
      </c>
      <c r="C1598" s="12">
        <v>0.3932</v>
      </c>
      <c r="D1598" s="2">
        <v>0.0024652777777777776</v>
      </c>
      <c r="E1598" s="12">
        <v>1.09</v>
      </c>
      <c r="F1598" s="12">
        <v>4.38</v>
      </c>
      <c r="G1598" s="11">
        <v>9123.0</v>
      </c>
      <c r="H1598" s="11">
        <v>2083.0</v>
      </c>
    </row>
    <row r="1599">
      <c r="A1599" s="10">
        <v>43967.0</v>
      </c>
      <c r="B1599" s="11">
        <v>1541.0</v>
      </c>
      <c r="C1599" s="12">
        <v>0.4309</v>
      </c>
      <c r="D1599" s="2">
        <v>0.0017824074074074075</v>
      </c>
      <c r="E1599" s="12">
        <v>1.11</v>
      </c>
      <c r="F1599" s="12">
        <v>4.77</v>
      </c>
      <c r="G1599" s="11">
        <v>8151.0</v>
      </c>
      <c r="H1599" s="11">
        <v>1708.0</v>
      </c>
    </row>
    <row r="1600">
      <c r="A1600" s="10">
        <v>43968.0</v>
      </c>
      <c r="B1600" s="11">
        <v>1638.0</v>
      </c>
      <c r="C1600" s="12">
        <v>0.5074</v>
      </c>
      <c r="D1600" s="2">
        <v>0.0019675925925925924</v>
      </c>
      <c r="E1600" s="12">
        <v>1.15</v>
      </c>
      <c r="F1600" s="12">
        <v>3.59</v>
      </c>
      <c r="G1600" s="11">
        <v>6776.0</v>
      </c>
      <c r="H1600" s="11">
        <v>1888.0</v>
      </c>
    </row>
    <row r="1601">
      <c r="A1601" s="10">
        <v>43969.0</v>
      </c>
      <c r="B1601" s="11">
        <v>2347.0</v>
      </c>
      <c r="C1601" s="12">
        <v>0.4971</v>
      </c>
      <c r="D1601" s="2">
        <v>0.0019212962962962964</v>
      </c>
      <c r="E1601" s="12">
        <v>1.09</v>
      </c>
      <c r="F1601" s="12">
        <v>4.57</v>
      </c>
      <c r="G1601" s="11">
        <v>11733.0</v>
      </c>
      <c r="H1601" s="11">
        <v>2569.0</v>
      </c>
    </row>
    <row r="1602">
      <c r="A1602" s="10">
        <v>43970.0</v>
      </c>
      <c r="B1602" s="11">
        <v>2111.0</v>
      </c>
      <c r="C1602" s="12">
        <v>0.4589</v>
      </c>
      <c r="D1602" s="2">
        <v>0.0021527777777777778</v>
      </c>
      <c r="E1602" s="12">
        <v>1.2</v>
      </c>
      <c r="F1602" s="12">
        <v>5.01</v>
      </c>
      <c r="G1602" s="11">
        <v>12733.0</v>
      </c>
      <c r="H1602" s="11">
        <v>2541.0</v>
      </c>
    </row>
    <row r="1603">
      <c r="A1603" s="10">
        <v>43971.0</v>
      </c>
      <c r="B1603" s="11">
        <v>2208.0</v>
      </c>
      <c r="C1603" s="12">
        <v>0.4306</v>
      </c>
      <c r="D1603" s="2">
        <v>0.0021296296296296298</v>
      </c>
      <c r="E1603" s="12">
        <v>1.23</v>
      </c>
      <c r="F1603" s="12">
        <v>4.59</v>
      </c>
      <c r="G1603" s="11">
        <v>12427.0</v>
      </c>
      <c r="H1603" s="11">
        <v>2708.0</v>
      </c>
    </row>
    <row r="1604">
      <c r="A1604" s="10">
        <v>43972.0</v>
      </c>
      <c r="B1604" s="11">
        <v>2208.0</v>
      </c>
      <c r="C1604" s="12">
        <v>0.4974</v>
      </c>
      <c r="D1604" s="2">
        <v>0.002025462962962963</v>
      </c>
      <c r="E1604" s="12">
        <v>1.13</v>
      </c>
      <c r="F1604" s="12">
        <v>4.83</v>
      </c>
      <c r="G1604" s="11">
        <v>11997.0</v>
      </c>
      <c r="H1604" s="11">
        <v>2485.0</v>
      </c>
    </row>
    <row r="1605">
      <c r="A1605" s="10">
        <v>43973.0</v>
      </c>
      <c r="B1605" s="11">
        <v>1750.0</v>
      </c>
      <c r="C1605" s="12">
        <v>0.5037</v>
      </c>
      <c r="D1605" s="2">
        <v>0.001990740740740741</v>
      </c>
      <c r="E1605" s="12">
        <v>1.15</v>
      </c>
      <c r="F1605" s="12">
        <v>3.47</v>
      </c>
      <c r="G1605" s="11">
        <v>6984.0</v>
      </c>
      <c r="H1605" s="11">
        <v>2013.0</v>
      </c>
    </row>
    <row r="1606">
      <c r="A1606" s="10">
        <v>43974.0</v>
      </c>
      <c r="B1606" s="11">
        <v>1472.0</v>
      </c>
      <c r="C1606" s="12">
        <v>0.4401</v>
      </c>
      <c r="D1606" s="2">
        <v>0.0018287037037037037</v>
      </c>
      <c r="E1606" s="12">
        <v>1.18</v>
      </c>
      <c r="F1606" s="12">
        <v>4.6</v>
      </c>
      <c r="G1606" s="11">
        <v>7984.0</v>
      </c>
      <c r="H1606" s="11">
        <v>1736.0</v>
      </c>
    </row>
    <row r="1607">
      <c r="A1607" s="10">
        <v>43975.0</v>
      </c>
      <c r="B1607" s="11">
        <v>1541.0</v>
      </c>
      <c r="C1607" s="12">
        <v>0.5083</v>
      </c>
      <c r="D1607" s="2">
        <v>0.002037037037037037</v>
      </c>
      <c r="E1607" s="12">
        <v>1.1</v>
      </c>
      <c r="F1607" s="12">
        <v>3.17</v>
      </c>
      <c r="G1607" s="11">
        <v>5374.0</v>
      </c>
      <c r="H1607" s="11">
        <v>1694.0</v>
      </c>
    </row>
    <row r="1608">
      <c r="A1608" s="10">
        <v>43976.0</v>
      </c>
      <c r="B1608" s="11">
        <v>1736.0</v>
      </c>
      <c r="C1608" s="12">
        <v>0.4406</v>
      </c>
      <c r="D1608" s="2">
        <v>0.0024421296296296296</v>
      </c>
      <c r="E1608" s="12">
        <v>1.14</v>
      </c>
      <c r="F1608" s="12">
        <v>3.45</v>
      </c>
      <c r="G1608" s="11">
        <v>6859.0</v>
      </c>
      <c r="H1608" s="11">
        <v>1986.0</v>
      </c>
    </row>
    <row r="1609">
      <c r="A1609" s="10">
        <v>43977.0</v>
      </c>
      <c r="B1609" s="11">
        <v>2305.0</v>
      </c>
      <c r="C1609" s="12">
        <v>0.4444</v>
      </c>
      <c r="D1609" s="2">
        <v>0.0024421296296296296</v>
      </c>
      <c r="E1609" s="12">
        <v>1.14</v>
      </c>
      <c r="F1609" s="12">
        <v>5.06</v>
      </c>
      <c r="G1609" s="11">
        <v>13288.0</v>
      </c>
      <c r="H1609" s="11">
        <v>2624.0</v>
      </c>
    </row>
    <row r="1610">
      <c r="A1610" s="10">
        <v>43978.0</v>
      </c>
      <c r="B1610" s="11">
        <v>2388.0</v>
      </c>
      <c r="C1610" s="12">
        <v>0.4461</v>
      </c>
      <c r="D1610" s="2">
        <v>0.001979166666666667</v>
      </c>
      <c r="E1610" s="12">
        <v>1.13</v>
      </c>
      <c r="F1610" s="12">
        <v>4.64</v>
      </c>
      <c r="G1610" s="11">
        <v>12566.0</v>
      </c>
      <c r="H1610" s="11">
        <v>2708.0</v>
      </c>
    </row>
    <row r="1611">
      <c r="A1611" s="10">
        <v>43979.0</v>
      </c>
      <c r="B1611" s="11">
        <v>2513.0</v>
      </c>
      <c r="C1611" s="12">
        <v>0.4564</v>
      </c>
      <c r="D1611" s="2">
        <v>0.0026157407407407405</v>
      </c>
      <c r="E1611" s="12">
        <v>1.08</v>
      </c>
      <c r="F1611" s="12">
        <v>5.6</v>
      </c>
      <c r="G1611" s="11">
        <v>15163.0</v>
      </c>
      <c r="H1611" s="11">
        <v>2708.0</v>
      </c>
    </row>
    <row r="1612">
      <c r="A1612" s="10">
        <v>43980.0</v>
      </c>
      <c r="B1612" s="11">
        <v>1958.0</v>
      </c>
      <c r="C1612" s="12">
        <v>0.4874</v>
      </c>
      <c r="D1612" s="2">
        <v>0.0024537037037037036</v>
      </c>
      <c r="E1612" s="12">
        <v>1.13</v>
      </c>
      <c r="F1612" s="12">
        <v>5.27</v>
      </c>
      <c r="G1612" s="11">
        <v>11719.0</v>
      </c>
      <c r="H1612" s="11">
        <v>2222.0</v>
      </c>
    </row>
    <row r="1613">
      <c r="A1613" s="10">
        <v>43981.0</v>
      </c>
      <c r="B1613" s="11">
        <v>1444.0</v>
      </c>
      <c r="C1613" s="12">
        <v>0.602</v>
      </c>
      <c r="D1613" s="2">
        <v>8.449074074074074E-4</v>
      </c>
      <c r="E1613" s="12">
        <v>1.13</v>
      </c>
      <c r="F1613" s="12">
        <v>3.52</v>
      </c>
      <c r="G1613" s="11">
        <v>5762.0</v>
      </c>
      <c r="H1613" s="11">
        <v>1638.0</v>
      </c>
    </row>
    <row r="1614">
      <c r="A1614" s="10">
        <v>43982.0</v>
      </c>
      <c r="B1614" s="11">
        <v>1430.0</v>
      </c>
      <c r="C1614" s="12">
        <v>0.6276</v>
      </c>
      <c r="D1614" s="2">
        <v>0.0016203703703703703</v>
      </c>
      <c r="E1614" s="12">
        <v>1.15</v>
      </c>
      <c r="F1614" s="12">
        <v>4.47</v>
      </c>
      <c r="G1614" s="11">
        <v>7318.0</v>
      </c>
      <c r="H1614" s="11">
        <v>1638.0</v>
      </c>
    </row>
    <row r="1615">
      <c r="A1615" s="10">
        <v>43983.0</v>
      </c>
      <c r="B1615" s="11">
        <v>2097.0</v>
      </c>
      <c r="C1615" s="12">
        <v>0.4998</v>
      </c>
      <c r="D1615" s="2">
        <v>0.0018055555555555555</v>
      </c>
      <c r="E1615" s="12">
        <v>1.1</v>
      </c>
      <c r="F1615" s="12">
        <v>3.84</v>
      </c>
      <c r="G1615" s="11">
        <v>8845.0</v>
      </c>
      <c r="H1615" s="11">
        <v>2305.0</v>
      </c>
    </row>
    <row r="1616">
      <c r="A1616" s="10">
        <v>43984.0</v>
      </c>
      <c r="B1616" s="11">
        <v>2194.0</v>
      </c>
      <c r="C1616" s="12">
        <v>0.4482</v>
      </c>
      <c r="D1616" s="2">
        <v>0.0021296296296296298</v>
      </c>
      <c r="E1616" s="12">
        <v>1.16</v>
      </c>
      <c r="F1616" s="12">
        <v>5.79</v>
      </c>
      <c r="G1616" s="11">
        <v>14719.0</v>
      </c>
      <c r="H1616" s="11">
        <v>2541.0</v>
      </c>
    </row>
    <row r="1617">
      <c r="A1617" s="10">
        <v>43985.0</v>
      </c>
      <c r="B1617" s="11">
        <v>2222.0</v>
      </c>
      <c r="C1617" s="12">
        <v>0.5164</v>
      </c>
      <c r="D1617" s="2">
        <v>0.002037037037037037</v>
      </c>
      <c r="E1617" s="12">
        <v>1.14</v>
      </c>
      <c r="F1617" s="12">
        <v>4.05</v>
      </c>
      <c r="G1617" s="11">
        <v>10234.0</v>
      </c>
      <c r="H1617" s="11">
        <v>2527.0</v>
      </c>
    </row>
    <row r="1618">
      <c r="A1618" s="10">
        <v>43986.0</v>
      </c>
      <c r="B1618" s="11">
        <v>2319.0</v>
      </c>
      <c r="C1618" s="12">
        <v>0.5132</v>
      </c>
      <c r="D1618" s="2">
        <v>0.0016435185185185185</v>
      </c>
      <c r="E1618" s="12">
        <v>1.14</v>
      </c>
      <c r="F1618" s="12">
        <v>4.1</v>
      </c>
      <c r="G1618" s="11">
        <v>10872.0</v>
      </c>
      <c r="H1618" s="11">
        <v>2652.0</v>
      </c>
    </row>
    <row r="1619">
      <c r="A1619" s="10">
        <v>43987.0</v>
      </c>
      <c r="B1619" s="11">
        <v>2430.0</v>
      </c>
      <c r="C1619" s="12">
        <v>0.5103</v>
      </c>
      <c r="D1619" s="2">
        <v>0.0017708333333333332</v>
      </c>
      <c r="E1619" s="12">
        <v>1.12</v>
      </c>
      <c r="F1619" s="12">
        <v>4.33</v>
      </c>
      <c r="G1619" s="11">
        <v>11789.0</v>
      </c>
      <c r="H1619" s="11">
        <v>2722.0</v>
      </c>
    </row>
    <row r="1620">
      <c r="A1620" s="10">
        <v>43988.0</v>
      </c>
      <c r="B1620" s="11">
        <v>1555.0</v>
      </c>
      <c r="C1620" s="12">
        <v>0.5524</v>
      </c>
      <c r="D1620" s="2">
        <v>0.0018865740740740742</v>
      </c>
      <c r="E1620" s="12">
        <v>1.2</v>
      </c>
      <c r="F1620" s="12">
        <v>3.37</v>
      </c>
      <c r="G1620" s="11">
        <v>6276.0</v>
      </c>
      <c r="H1620" s="11">
        <v>1861.0</v>
      </c>
    </row>
    <row r="1621">
      <c r="A1621" s="10">
        <v>43989.0</v>
      </c>
      <c r="B1621" s="11">
        <v>1805.0</v>
      </c>
      <c r="C1621" s="12">
        <v>0.5594</v>
      </c>
      <c r="D1621" s="2">
        <v>0.0013425925925925925</v>
      </c>
      <c r="E1621" s="12">
        <v>1.1</v>
      </c>
      <c r="F1621" s="12">
        <v>3.53</v>
      </c>
      <c r="G1621" s="11">
        <v>7012.0</v>
      </c>
      <c r="H1621" s="11">
        <v>1986.0</v>
      </c>
    </row>
    <row r="1622">
      <c r="A1622" s="10">
        <v>43990.0</v>
      </c>
      <c r="B1622" s="11">
        <v>2416.0</v>
      </c>
      <c r="C1622" s="12">
        <v>0.5331</v>
      </c>
      <c r="D1622" s="2">
        <v>0.0025578703703703705</v>
      </c>
      <c r="E1622" s="12">
        <v>1.13</v>
      </c>
      <c r="F1622" s="12">
        <v>5.08</v>
      </c>
      <c r="G1622" s="11">
        <v>13899.0</v>
      </c>
      <c r="H1622" s="11">
        <v>2735.0</v>
      </c>
    </row>
    <row r="1623">
      <c r="A1623" s="10">
        <v>43991.0</v>
      </c>
      <c r="B1623" s="11">
        <v>2374.0</v>
      </c>
      <c r="C1623" s="12">
        <v>0.4564</v>
      </c>
      <c r="D1623" s="2">
        <v>0.0022800925925925927</v>
      </c>
      <c r="E1623" s="12">
        <v>1.14</v>
      </c>
      <c r="F1623" s="12">
        <v>4.58</v>
      </c>
      <c r="G1623" s="11">
        <v>12400.0</v>
      </c>
      <c r="H1623" s="11">
        <v>2708.0</v>
      </c>
    </row>
    <row r="1624">
      <c r="A1624" s="10">
        <v>43992.0</v>
      </c>
      <c r="B1624" s="11">
        <v>2610.0</v>
      </c>
      <c r="C1624" s="12">
        <v>0.5049</v>
      </c>
      <c r="D1624" s="2">
        <v>0.0020833333333333333</v>
      </c>
      <c r="E1624" s="12">
        <v>1.14</v>
      </c>
      <c r="F1624" s="12">
        <v>3.58</v>
      </c>
      <c r="G1624" s="11">
        <v>10622.0</v>
      </c>
      <c r="H1624" s="11">
        <v>2971.0</v>
      </c>
    </row>
    <row r="1625">
      <c r="A1625" s="10">
        <v>43993.0</v>
      </c>
      <c r="B1625" s="11">
        <v>2444.0</v>
      </c>
      <c r="C1625" s="12">
        <v>0.5686</v>
      </c>
      <c r="D1625" s="2">
        <v>0.002199074074074074</v>
      </c>
      <c r="E1625" s="12">
        <v>1.12</v>
      </c>
      <c r="F1625" s="12">
        <v>3.9</v>
      </c>
      <c r="G1625" s="11">
        <v>10678.0</v>
      </c>
      <c r="H1625" s="11">
        <v>2735.0</v>
      </c>
    </row>
    <row r="1626">
      <c r="A1626" s="10">
        <v>43994.0</v>
      </c>
      <c r="B1626" s="11">
        <v>2055.0</v>
      </c>
      <c r="C1626" s="12">
        <v>0.4818</v>
      </c>
      <c r="D1626" s="2">
        <v>0.0018055555555555555</v>
      </c>
      <c r="E1626" s="12">
        <v>1.11</v>
      </c>
      <c r="F1626" s="12">
        <v>5.01</v>
      </c>
      <c r="G1626" s="11">
        <v>11414.0</v>
      </c>
      <c r="H1626" s="11">
        <v>2277.0</v>
      </c>
    </row>
    <row r="1627">
      <c r="A1627" s="10">
        <v>43995.0</v>
      </c>
      <c r="B1627" s="11">
        <v>1514.0</v>
      </c>
      <c r="C1627" s="12">
        <v>0.5726</v>
      </c>
      <c r="D1627" s="2">
        <v>0.0010648148148148149</v>
      </c>
      <c r="E1627" s="12">
        <v>1.14</v>
      </c>
      <c r="F1627" s="12">
        <v>4.1</v>
      </c>
      <c r="G1627" s="11">
        <v>7068.0</v>
      </c>
      <c r="H1627" s="11">
        <v>1722.0</v>
      </c>
    </row>
    <row r="1628">
      <c r="A1628" s="10">
        <v>43996.0</v>
      </c>
      <c r="B1628" s="11">
        <v>1625.0</v>
      </c>
      <c r="C1628" s="12">
        <v>0.4963</v>
      </c>
      <c r="D1628" s="2">
        <v>0.001736111111111111</v>
      </c>
      <c r="E1628" s="12">
        <v>1.08</v>
      </c>
      <c r="F1628" s="12">
        <v>3.28</v>
      </c>
      <c r="G1628" s="11">
        <v>5776.0</v>
      </c>
      <c r="H1628" s="11">
        <v>1763.0</v>
      </c>
    </row>
    <row r="1629">
      <c r="A1629" s="10">
        <v>43997.0</v>
      </c>
      <c r="B1629" s="11">
        <v>2083.0</v>
      </c>
      <c r="C1629" s="12">
        <v>0.4094</v>
      </c>
      <c r="D1629" s="2">
        <v>0.0022916666666666667</v>
      </c>
      <c r="E1629" s="12">
        <v>1.14</v>
      </c>
      <c r="F1629" s="12">
        <v>4.92</v>
      </c>
      <c r="G1629" s="11">
        <v>11678.0</v>
      </c>
      <c r="H1629" s="11">
        <v>2374.0</v>
      </c>
    </row>
    <row r="1630">
      <c r="A1630" s="10">
        <v>43998.0</v>
      </c>
      <c r="B1630" s="11">
        <v>2249.0</v>
      </c>
      <c r="C1630" s="12">
        <v>0.4286</v>
      </c>
      <c r="D1630" s="2">
        <v>0.002372685185185185</v>
      </c>
      <c r="E1630" s="12">
        <v>1.12</v>
      </c>
      <c r="F1630" s="12">
        <v>4.87</v>
      </c>
      <c r="G1630" s="11">
        <v>12302.0</v>
      </c>
      <c r="H1630" s="11">
        <v>2527.0</v>
      </c>
    </row>
    <row r="1631">
      <c r="A1631" s="10">
        <v>43999.0</v>
      </c>
      <c r="B1631" s="11">
        <v>2194.0</v>
      </c>
      <c r="C1631" s="12">
        <v>0.4012</v>
      </c>
      <c r="D1631" s="2">
        <v>0.0022800925925925927</v>
      </c>
      <c r="E1631" s="12">
        <v>1.09</v>
      </c>
      <c r="F1631" s="12">
        <v>4.38</v>
      </c>
      <c r="G1631" s="11">
        <v>10456.0</v>
      </c>
      <c r="H1631" s="11">
        <v>2388.0</v>
      </c>
    </row>
    <row r="1632">
      <c r="A1632" s="10">
        <v>44000.0</v>
      </c>
      <c r="B1632" s="11">
        <v>2055.0</v>
      </c>
      <c r="C1632" s="12">
        <v>0.4135</v>
      </c>
      <c r="D1632" s="2">
        <v>0.0026967592592592594</v>
      </c>
      <c r="E1632" s="12">
        <v>1.09</v>
      </c>
      <c r="F1632" s="12">
        <v>6.35</v>
      </c>
      <c r="G1632" s="11">
        <v>14274.0</v>
      </c>
      <c r="H1632" s="11">
        <v>2249.0</v>
      </c>
    </row>
    <row r="1633">
      <c r="A1633" s="10">
        <v>44001.0</v>
      </c>
      <c r="B1633" s="11">
        <v>1791.0</v>
      </c>
      <c r="C1633" s="12">
        <v>0.4254</v>
      </c>
      <c r="D1633" s="2">
        <v>0.002210648148148148</v>
      </c>
      <c r="E1633" s="12">
        <v>1.09</v>
      </c>
      <c r="F1633" s="12">
        <v>6.5</v>
      </c>
      <c r="G1633" s="11">
        <v>12733.0</v>
      </c>
      <c r="H1633" s="11">
        <v>1958.0</v>
      </c>
    </row>
    <row r="1634">
      <c r="A1634" s="10">
        <v>44002.0</v>
      </c>
      <c r="B1634" s="11">
        <v>1347.0</v>
      </c>
      <c r="C1634" s="12">
        <v>0.4738</v>
      </c>
      <c r="D1634" s="2">
        <v>0.0028703703703703703</v>
      </c>
      <c r="E1634" s="12">
        <v>1.18</v>
      </c>
      <c r="F1634" s="12">
        <v>4.1</v>
      </c>
      <c r="G1634" s="11">
        <v>6498.0</v>
      </c>
      <c r="H1634" s="11">
        <v>1583.0</v>
      </c>
    </row>
    <row r="1635">
      <c r="A1635" s="10">
        <v>44003.0</v>
      </c>
      <c r="B1635" s="11">
        <v>1402.0</v>
      </c>
      <c r="C1635" s="12">
        <v>0.4569</v>
      </c>
      <c r="D1635" s="2">
        <v>0.0014351851851851852</v>
      </c>
      <c r="E1635" s="12">
        <v>1.15</v>
      </c>
      <c r="F1635" s="12">
        <v>4.71</v>
      </c>
      <c r="G1635" s="11">
        <v>7595.0</v>
      </c>
      <c r="H1635" s="11">
        <v>1611.0</v>
      </c>
    </row>
    <row r="1636">
      <c r="A1636" s="10">
        <v>44004.0</v>
      </c>
      <c r="B1636" s="11">
        <v>2166.0</v>
      </c>
      <c r="C1636" s="12">
        <v>0.4421</v>
      </c>
      <c r="D1636" s="2">
        <v>0.003715277777777778</v>
      </c>
      <c r="E1636" s="12">
        <v>1.16</v>
      </c>
      <c r="F1636" s="12">
        <v>6.46</v>
      </c>
      <c r="G1636" s="11">
        <v>16246.0</v>
      </c>
      <c r="H1636" s="11">
        <v>2513.0</v>
      </c>
    </row>
    <row r="1637">
      <c r="A1637" s="10">
        <v>44005.0</v>
      </c>
      <c r="B1637" s="11">
        <v>2041.0</v>
      </c>
      <c r="C1637" s="12">
        <v>0.4822</v>
      </c>
      <c r="D1637" s="2">
        <v>0.001979166666666667</v>
      </c>
      <c r="E1637" s="12">
        <v>1.14</v>
      </c>
      <c r="F1637" s="12">
        <v>4.98</v>
      </c>
      <c r="G1637" s="11">
        <v>11608.0</v>
      </c>
      <c r="H1637" s="11">
        <v>2333.0</v>
      </c>
    </row>
    <row r="1638">
      <c r="A1638" s="10">
        <v>44006.0</v>
      </c>
      <c r="B1638" s="11">
        <v>1888.0</v>
      </c>
      <c r="C1638" s="12">
        <v>0.4879</v>
      </c>
      <c r="D1638" s="2">
        <v>0.0020833333333333333</v>
      </c>
      <c r="E1638" s="12">
        <v>1.21</v>
      </c>
      <c r="F1638" s="12">
        <v>4.48</v>
      </c>
      <c r="G1638" s="11">
        <v>10192.0</v>
      </c>
      <c r="H1638" s="11">
        <v>2277.0</v>
      </c>
    </row>
    <row r="1639">
      <c r="A1639" s="10">
        <v>44007.0</v>
      </c>
      <c r="B1639" s="11">
        <v>2763.0</v>
      </c>
      <c r="C1639" s="12">
        <v>0.4149</v>
      </c>
      <c r="D1639" s="2">
        <v>0.0024537037037037036</v>
      </c>
      <c r="E1639" s="12">
        <v>1.09</v>
      </c>
      <c r="F1639" s="12">
        <v>5.51</v>
      </c>
      <c r="G1639" s="11">
        <v>16593.0</v>
      </c>
      <c r="H1639" s="11">
        <v>3013.0</v>
      </c>
    </row>
    <row r="1640">
      <c r="A1640" s="10">
        <v>44008.0</v>
      </c>
      <c r="B1640" s="11">
        <v>2069.0</v>
      </c>
      <c r="C1640" s="12">
        <v>0.5147</v>
      </c>
      <c r="D1640" s="2">
        <v>0.0016087962962962963</v>
      </c>
      <c r="E1640" s="12">
        <v>1.13</v>
      </c>
      <c r="F1640" s="12">
        <v>4.19</v>
      </c>
      <c r="G1640" s="11">
        <v>9831.0</v>
      </c>
      <c r="H1640" s="11">
        <v>2347.0</v>
      </c>
    </row>
    <row r="1641">
      <c r="A1641" s="10">
        <v>44009.0</v>
      </c>
      <c r="B1641" s="11">
        <v>1430.0</v>
      </c>
      <c r="C1641" s="12">
        <v>0.5174</v>
      </c>
      <c r="D1641" s="2">
        <v>0.0032291666666666666</v>
      </c>
      <c r="E1641" s="12">
        <v>1.11</v>
      </c>
      <c r="F1641" s="12">
        <v>5.72</v>
      </c>
      <c r="G1641" s="11">
        <v>9053.0</v>
      </c>
      <c r="H1641" s="11">
        <v>1583.0</v>
      </c>
    </row>
    <row r="1642">
      <c r="A1642" s="10">
        <v>44010.0</v>
      </c>
      <c r="B1642" s="11">
        <v>1375.0</v>
      </c>
      <c r="C1642" s="12">
        <v>0.4776</v>
      </c>
      <c r="D1642" s="2">
        <v>0.0018055555555555555</v>
      </c>
      <c r="E1642" s="12">
        <v>1.12</v>
      </c>
      <c r="F1642" s="12">
        <v>5.78</v>
      </c>
      <c r="G1642" s="11">
        <v>8914.0</v>
      </c>
      <c r="H1642" s="11">
        <v>1541.0</v>
      </c>
    </row>
    <row r="1643">
      <c r="A1643" s="10">
        <v>44011.0</v>
      </c>
      <c r="B1643" s="11">
        <v>2194.0</v>
      </c>
      <c r="C1643" s="12">
        <v>0.4741</v>
      </c>
      <c r="D1643" s="2">
        <v>0.0017939814814814815</v>
      </c>
      <c r="E1643" s="12">
        <v>1.11</v>
      </c>
      <c r="F1643" s="12">
        <v>4.35</v>
      </c>
      <c r="G1643" s="11">
        <v>10581.0</v>
      </c>
      <c r="H1643" s="11">
        <v>2430.0</v>
      </c>
    </row>
    <row r="1644">
      <c r="A1644" s="10">
        <v>44012.0</v>
      </c>
      <c r="B1644" s="11">
        <v>1875.0</v>
      </c>
      <c r="C1644" s="12">
        <v>0.4222</v>
      </c>
      <c r="D1644" s="2">
        <v>0.0022222222222222222</v>
      </c>
      <c r="E1644" s="12">
        <v>1.19</v>
      </c>
      <c r="F1644" s="12">
        <v>4.07</v>
      </c>
      <c r="G1644" s="11">
        <v>9109.0</v>
      </c>
      <c r="H1644" s="11">
        <v>2236.0</v>
      </c>
    </row>
    <row r="1645">
      <c r="A1645" s="10">
        <v>44013.0</v>
      </c>
      <c r="B1645" s="11">
        <v>1805.0</v>
      </c>
      <c r="C1645" s="12">
        <v>0.4297</v>
      </c>
      <c r="D1645" s="2">
        <v>0.0019097222222222222</v>
      </c>
      <c r="E1645" s="12">
        <v>1.15</v>
      </c>
      <c r="F1645" s="12">
        <v>4.96</v>
      </c>
      <c r="G1645" s="11">
        <v>10261.0</v>
      </c>
      <c r="H1645" s="11">
        <v>2069.0</v>
      </c>
    </row>
    <row r="1646">
      <c r="A1646" s="10">
        <v>44014.0</v>
      </c>
      <c r="B1646" s="11">
        <v>1736.0</v>
      </c>
      <c r="C1646" s="12">
        <v>0.4885</v>
      </c>
      <c r="D1646" s="2">
        <v>0.0011921296296296296</v>
      </c>
      <c r="E1646" s="12">
        <v>1.08</v>
      </c>
      <c r="F1646" s="12">
        <v>5.43</v>
      </c>
      <c r="G1646" s="11">
        <v>10178.0</v>
      </c>
      <c r="H1646" s="11">
        <v>1875.0</v>
      </c>
    </row>
    <row r="1647">
      <c r="A1647" s="10">
        <v>44015.0</v>
      </c>
      <c r="B1647" s="11">
        <v>1486.0</v>
      </c>
      <c r="C1647" s="12">
        <v>0.5331</v>
      </c>
      <c r="D1647" s="2">
        <v>0.0021643518518518518</v>
      </c>
      <c r="E1647" s="12">
        <v>1.14</v>
      </c>
      <c r="F1647" s="12">
        <v>4.37</v>
      </c>
      <c r="G1647" s="11">
        <v>7401.0</v>
      </c>
      <c r="H1647" s="11">
        <v>1694.0</v>
      </c>
    </row>
    <row r="1648">
      <c r="A1648" s="10">
        <v>44016.0</v>
      </c>
      <c r="B1648" s="11">
        <v>1236.0</v>
      </c>
      <c r="C1648" s="12">
        <v>0.5099</v>
      </c>
      <c r="D1648" s="2">
        <v>0.0013773148148148147</v>
      </c>
      <c r="E1648" s="12">
        <v>1.1</v>
      </c>
      <c r="F1648" s="12">
        <v>3.33</v>
      </c>
      <c r="G1648" s="11">
        <v>4527.0</v>
      </c>
      <c r="H1648" s="11">
        <v>1361.0</v>
      </c>
    </row>
    <row r="1649">
      <c r="A1649" s="10">
        <v>44017.0</v>
      </c>
      <c r="B1649" s="11">
        <v>1402.0</v>
      </c>
      <c r="C1649" s="12">
        <v>0.5406</v>
      </c>
      <c r="D1649" s="2">
        <v>0.0016666666666666668</v>
      </c>
      <c r="E1649" s="12">
        <v>1.1</v>
      </c>
      <c r="F1649" s="12">
        <v>4.01</v>
      </c>
      <c r="G1649" s="11">
        <v>6179.0</v>
      </c>
      <c r="H1649" s="11">
        <v>1541.0</v>
      </c>
    </row>
    <row r="1650">
      <c r="A1650" s="10">
        <v>44018.0</v>
      </c>
      <c r="B1650" s="11">
        <v>2860.0</v>
      </c>
      <c r="C1650" s="12">
        <v>0.4433</v>
      </c>
      <c r="D1650" s="2">
        <v>0.0018171296296296297</v>
      </c>
      <c r="E1650" s="12">
        <v>1.12</v>
      </c>
      <c r="F1650" s="12">
        <v>4.38</v>
      </c>
      <c r="G1650" s="11">
        <v>13983.0</v>
      </c>
      <c r="H1650" s="11">
        <v>3194.0</v>
      </c>
    </row>
    <row r="1651">
      <c r="A1651" s="10">
        <v>44019.0</v>
      </c>
      <c r="B1651" s="11">
        <v>3180.0</v>
      </c>
      <c r="C1651" s="12">
        <v>0.4637</v>
      </c>
      <c r="D1651" s="2">
        <v>0.002395833333333333</v>
      </c>
      <c r="E1651" s="12">
        <v>1.08</v>
      </c>
      <c r="F1651" s="12">
        <v>4.89</v>
      </c>
      <c r="G1651" s="11">
        <v>16829.0</v>
      </c>
      <c r="H1651" s="11">
        <v>3444.0</v>
      </c>
    </row>
    <row r="1652">
      <c r="A1652" s="10">
        <v>44020.0</v>
      </c>
      <c r="B1652" s="11">
        <v>2888.0</v>
      </c>
      <c r="C1652" s="12">
        <v>0.3921</v>
      </c>
      <c r="D1652" s="2">
        <v>0.002002314814814815</v>
      </c>
      <c r="E1652" s="12">
        <v>1.09</v>
      </c>
      <c r="F1652" s="12">
        <v>5.51</v>
      </c>
      <c r="G1652" s="11">
        <v>17357.0</v>
      </c>
      <c r="H1652" s="11">
        <v>3152.0</v>
      </c>
    </row>
    <row r="1653">
      <c r="A1653" s="10">
        <v>44021.0</v>
      </c>
      <c r="B1653" s="11">
        <v>2916.0</v>
      </c>
      <c r="C1653" s="12">
        <v>0.446</v>
      </c>
      <c r="D1653" s="2">
        <v>0.0022916666666666667</v>
      </c>
      <c r="E1653" s="12">
        <v>1.06</v>
      </c>
      <c r="F1653" s="12">
        <v>4.43</v>
      </c>
      <c r="G1653" s="11">
        <v>13649.0</v>
      </c>
      <c r="H1653" s="11">
        <v>3083.0</v>
      </c>
    </row>
    <row r="1654">
      <c r="A1654" s="10">
        <v>44022.0</v>
      </c>
      <c r="B1654" s="11">
        <v>2430.0</v>
      </c>
      <c r="C1654" s="12">
        <v>0.43</v>
      </c>
      <c r="D1654" s="2">
        <v>0.0018981481481481482</v>
      </c>
      <c r="E1654" s="12">
        <v>1.14</v>
      </c>
      <c r="F1654" s="12">
        <v>4.25</v>
      </c>
      <c r="G1654" s="11">
        <v>11803.0</v>
      </c>
      <c r="H1654" s="11">
        <v>2777.0</v>
      </c>
    </row>
    <row r="1655">
      <c r="A1655" s="10">
        <v>44023.0</v>
      </c>
      <c r="B1655" s="11">
        <v>1486.0</v>
      </c>
      <c r="C1655" s="12">
        <v>0.4869</v>
      </c>
      <c r="D1655" s="2">
        <v>0.0015162037037037036</v>
      </c>
      <c r="E1655" s="12">
        <v>1.06</v>
      </c>
      <c r="F1655" s="12">
        <v>4.11</v>
      </c>
      <c r="G1655" s="11">
        <v>6443.0</v>
      </c>
      <c r="H1655" s="11">
        <v>1569.0</v>
      </c>
    </row>
    <row r="1656">
      <c r="A1656" s="10">
        <v>44024.0</v>
      </c>
      <c r="B1656" s="11">
        <v>1611.0</v>
      </c>
      <c r="C1656" s="12">
        <v>0.5081</v>
      </c>
      <c r="D1656" s="2">
        <v>0.0016203703703703703</v>
      </c>
      <c r="E1656" s="12">
        <v>1.07</v>
      </c>
      <c r="F1656" s="12">
        <v>4.77</v>
      </c>
      <c r="G1656" s="11">
        <v>8220.0</v>
      </c>
      <c r="H1656" s="11">
        <v>1722.0</v>
      </c>
    </row>
    <row r="1657">
      <c r="A1657" s="10">
        <v>44025.0</v>
      </c>
      <c r="B1657" s="11">
        <v>2735.0</v>
      </c>
      <c r="C1657" s="12">
        <v>0.3918</v>
      </c>
      <c r="D1657" s="2">
        <v>0.0021759259259259258</v>
      </c>
      <c r="E1657" s="12">
        <v>1.13</v>
      </c>
      <c r="F1657" s="12">
        <v>5.16</v>
      </c>
      <c r="G1657" s="11">
        <v>15899.0</v>
      </c>
      <c r="H1657" s="11">
        <v>3083.0</v>
      </c>
    </row>
    <row r="1658">
      <c r="A1658" s="10">
        <v>44026.0</v>
      </c>
      <c r="B1658" s="11">
        <v>2569.0</v>
      </c>
      <c r="C1658" s="12">
        <v>0.4951</v>
      </c>
      <c r="D1658" s="2">
        <v>0.0018981481481481482</v>
      </c>
      <c r="E1658" s="12">
        <v>1.11</v>
      </c>
      <c r="F1658" s="12">
        <v>4.81</v>
      </c>
      <c r="G1658" s="11">
        <v>13747.0</v>
      </c>
      <c r="H1658" s="11">
        <v>2860.0</v>
      </c>
    </row>
    <row r="1659">
      <c r="A1659" s="10">
        <v>44027.0</v>
      </c>
      <c r="B1659" s="11">
        <v>2333.0</v>
      </c>
      <c r="C1659" s="12">
        <v>0.4378</v>
      </c>
      <c r="D1659" s="2">
        <v>0.002766203703703704</v>
      </c>
      <c r="E1659" s="12">
        <v>1.2</v>
      </c>
      <c r="F1659" s="12">
        <v>6.64</v>
      </c>
      <c r="G1659" s="11">
        <v>18523.0</v>
      </c>
      <c r="H1659" s="11">
        <v>2791.0</v>
      </c>
    </row>
    <row r="1660">
      <c r="A1660" s="10">
        <v>44028.0</v>
      </c>
      <c r="B1660" s="11">
        <v>2236.0</v>
      </c>
      <c r="C1660" s="12">
        <v>0.4024</v>
      </c>
      <c r="D1660" s="2">
        <v>0.0021412037037037038</v>
      </c>
      <c r="E1660" s="12">
        <v>1.11</v>
      </c>
      <c r="F1660" s="12">
        <v>5.82</v>
      </c>
      <c r="G1660" s="11">
        <v>14455.0</v>
      </c>
      <c r="H1660" s="11">
        <v>2485.0</v>
      </c>
    </row>
    <row r="1661">
      <c r="A1661" s="10">
        <v>44029.0</v>
      </c>
      <c r="B1661" s="11">
        <v>2263.0</v>
      </c>
      <c r="C1661" s="12">
        <v>0.4584</v>
      </c>
      <c r="D1661" s="2">
        <v>0.0022222222222222222</v>
      </c>
      <c r="E1661" s="12">
        <v>1.1</v>
      </c>
      <c r="F1661" s="12">
        <v>5.33</v>
      </c>
      <c r="G1661" s="11">
        <v>13233.0</v>
      </c>
      <c r="H1661" s="11">
        <v>2485.0</v>
      </c>
    </row>
    <row r="1662">
      <c r="A1662" s="10">
        <v>44030.0</v>
      </c>
      <c r="B1662" s="11">
        <v>1458.0</v>
      </c>
      <c r="C1662" s="12">
        <v>0.5216</v>
      </c>
      <c r="D1662" s="2">
        <v>0.002013888888888889</v>
      </c>
      <c r="E1662" s="12">
        <v>1.1</v>
      </c>
      <c r="F1662" s="12">
        <v>3.92</v>
      </c>
      <c r="G1662" s="11">
        <v>6262.0</v>
      </c>
      <c r="H1662" s="11">
        <v>1597.0</v>
      </c>
    </row>
    <row r="1663">
      <c r="A1663" s="10">
        <v>44031.0</v>
      </c>
      <c r="B1663" s="11">
        <v>1569.0</v>
      </c>
      <c r="C1663" s="12">
        <v>0.4078</v>
      </c>
      <c r="D1663" s="2">
        <v>0.0020717592592592593</v>
      </c>
      <c r="E1663" s="12">
        <v>1.11</v>
      </c>
      <c r="F1663" s="12">
        <v>5.21</v>
      </c>
      <c r="G1663" s="11">
        <v>9039.0</v>
      </c>
      <c r="H1663" s="11">
        <v>1736.0</v>
      </c>
    </row>
    <row r="1664">
      <c r="A1664" s="10">
        <v>44032.0</v>
      </c>
      <c r="B1664" s="11">
        <v>2416.0</v>
      </c>
      <c r="C1664" s="12">
        <v>0.4846</v>
      </c>
      <c r="D1664" s="2">
        <v>0.001990740740740741</v>
      </c>
      <c r="E1664" s="12">
        <v>1.13</v>
      </c>
      <c r="F1664" s="12">
        <v>4.79</v>
      </c>
      <c r="G1664" s="11">
        <v>13038.0</v>
      </c>
      <c r="H1664" s="11">
        <v>2722.0</v>
      </c>
    </row>
    <row r="1665">
      <c r="A1665" s="10">
        <v>44033.0</v>
      </c>
      <c r="B1665" s="11">
        <v>2194.0</v>
      </c>
      <c r="C1665" s="12">
        <v>0.5279</v>
      </c>
      <c r="D1665" s="2">
        <v>0.001851851851851852</v>
      </c>
      <c r="E1665" s="12">
        <v>1.13</v>
      </c>
      <c r="F1665" s="12">
        <v>5.46</v>
      </c>
      <c r="G1665" s="11">
        <v>13497.0</v>
      </c>
      <c r="H1665" s="11">
        <v>2472.0</v>
      </c>
    </row>
    <row r="1666">
      <c r="A1666" s="10">
        <v>44034.0</v>
      </c>
      <c r="B1666" s="11">
        <v>2194.0</v>
      </c>
      <c r="C1666" s="12">
        <v>0.4914</v>
      </c>
      <c r="D1666" s="2">
        <v>0.0024537037037037036</v>
      </c>
      <c r="E1666" s="12">
        <v>1.11</v>
      </c>
      <c r="F1666" s="12">
        <v>6.7</v>
      </c>
      <c r="G1666" s="11">
        <v>16288.0</v>
      </c>
      <c r="H1666" s="11">
        <v>2430.0</v>
      </c>
    </row>
    <row r="1667">
      <c r="A1667" s="10">
        <v>44035.0</v>
      </c>
      <c r="B1667" s="11">
        <v>1527.0</v>
      </c>
      <c r="C1667" s="12">
        <v>0.4434</v>
      </c>
      <c r="D1667" s="2">
        <v>0.002650462962962963</v>
      </c>
      <c r="E1667" s="12">
        <v>1.21</v>
      </c>
      <c r="F1667" s="12">
        <v>7.31</v>
      </c>
      <c r="G1667" s="11">
        <v>13497.0</v>
      </c>
      <c r="H1667" s="11">
        <v>1847.0</v>
      </c>
    </row>
    <row r="1668">
      <c r="A1668" s="10">
        <v>44036.0</v>
      </c>
      <c r="B1668" s="11">
        <v>1541.0</v>
      </c>
      <c r="C1668" s="12">
        <v>0.484</v>
      </c>
      <c r="D1668" s="2">
        <v>0.0021296296296296298</v>
      </c>
      <c r="E1668" s="12">
        <v>1.14</v>
      </c>
      <c r="F1668" s="12">
        <v>4.84</v>
      </c>
      <c r="G1668" s="11">
        <v>8470.0</v>
      </c>
      <c r="H1668" s="11">
        <v>1750.0</v>
      </c>
    </row>
    <row r="1669">
      <c r="A1669" s="10">
        <v>44037.0</v>
      </c>
      <c r="B1669" s="11">
        <v>1028.0</v>
      </c>
      <c r="C1669" s="12">
        <v>0.5248</v>
      </c>
      <c r="D1669" s="2">
        <v>8.796296296296296E-4</v>
      </c>
      <c r="E1669" s="12">
        <v>1.08</v>
      </c>
      <c r="F1669" s="12">
        <v>3.45</v>
      </c>
      <c r="G1669" s="11">
        <v>3832.0</v>
      </c>
      <c r="H1669" s="11">
        <v>1111.0</v>
      </c>
    </row>
    <row r="1670">
      <c r="A1670" s="10">
        <v>44038.0</v>
      </c>
      <c r="B1670" s="11">
        <v>1097.0</v>
      </c>
      <c r="C1670" s="12">
        <v>0.3907</v>
      </c>
      <c r="D1670" s="2">
        <v>0.0030439814814814813</v>
      </c>
      <c r="E1670" s="12">
        <v>1.1</v>
      </c>
      <c r="F1670" s="12">
        <v>6.76</v>
      </c>
      <c r="G1670" s="11">
        <v>8165.0</v>
      </c>
      <c r="H1670" s="11">
        <v>1208.0</v>
      </c>
    </row>
    <row r="1671">
      <c r="A1671" s="10">
        <v>44039.0</v>
      </c>
      <c r="B1671" s="11">
        <v>1680.0</v>
      </c>
      <c r="C1671" s="12">
        <v>0.3804</v>
      </c>
      <c r="D1671" s="2">
        <v>0.002361111111111111</v>
      </c>
      <c r="E1671" s="12">
        <v>1.11</v>
      </c>
      <c r="F1671" s="12">
        <v>6.36</v>
      </c>
      <c r="G1671" s="11">
        <v>11830.0</v>
      </c>
      <c r="H1671" s="11">
        <v>1861.0</v>
      </c>
    </row>
    <row r="1672">
      <c r="A1672" s="10">
        <v>44040.0</v>
      </c>
      <c r="B1672" s="11">
        <v>1638.0</v>
      </c>
      <c r="C1672" s="12">
        <v>0.4181</v>
      </c>
      <c r="D1672" s="2">
        <v>0.0030439814814814813</v>
      </c>
      <c r="E1672" s="12">
        <v>1.14</v>
      </c>
      <c r="F1672" s="12">
        <v>6.4</v>
      </c>
      <c r="G1672" s="11">
        <v>11914.0</v>
      </c>
      <c r="H1672" s="11">
        <v>1861.0</v>
      </c>
    </row>
    <row r="1673">
      <c r="A1673" s="10">
        <v>44041.0</v>
      </c>
      <c r="B1673" s="11">
        <v>1722.0</v>
      </c>
      <c r="C1673" s="12">
        <v>0.3642</v>
      </c>
      <c r="D1673" s="2">
        <v>0.0021064814814814813</v>
      </c>
      <c r="E1673" s="12">
        <v>1.13</v>
      </c>
      <c r="F1673" s="12">
        <v>5.16</v>
      </c>
      <c r="G1673" s="11">
        <v>10039.0</v>
      </c>
      <c r="H1673" s="11">
        <v>1944.0</v>
      </c>
    </row>
    <row r="1674">
      <c r="A1674" s="10">
        <v>44042.0</v>
      </c>
      <c r="B1674" s="11">
        <v>1541.0</v>
      </c>
      <c r="C1674" s="12">
        <v>0.3857</v>
      </c>
      <c r="D1674" s="2">
        <v>0.0025578703703703705</v>
      </c>
      <c r="E1674" s="12">
        <v>1.14</v>
      </c>
      <c r="F1674" s="12">
        <v>5.1</v>
      </c>
      <c r="G1674" s="11">
        <v>8998.0</v>
      </c>
      <c r="H1674" s="11">
        <v>1763.0</v>
      </c>
    </row>
    <row r="1675">
      <c r="A1675" s="10">
        <v>44043.0</v>
      </c>
      <c r="B1675" s="11">
        <v>1583.0</v>
      </c>
      <c r="C1675" s="12">
        <v>0.4637</v>
      </c>
      <c r="D1675" s="2">
        <v>0.0022800925925925927</v>
      </c>
      <c r="E1675" s="12">
        <v>1.1</v>
      </c>
      <c r="F1675" s="12">
        <v>4.91</v>
      </c>
      <c r="G1675" s="11">
        <v>8526.0</v>
      </c>
      <c r="H1675" s="11">
        <v>1736.0</v>
      </c>
    </row>
    <row r="1676">
      <c r="A1676" s="10">
        <v>44044.0</v>
      </c>
      <c r="B1676" s="11">
        <v>903.0</v>
      </c>
      <c r="C1676" s="12">
        <v>0.4787</v>
      </c>
      <c r="D1676" s="2">
        <v>0.0019675925925925924</v>
      </c>
      <c r="E1676" s="12">
        <v>1.09</v>
      </c>
      <c r="F1676" s="12">
        <v>4.55</v>
      </c>
      <c r="G1676" s="11">
        <v>4485.0</v>
      </c>
      <c r="H1676" s="11">
        <v>986.0</v>
      </c>
    </row>
    <row r="1677">
      <c r="A1677" s="10">
        <v>44045.0</v>
      </c>
      <c r="B1677" s="11">
        <v>1014.0</v>
      </c>
      <c r="C1677" s="12">
        <v>0.471</v>
      </c>
      <c r="D1677" s="2">
        <v>0.0021527777777777778</v>
      </c>
      <c r="E1677" s="12">
        <v>1.19</v>
      </c>
      <c r="F1677" s="12">
        <v>5.59</v>
      </c>
      <c r="G1677" s="11">
        <v>6748.0</v>
      </c>
      <c r="H1677" s="11">
        <v>1208.0</v>
      </c>
    </row>
    <row r="1678">
      <c r="A1678" s="10">
        <v>44046.0</v>
      </c>
      <c r="B1678" s="11">
        <v>2111.0</v>
      </c>
      <c r="C1678" s="12">
        <v>0.4998</v>
      </c>
      <c r="D1678" s="2">
        <v>0.0020949074074074073</v>
      </c>
      <c r="E1678" s="12">
        <v>1.11</v>
      </c>
      <c r="F1678" s="12">
        <v>4.99</v>
      </c>
      <c r="G1678" s="11">
        <v>11636.0</v>
      </c>
      <c r="H1678" s="11">
        <v>2333.0</v>
      </c>
    </row>
    <row r="1679">
      <c r="A1679" s="10">
        <v>44047.0</v>
      </c>
      <c r="B1679" s="11">
        <v>3332.0</v>
      </c>
      <c r="C1679" s="12">
        <v>0.3494</v>
      </c>
      <c r="D1679" s="2">
        <v>0.0030092592592592593</v>
      </c>
      <c r="E1679" s="12">
        <v>1.12</v>
      </c>
      <c r="F1679" s="12">
        <v>6.77</v>
      </c>
      <c r="G1679" s="11">
        <v>25271.0</v>
      </c>
      <c r="H1679" s="11">
        <v>3735.0</v>
      </c>
    </row>
    <row r="1680">
      <c r="A1680" s="10">
        <v>44048.0</v>
      </c>
      <c r="B1680" s="11">
        <v>2499.0</v>
      </c>
      <c r="C1680" s="12">
        <v>0.3199</v>
      </c>
      <c r="D1680" s="2">
        <v>0.0022685185185185187</v>
      </c>
      <c r="E1680" s="12">
        <v>1.09</v>
      </c>
      <c r="F1680" s="12">
        <v>6.41</v>
      </c>
      <c r="G1680" s="11">
        <v>17537.0</v>
      </c>
      <c r="H1680" s="11">
        <v>2735.0</v>
      </c>
    </row>
    <row r="1681">
      <c r="A1681" s="10">
        <v>44049.0</v>
      </c>
      <c r="B1681" s="11">
        <v>1694.0</v>
      </c>
      <c r="C1681" s="12">
        <v>0.3768</v>
      </c>
      <c r="D1681" s="2">
        <v>0.0033333333333333335</v>
      </c>
      <c r="E1681" s="12">
        <v>1.13</v>
      </c>
      <c r="F1681" s="12">
        <v>6.8</v>
      </c>
      <c r="G1681" s="11">
        <v>13024.0</v>
      </c>
      <c r="H1681" s="11">
        <v>1916.0</v>
      </c>
    </row>
    <row r="1682">
      <c r="A1682" s="10">
        <v>44050.0</v>
      </c>
      <c r="B1682" s="11">
        <v>2944.0</v>
      </c>
      <c r="C1682" s="12">
        <v>0.2469</v>
      </c>
      <c r="D1682" s="2">
        <v>0.0038310185185185183</v>
      </c>
      <c r="E1682" s="12">
        <v>1.15</v>
      </c>
      <c r="F1682" s="12">
        <v>9.26</v>
      </c>
      <c r="G1682" s="11">
        <v>31256.0</v>
      </c>
      <c r="H1682" s="11">
        <v>3374.0</v>
      </c>
    </row>
    <row r="1683">
      <c r="A1683" s="10">
        <v>44051.0</v>
      </c>
      <c r="B1683" s="11">
        <v>1389.0</v>
      </c>
      <c r="C1683" s="12">
        <v>0.3706</v>
      </c>
      <c r="D1683" s="2">
        <v>0.0022453703703703702</v>
      </c>
      <c r="E1683" s="12">
        <v>1.16</v>
      </c>
      <c r="F1683" s="12">
        <v>5.71</v>
      </c>
      <c r="G1683" s="11">
        <v>9206.0</v>
      </c>
      <c r="H1683" s="11">
        <v>1611.0</v>
      </c>
    </row>
    <row r="1684">
      <c r="A1684" s="10">
        <v>44052.0</v>
      </c>
      <c r="B1684" s="11">
        <v>1250.0</v>
      </c>
      <c r="C1684" s="12">
        <v>0.4197</v>
      </c>
      <c r="D1684" s="2">
        <v>0.0021643518518518518</v>
      </c>
      <c r="E1684" s="12">
        <v>1.11</v>
      </c>
      <c r="F1684" s="12">
        <v>4.58</v>
      </c>
      <c r="G1684" s="11">
        <v>6360.0</v>
      </c>
      <c r="H1684" s="11">
        <v>1389.0</v>
      </c>
    </row>
    <row r="1685">
      <c r="A1685" s="10">
        <v>44053.0</v>
      </c>
      <c r="B1685" s="11">
        <v>2222.0</v>
      </c>
      <c r="C1685" s="12">
        <v>0.3335</v>
      </c>
      <c r="D1685" s="2">
        <v>0.0025925925925925925</v>
      </c>
      <c r="E1685" s="12">
        <v>1.18</v>
      </c>
      <c r="F1685" s="12">
        <v>5.29</v>
      </c>
      <c r="G1685" s="11">
        <v>13871.0</v>
      </c>
      <c r="H1685" s="11">
        <v>2624.0</v>
      </c>
    </row>
    <row r="1686">
      <c r="A1686" s="10">
        <v>44054.0</v>
      </c>
      <c r="B1686" s="11">
        <v>1666.0</v>
      </c>
      <c r="C1686" s="12">
        <v>0.438</v>
      </c>
      <c r="D1686" s="2">
        <v>0.002210648148148148</v>
      </c>
      <c r="E1686" s="12">
        <v>1.14</v>
      </c>
      <c r="F1686" s="12">
        <v>4.87</v>
      </c>
      <c r="G1686" s="11">
        <v>9262.0</v>
      </c>
      <c r="H1686" s="11">
        <v>1902.0</v>
      </c>
    </row>
    <row r="1687">
      <c r="A1687" s="10">
        <v>44055.0</v>
      </c>
      <c r="B1687" s="11">
        <v>1597.0</v>
      </c>
      <c r="C1687" s="12">
        <v>0.4181</v>
      </c>
      <c r="D1687" s="2">
        <v>0.0024652777777777776</v>
      </c>
      <c r="E1687" s="12">
        <v>1.17</v>
      </c>
      <c r="F1687" s="12">
        <v>5.57</v>
      </c>
      <c r="G1687" s="11">
        <v>10358.0</v>
      </c>
      <c r="H1687" s="11">
        <v>1861.0</v>
      </c>
    </row>
    <row r="1688">
      <c r="A1688" s="10">
        <v>44056.0</v>
      </c>
      <c r="B1688" s="11">
        <v>1514.0</v>
      </c>
      <c r="C1688" s="12">
        <v>0.3122</v>
      </c>
      <c r="D1688" s="2">
        <v>0.0029976851851851853</v>
      </c>
      <c r="E1688" s="12">
        <v>1.15</v>
      </c>
      <c r="F1688" s="12">
        <v>6.31</v>
      </c>
      <c r="G1688" s="11">
        <v>10956.0</v>
      </c>
      <c r="H1688" s="11">
        <v>1736.0</v>
      </c>
    </row>
    <row r="1689">
      <c r="A1689" s="10">
        <v>44057.0</v>
      </c>
      <c r="B1689" s="11">
        <v>1389.0</v>
      </c>
      <c r="C1689" s="12">
        <v>0.4089</v>
      </c>
      <c r="D1689" s="2">
        <v>0.003275462962962963</v>
      </c>
      <c r="E1689" s="12">
        <v>1.15</v>
      </c>
      <c r="F1689" s="12">
        <v>5.94</v>
      </c>
      <c r="G1689" s="11">
        <v>9484.0</v>
      </c>
      <c r="H1689" s="11">
        <v>1597.0</v>
      </c>
    </row>
    <row r="1690">
      <c r="A1690" s="10">
        <v>44058.0</v>
      </c>
      <c r="B1690" s="11">
        <v>930.0</v>
      </c>
      <c r="C1690" s="12">
        <v>0.45</v>
      </c>
      <c r="D1690" s="2">
        <v>0.002199074074074074</v>
      </c>
      <c r="E1690" s="12">
        <v>1.19</v>
      </c>
      <c r="F1690" s="12">
        <v>5.2</v>
      </c>
      <c r="G1690" s="11">
        <v>5776.0</v>
      </c>
      <c r="H1690" s="11">
        <v>1111.0</v>
      </c>
    </row>
    <row r="1691">
      <c r="A1691" s="10">
        <v>44059.0</v>
      </c>
      <c r="B1691" s="11">
        <v>778.0</v>
      </c>
      <c r="C1691" s="12">
        <v>0.4308</v>
      </c>
      <c r="D1691" s="2">
        <v>0.001574074074074074</v>
      </c>
      <c r="E1691" s="12">
        <v>1.16</v>
      </c>
      <c r="F1691" s="12">
        <v>4.72</v>
      </c>
      <c r="G1691" s="11">
        <v>4263.0</v>
      </c>
      <c r="H1691" s="11">
        <v>903.0</v>
      </c>
    </row>
    <row r="1692">
      <c r="A1692" s="10">
        <v>44060.0</v>
      </c>
      <c r="B1692" s="11">
        <v>1625.0</v>
      </c>
      <c r="C1692" s="12">
        <v>0.4031</v>
      </c>
      <c r="D1692" s="2">
        <v>0.0016087962962962963</v>
      </c>
      <c r="E1692" s="12">
        <v>1.1</v>
      </c>
      <c r="F1692" s="12">
        <v>4.7</v>
      </c>
      <c r="G1692" s="11">
        <v>8415.0</v>
      </c>
      <c r="H1692" s="11">
        <v>1791.0</v>
      </c>
    </row>
    <row r="1693">
      <c r="A1693" s="10">
        <v>44061.0</v>
      </c>
      <c r="B1693" s="11">
        <v>1458.0</v>
      </c>
      <c r="C1693" s="12">
        <v>0.3804</v>
      </c>
      <c r="D1693" s="2">
        <v>0.003761574074074074</v>
      </c>
      <c r="E1693" s="12">
        <v>1.15</v>
      </c>
      <c r="F1693" s="12">
        <v>7.42</v>
      </c>
      <c r="G1693" s="11">
        <v>12469.0</v>
      </c>
      <c r="H1693" s="11">
        <v>1680.0</v>
      </c>
    </row>
    <row r="1694">
      <c r="A1694" s="10">
        <v>44062.0</v>
      </c>
      <c r="B1694" s="11">
        <v>2180.0</v>
      </c>
      <c r="C1694" s="12">
        <v>0.4047</v>
      </c>
      <c r="D1694" s="2">
        <v>0.0023032407407407407</v>
      </c>
      <c r="E1694" s="12">
        <v>1.1</v>
      </c>
      <c r="F1694" s="12">
        <v>5.65</v>
      </c>
      <c r="G1694" s="11">
        <v>13580.0</v>
      </c>
      <c r="H1694" s="11">
        <v>2402.0</v>
      </c>
    </row>
    <row r="1695">
      <c r="A1695" s="10">
        <v>44063.0</v>
      </c>
      <c r="B1695" s="11">
        <v>1527.0</v>
      </c>
      <c r="C1695" s="12">
        <v>0.4015</v>
      </c>
      <c r="D1695" s="2">
        <v>0.0021296296296296298</v>
      </c>
      <c r="E1695" s="12">
        <v>1.2</v>
      </c>
      <c r="F1695" s="12">
        <v>4.52</v>
      </c>
      <c r="G1695" s="11">
        <v>8290.0</v>
      </c>
      <c r="H1695" s="11">
        <v>1833.0</v>
      </c>
    </row>
    <row r="1696">
      <c r="A1696" s="10">
        <v>44064.0</v>
      </c>
      <c r="B1696" s="11">
        <v>1444.0</v>
      </c>
      <c r="C1696" s="12">
        <v>0.4521</v>
      </c>
      <c r="D1696" s="2">
        <v>0.002523148148148148</v>
      </c>
      <c r="E1696" s="12">
        <v>1.11</v>
      </c>
      <c r="F1696" s="12">
        <v>5.89</v>
      </c>
      <c r="G1696" s="11">
        <v>9414.0</v>
      </c>
      <c r="H1696" s="11">
        <v>1597.0</v>
      </c>
    </row>
    <row r="1697">
      <c r="A1697" s="10">
        <v>44065.0</v>
      </c>
      <c r="B1697" s="11">
        <v>889.0</v>
      </c>
      <c r="C1697" s="12">
        <v>0.5764</v>
      </c>
      <c r="D1697" s="2">
        <v>8.217592592592593E-4</v>
      </c>
      <c r="E1697" s="12">
        <v>1.03</v>
      </c>
      <c r="F1697" s="12">
        <v>3.05</v>
      </c>
      <c r="G1697" s="11">
        <v>2791.0</v>
      </c>
      <c r="H1697" s="11">
        <v>916.0</v>
      </c>
    </row>
    <row r="1698">
      <c r="A1698" s="10">
        <v>44066.0</v>
      </c>
      <c r="B1698" s="11">
        <v>903.0</v>
      </c>
      <c r="C1698" s="12">
        <v>0.514</v>
      </c>
      <c r="D1698" s="2">
        <v>0.0022337962962962962</v>
      </c>
      <c r="E1698" s="12">
        <v>1.11</v>
      </c>
      <c r="F1698" s="12">
        <v>4.1</v>
      </c>
      <c r="G1698" s="11">
        <v>4096.0</v>
      </c>
      <c r="H1698" s="11">
        <v>1000.0</v>
      </c>
    </row>
    <row r="1699">
      <c r="A1699" s="10">
        <v>44067.0</v>
      </c>
      <c r="B1699" s="11">
        <v>1333.0</v>
      </c>
      <c r="C1699" s="12">
        <v>0.467</v>
      </c>
      <c r="D1699" s="2">
        <v>0.0021412037037037038</v>
      </c>
      <c r="E1699" s="12">
        <v>1.11</v>
      </c>
      <c r="F1699" s="12">
        <v>4.4</v>
      </c>
      <c r="G1699" s="11">
        <v>6540.0</v>
      </c>
      <c r="H1699" s="11">
        <v>1486.0</v>
      </c>
    </row>
    <row r="1700">
      <c r="A1700" s="10">
        <v>44068.0</v>
      </c>
      <c r="B1700" s="11">
        <v>1430.0</v>
      </c>
      <c r="C1700" s="12">
        <v>0.3914</v>
      </c>
      <c r="D1700" s="2">
        <v>0.0023148148148148147</v>
      </c>
      <c r="E1700" s="12">
        <v>1.12</v>
      </c>
      <c r="F1700" s="12">
        <v>5.03</v>
      </c>
      <c r="G1700" s="11">
        <v>8040.0</v>
      </c>
      <c r="H1700" s="11">
        <v>1597.0</v>
      </c>
    </row>
    <row r="1701">
      <c r="A1701" s="10">
        <v>44069.0</v>
      </c>
      <c r="B1701" s="11">
        <v>1486.0</v>
      </c>
      <c r="C1701" s="12">
        <v>0.3792</v>
      </c>
      <c r="D1701" s="2">
        <v>0.0015277777777777779</v>
      </c>
      <c r="E1701" s="12">
        <v>1.16</v>
      </c>
      <c r="F1701" s="12">
        <v>5.02</v>
      </c>
      <c r="G1701" s="11">
        <v>8651.0</v>
      </c>
      <c r="H1701" s="11">
        <v>1722.0</v>
      </c>
    </row>
    <row r="1702">
      <c r="A1702" s="10">
        <v>44070.0</v>
      </c>
      <c r="B1702" s="11">
        <v>1541.0</v>
      </c>
      <c r="C1702" s="12">
        <v>0.3786</v>
      </c>
      <c r="D1702" s="2">
        <v>0.002534722222222222</v>
      </c>
      <c r="E1702" s="12">
        <v>1.19</v>
      </c>
      <c r="F1702" s="12">
        <v>8.2</v>
      </c>
      <c r="G1702" s="11">
        <v>15024.0</v>
      </c>
      <c r="H1702" s="11">
        <v>1833.0</v>
      </c>
    </row>
    <row r="1703">
      <c r="A1703" s="10">
        <v>44071.0</v>
      </c>
      <c r="B1703" s="11">
        <v>1250.0</v>
      </c>
      <c r="C1703" s="12">
        <v>0.3566</v>
      </c>
      <c r="D1703" s="2">
        <v>0.0024305555555555556</v>
      </c>
      <c r="E1703" s="12">
        <v>1.12</v>
      </c>
      <c r="F1703" s="12">
        <v>5.93</v>
      </c>
      <c r="G1703" s="11">
        <v>8317.0</v>
      </c>
      <c r="H1703" s="11">
        <v>1402.0</v>
      </c>
    </row>
    <row r="1704">
      <c r="A1704" s="10">
        <v>44072.0</v>
      </c>
      <c r="B1704" s="11">
        <v>889.0</v>
      </c>
      <c r="C1704" s="12">
        <v>0.4503</v>
      </c>
      <c r="D1704" s="2">
        <v>0.0015972222222222223</v>
      </c>
      <c r="E1704" s="12">
        <v>1.11</v>
      </c>
      <c r="F1704" s="12">
        <v>3.32</v>
      </c>
      <c r="G1704" s="11">
        <v>3277.0</v>
      </c>
      <c r="H1704" s="11">
        <v>986.0</v>
      </c>
    </row>
    <row r="1705">
      <c r="A1705" s="10">
        <v>44073.0</v>
      </c>
      <c r="B1705" s="11">
        <v>972.0</v>
      </c>
      <c r="C1705" s="12">
        <v>0.4488</v>
      </c>
      <c r="D1705" s="2">
        <v>0.0021875</v>
      </c>
      <c r="E1705" s="12">
        <v>1.11</v>
      </c>
      <c r="F1705" s="12">
        <v>3.96</v>
      </c>
      <c r="G1705" s="11">
        <v>4291.0</v>
      </c>
      <c r="H1705" s="11">
        <v>1083.0</v>
      </c>
    </row>
    <row r="1706">
      <c r="A1706" s="10">
        <v>44074.0</v>
      </c>
      <c r="B1706" s="11">
        <v>1389.0</v>
      </c>
      <c r="C1706" s="12">
        <v>0.3667</v>
      </c>
      <c r="D1706" s="2">
        <v>0.0021875</v>
      </c>
      <c r="E1706" s="12">
        <v>1.2</v>
      </c>
      <c r="F1706" s="12">
        <v>4.73</v>
      </c>
      <c r="G1706" s="11">
        <v>7887.0</v>
      </c>
      <c r="H1706" s="11">
        <v>1666.0</v>
      </c>
    </row>
    <row r="1707">
      <c r="A1707" s="10">
        <v>44075.0</v>
      </c>
      <c r="B1707" s="11">
        <v>1389.0</v>
      </c>
      <c r="C1707" s="12">
        <v>0.4861</v>
      </c>
      <c r="D1707" s="2">
        <v>0.0015277777777777779</v>
      </c>
      <c r="E1707" s="12">
        <v>1.09</v>
      </c>
      <c r="F1707" s="12">
        <v>4.61</v>
      </c>
      <c r="G1707" s="11">
        <v>6984.0</v>
      </c>
      <c r="H1707" s="11">
        <v>1514.0</v>
      </c>
    </row>
    <row r="1708">
      <c r="A1708" s="10">
        <v>44076.0</v>
      </c>
      <c r="B1708" s="11">
        <v>1541.0</v>
      </c>
      <c r="C1708" s="12">
        <v>0.4145</v>
      </c>
      <c r="D1708" s="2">
        <v>0.0023263888888888887</v>
      </c>
      <c r="E1708" s="12">
        <v>1.11</v>
      </c>
      <c r="F1708" s="12">
        <v>4.63</v>
      </c>
      <c r="G1708" s="11">
        <v>7915.0</v>
      </c>
      <c r="H1708" s="11">
        <v>1708.0</v>
      </c>
    </row>
    <row r="1709">
      <c r="A1709" s="10">
        <v>44077.0</v>
      </c>
      <c r="B1709" s="11">
        <v>1305.0</v>
      </c>
      <c r="C1709" s="12">
        <v>0.3429</v>
      </c>
      <c r="D1709" s="2">
        <v>0.0018981481481481482</v>
      </c>
      <c r="E1709" s="12">
        <v>1.12</v>
      </c>
      <c r="F1709" s="12">
        <v>4.46</v>
      </c>
      <c r="G1709" s="11">
        <v>6498.0</v>
      </c>
      <c r="H1709" s="11">
        <v>1458.0</v>
      </c>
    </row>
    <row r="1710">
      <c r="A1710" s="10">
        <v>44078.0</v>
      </c>
      <c r="B1710" s="11">
        <v>1028.0</v>
      </c>
      <c r="C1710" s="12">
        <v>0.4705</v>
      </c>
      <c r="D1710" s="2">
        <v>0.0016666666666666668</v>
      </c>
      <c r="E1710" s="12">
        <v>1.12</v>
      </c>
      <c r="F1710" s="12">
        <v>4.76</v>
      </c>
      <c r="G1710" s="11">
        <v>5485.0</v>
      </c>
      <c r="H1710" s="11">
        <v>1152.0</v>
      </c>
    </row>
    <row r="1711">
      <c r="A1711" s="10">
        <v>44079.0</v>
      </c>
      <c r="B1711" s="11">
        <v>847.0</v>
      </c>
      <c r="C1711" s="12">
        <v>0.5306</v>
      </c>
      <c r="D1711" s="2">
        <v>0.0017824074074074075</v>
      </c>
      <c r="E1711" s="12">
        <v>1.08</v>
      </c>
      <c r="F1711" s="12">
        <v>4.34</v>
      </c>
      <c r="G1711" s="11">
        <v>3971.0</v>
      </c>
      <c r="H1711" s="11">
        <v>916.0</v>
      </c>
    </row>
    <row r="1712">
      <c r="A1712" s="10">
        <v>44080.0</v>
      </c>
      <c r="B1712" s="11">
        <v>944.0</v>
      </c>
      <c r="C1712" s="12">
        <v>0.4056</v>
      </c>
      <c r="D1712" s="2">
        <v>0.0024074074074074076</v>
      </c>
      <c r="E1712" s="12">
        <v>1.09</v>
      </c>
      <c r="F1712" s="12">
        <v>5.89</v>
      </c>
      <c r="G1712" s="11">
        <v>6054.0</v>
      </c>
      <c r="H1712" s="11">
        <v>1028.0</v>
      </c>
    </row>
    <row r="1713">
      <c r="A1713" s="10">
        <v>44081.0</v>
      </c>
      <c r="B1713" s="11">
        <v>1111.0</v>
      </c>
      <c r="C1713" s="12">
        <v>0.4408</v>
      </c>
      <c r="D1713" s="2">
        <v>0.001400462962962963</v>
      </c>
      <c r="E1713" s="12">
        <v>1.05</v>
      </c>
      <c r="F1713" s="12">
        <v>3.88</v>
      </c>
      <c r="G1713" s="11">
        <v>4527.0</v>
      </c>
      <c r="H1713" s="11">
        <v>1166.0</v>
      </c>
    </row>
    <row r="1714">
      <c r="A1714" s="10">
        <v>44082.0</v>
      </c>
      <c r="B1714" s="11">
        <v>1597.0</v>
      </c>
      <c r="C1714" s="12">
        <v>0.3562</v>
      </c>
      <c r="D1714" s="2">
        <v>0.002013888888888889</v>
      </c>
      <c r="E1714" s="12">
        <v>1.15</v>
      </c>
      <c r="F1714" s="12">
        <v>5.7</v>
      </c>
      <c r="G1714" s="11">
        <v>10442.0</v>
      </c>
      <c r="H1714" s="11">
        <v>1833.0</v>
      </c>
    </row>
    <row r="1715">
      <c r="A1715" s="10">
        <v>44083.0</v>
      </c>
      <c r="B1715" s="11">
        <v>1611.0</v>
      </c>
      <c r="C1715" s="12">
        <v>0.4345</v>
      </c>
      <c r="D1715" s="2">
        <v>0.0016666666666666668</v>
      </c>
      <c r="E1715" s="12">
        <v>1.05</v>
      </c>
      <c r="F1715" s="12">
        <v>6.3</v>
      </c>
      <c r="G1715" s="11">
        <v>10664.0</v>
      </c>
      <c r="H1715" s="11">
        <v>1694.0</v>
      </c>
    </row>
    <row r="1716">
      <c r="A1716" s="10">
        <v>44084.0</v>
      </c>
      <c r="B1716" s="11">
        <v>1805.0</v>
      </c>
      <c r="C1716" s="12">
        <v>0.3973</v>
      </c>
      <c r="D1716" s="2">
        <v>0.0038425925925925928</v>
      </c>
      <c r="E1716" s="12">
        <v>1.08</v>
      </c>
      <c r="F1716" s="12">
        <v>6.52</v>
      </c>
      <c r="G1716" s="11">
        <v>12775.0</v>
      </c>
      <c r="H1716" s="11">
        <v>1958.0</v>
      </c>
    </row>
    <row r="1717">
      <c r="A1717" s="10">
        <v>44085.0</v>
      </c>
      <c r="B1717" s="11">
        <v>1680.0</v>
      </c>
      <c r="C1717" s="12">
        <v>0.4443</v>
      </c>
      <c r="D1717" s="2">
        <v>0.002534722222222222</v>
      </c>
      <c r="E1717" s="12">
        <v>1.12</v>
      </c>
      <c r="F1717" s="12">
        <v>5.95</v>
      </c>
      <c r="G1717" s="11">
        <v>11150.0</v>
      </c>
      <c r="H1717" s="11">
        <v>1875.0</v>
      </c>
    </row>
    <row r="1718">
      <c r="A1718" s="10">
        <v>44086.0</v>
      </c>
      <c r="B1718" s="11">
        <v>986.0</v>
      </c>
      <c r="C1718" s="12">
        <v>0.4693</v>
      </c>
      <c r="D1718" s="2">
        <v>0.0026157407407407405</v>
      </c>
      <c r="E1718" s="12">
        <v>1.14</v>
      </c>
      <c r="F1718" s="12">
        <v>5.18</v>
      </c>
      <c r="G1718" s="11">
        <v>5832.0</v>
      </c>
      <c r="H1718" s="11">
        <v>1125.0</v>
      </c>
    </row>
    <row r="1719">
      <c r="A1719" s="10">
        <v>44087.0</v>
      </c>
      <c r="B1719" s="11">
        <v>1097.0</v>
      </c>
      <c r="C1719" s="12">
        <v>0.5701</v>
      </c>
      <c r="D1719" s="2">
        <v>0.0024305555555555556</v>
      </c>
      <c r="E1719" s="12">
        <v>1.18</v>
      </c>
      <c r="F1719" s="12">
        <v>3.39</v>
      </c>
      <c r="G1719" s="11">
        <v>4374.0</v>
      </c>
      <c r="H1719" s="11">
        <v>1291.0</v>
      </c>
    </row>
    <row r="1720">
      <c r="A1720" s="10">
        <v>44088.0</v>
      </c>
      <c r="B1720" s="11">
        <v>1902.0</v>
      </c>
      <c r="C1720" s="12">
        <v>0.4967</v>
      </c>
      <c r="D1720" s="2">
        <v>0.001736111111111111</v>
      </c>
      <c r="E1720" s="12">
        <v>1.12</v>
      </c>
      <c r="F1720" s="12">
        <v>4.05</v>
      </c>
      <c r="G1720" s="11">
        <v>8595.0</v>
      </c>
      <c r="H1720" s="11">
        <v>2124.0</v>
      </c>
    </row>
    <row r="1721">
      <c r="A1721" s="10">
        <v>44089.0</v>
      </c>
      <c r="B1721" s="11">
        <v>1736.0</v>
      </c>
      <c r="C1721" s="12">
        <v>0.4694</v>
      </c>
      <c r="D1721" s="2">
        <v>0.002511574074074074</v>
      </c>
      <c r="E1721" s="12">
        <v>1.18</v>
      </c>
      <c r="F1721" s="12">
        <v>8.33</v>
      </c>
      <c r="G1721" s="11">
        <v>17010.0</v>
      </c>
      <c r="H1721" s="11">
        <v>2041.0</v>
      </c>
    </row>
    <row r="1722">
      <c r="A1722" s="10">
        <v>44090.0</v>
      </c>
      <c r="B1722" s="11">
        <v>1569.0</v>
      </c>
      <c r="C1722" s="12">
        <v>0.4357</v>
      </c>
      <c r="D1722" s="2">
        <v>0.0022453703703703702</v>
      </c>
      <c r="E1722" s="12">
        <v>1.24</v>
      </c>
      <c r="F1722" s="12">
        <v>5.56</v>
      </c>
      <c r="G1722" s="11">
        <v>10817.0</v>
      </c>
      <c r="H1722" s="11">
        <v>1944.0</v>
      </c>
    </row>
    <row r="1723">
      <c r="A1723" s="10">
        <v>44091.0</v>
      </c>
      <c r="B1723" s="11">
        <v>1652.0</v>
      </c>
      <c r="C1723" s="12">
        <v>0.4141</v>
      </c>
      <c r="D1723" s="2">
        <v>0.003125</v>
      </c>
      <c r="E1723" s="12">
        <v>1.18</v>
      </c>
      <c r="F1723" s="12">
        <v>5.36</v>
      </c>
      <c r="G1723" s="11">
        <v>10414.0</v>
      </c>
      <c r="H1723" s="11">
        <v>1944.0</v>
      </c>
    </row>
    <row r="1724">
      <c r="A1724" s="10">
        <v>44092.0</v>
      </c>
      <c r="B1724" s="11">
        <v>1444.0</v>
      </c>
      <c r="C1724" s="12">
        <v>0.3305</v>
      </c>
      <c r="D1724" s="2">
        <v>0.0025810185185185185</v>
      </c>
      <c r="E1724" s="12">
        <v>1.08</v>
      </c>
      <c r="F1724" s="12">
        <v>5.72</v>
      </c>
      <c r="G1724" s="11">
        <v>8901.0</v>
      </c>
      <c r="H1724" s="11">
        <v>1555.0</v>
      </c>
    </row>
    <row r="1725">
      <c r="A1725" s="10">
        <v>44093.0</v>
      </c>
      <c r="B1725" s="11">
        <v>764.0</v>
      </c>
      <c r="C1725" s="12">
        <v>0.4691</v>
      </c>
      <c r="D1725" s="2">
        <v>0.0015972222222222223</v>
      </c>
      <c r="E1725" s="12">
        <v>1.16</v>
      </c>
      <c r="F1725" s="12">
        <v>3.97</v>
      </c>
      <c r="G1725" s="11">
        <v>3527.0</v>
      </c>
      <c r="H1725" s="11">
        <v>889.0</v>
      </c>
    </row>
    <row r="1726">
      <c r="A1726" s="10">
        <v>44094.0</v>
      </c>
      <c r="B1726" s="11">
        <v>1000.0</v>
      </c>
      <c r="C1726" s="12">
        <v>0.4739</v>
      </c>
      <c r="D1726" s="2">
        <v>0.0013078703703703703</v>
      </c>
      <c r="E1726" s="12">
        <v>1.06</v>
      </c>
      <c r="F1726" s="12">
        <v>4.01</v>
      </c>
      <c r="G1726" s="11">
        <v>4235.0</v>
      </c>
      <c r="H1726" s="11">
        <v>1055.0</v>
      </c>
    </row>
    <row r="1727">
      <c r="A1727" s="10">
        <v>44095.0</v>
      </c>
      <c r="B1727" s="11">
        <v>1625.0</v>
      </c>
      <c r="C1727" s="12">
        <v>0.4551</v>
      </c>
      <c r="D1727" s="2">
        <v>0.0015509259259259259</v>
      </c>
      <c r="E1727" s="12">
        <v>1.15</v>
      </c>
      <c r="F1727" s="12">
        <v>4.5</v>
      </c>
      <c r="G1727" s="11">
        <v>8373.0</v>
      </c>
      <c r="H1727" s="11">
        <v>1861.0</v>
      </c>
    </row>
    <row r="1728">
      <c r="A1728" s="10">
        <v>44096.0</v>
      </c>
      <c r="B1728" s="11">
        <v>1666.0</v>
      </c>
      <c r="C1728" s="12">
        <v>0.431</v>
      </c>
      <c r="D1728" s="2">
        <v>0.0017939814814814815</v>
      </c>
      <c r="E1728" s="12">
        <v>1.08</v>
      </c>
      <c r="F1728" s="12">
        <v>8.07</v>
      </c>
      <c r="G1728" s="11">
        <v>14566.0</v>
      </c>
      <c r="H1728" s="11">
        <v>1805.0</v>
      </c>
    </row>
    <row r="1729">
      <c r="A1729" s="10">
        <v>44097.0</v>
      </c>
      <c r="B1729" s="11">
        <v>1527.0</v>
      </c>
      <c r="C1729" s="12">
        <v>0.3984</v>
      </c>
      <c r="D1729" s="2">
        <v>0.0024305555555555556</v>
      </c>
      <c r="E1729" s="12">
        <v>1.16</v>
      </c>
      <c r="F1729" s="12">
        <v>4.92</v>
      </c>
      <c r="G1729" s="11">
        <v>8748.0</v>
      </c>
      <c r="H1729" s="11">
        <v>1777.0</v>
      </c>
    </row>
    <row r="1730">
      <c r="A1730" s="10">
        <v>44098.0</v>
      </c>
      <c r="B1730" s="11">
        <v>1486.0</v>
      </c>
      <c r="C1730" s="12">
        <v>0.4179</v>
      </c>
      <c r="D1730" s="2">
        <v>0.0026041666666666665</v>
      </c>
      <c r="E1730" s="12">
        <v>1.14</v>
      </c>
      <c r="F1730" s="12">
        <v>4.18</v>
      </c>
      <c r="G1730" s="11">
        <v>7082.0</v>
      </c>
      <c r="H1730" s="11">
        <v>1694.0</v>
      </c>
    </row>
    <row r="1731">
      <c r="A1731" s="10">
        <v>44099.0</v>
      </c>
      <c r="B1731" s="11">
        <v>1597.0</v>
      </c>
      <c r="C1731" s="12">
        <v>0.3868</v>
      </c>
      <c r="D1731" s="2">
        <v>0.0024074074074074076</v>
      </c>
      <c r="E1731" s="12">
        <v>1.08</v>
      </c>
      <c r="F1731" s="12">
        <v>4.96</v>
      </c>
      <c r="G1731" s="11">
        <v>8540.0</v>
      </c>
      <c r="H1731" s="11">
        <v>1722.0</v>
      </c>
    </row>
    <row r="1732">
      <c r="A1732" s="10">
        <v>44100.0</v>
      </c>
      <c r="B1732" s="11">
        <v>1000.0</v>
      </c>
      <c r="C1732" s="12">
        <v>0.439</v>
      </c>
      <c r="D1732" s="2">
        <v>0.0021412037037037038</v>
      </c>
      <c r="E1732" s="12">
        <v>1.14</v>
      </c>
      <c r="F1732" s="12">
        <v>6.72</v>
      </c>
      <c r="G1732" s="11">
        <v>7651.0</v>
      </c>
      <c r="H1732" s="11">
        <v>1139.0</v>
      </c>
    </row>
    <row r="1733">
      <c r="A1733" s="10">
        <v>44101.0</v>
      </c>
      <c r="B1733" s="11">
        <v>1055.0</v>
      </c>
      <c r="C1733" s="12">
        <v>0.3297</v>
      </c>
      <c r="D1733" s="2">
        <v>0.0032060185185185186</v>
      </c>
      <c r="E1733" s="12">
        <v>1.12</v>
      </c>
      <c r="F1733" s="12">
        <v>8.68</v>
      </c>
      <c r="G1733" s="11">
        <v>10247.0</v>
      </c>
      <c r="H1733" s="11">
        <v>1180.0</v>
      </c>
    </row>
    <row r="1734">
      <c r="A1734" s="10">
        <v>44102.0</v>
      </c>
      <c r="B1734" s="11">
        <v>1569.0</v>
      </c>
      <c r="C1734" s="12">
        <v>0.3757</v>
      </c>
      <c r="D1734" s="2">
        <v>0.0026157407407407405</v>
      </c>
      <c r="E1734" s="12">
        <v>1.18</v>
      </c>
      <c r="F1734" s="12">
        <v>5.35</v>
      </c>
      <c r="G1734" s="11">
        <v>9886.0</v>
      </c>
      <c r="H1734" s="11">
        <v>1847.0</v>
      </c>
    </row>
    <row r="1735">
      <c r="A1735" s="10">
        <v>44103.0</v>
      </c>
      <c r="B1735" s="11">
        <v>1930.0</v>
      </c>
      <c r="C1735" s="12">
        <v>0.3582</v>
      </c>
      <c r="D1735" s="2">
        <v>0.002534722222222222</v>
      </c>
      <c r="E1735" s="12">
        <v>1.14</v>
      </c>
      <c r="F1735" s="12">
        <v>6.63</v>
      </c>
      <c r="G1735" s="11">
        <v>14649.0</v>
      </c>
      <c r="H1735" s="11">
        <v>2208.0</v>
      </c>
    </row>
    <row r="1736">
      <c r="A1736" s="10">
        <v>44104.0</v>
      </c>
      <c r="B1736" s="11">
        <v>2194.0</v>
      </c>
      <c r="C1736" s="12">
        <v>0.4358</v>
      </c>
      <c r="D1736" s="2">
        <v>0.0018402777777777777</v>
      </c>
      <c r="E1736" s="12">
        <v>1.13</v>
      </c>
      <c r="F1736" s="12">
        <v>4.12</v>
      </c>
      <c r="G1736" s="11">
        <v>10234.0</v>
      </c>
      <c r="H1736" s="11">
        <v>2485.0</v>
      </c>
    </row>
    <row r="1737">
      <c r="A1737" s="10">
        <v>44105.0</v>
      </c>
      <c r="B1737" s="11">
        <v>2027.0</v>
      </c>
      <c r="C1737" s="12">
        <v>0.3974</v>
      </c>
      <c r="D1737" s="2">
        <v>0.0018402777777777777</v>
      </c>
      <c r="E1737" s="12">
        <v>1.14</v>
      </c>
      <c r="F1737" s="12">
        <v>4.88</v>
      </c>
      <c r="G1737" s="11">
        <v>11247.0</v>
      </c>
      <c r="H1737" s="11">
        <v>2305.0</v>
      </c>
    </row>
    <row r="1738">
      <c r="A1738" s="10">
        <v>44106.0</v>
      </c>
      <c r="B1738" s="11">
        <v>1652.0</v>
      </c>
      <c r="C1738" s="12">
        <v>0.3412</v>
      </c>
      <c r="D1738" s="2">
        <v>0.0020486111111111113</v>
      </c>
      <c r="E1738" s="12">
        <v>1.08</v>
      </c>
      <c r="F1738" s="12">
        <v>6.15</v>
      </c>
      <c r="G1738" s="11">
        <v>11011.0</v>
      </c>
      <c r="H1738" s="11">
        <v>1791.0</v>
      </c>
    </row>
    <row r="1739">
      <c r="A1739" s="10">
        <v>44107.0</v>
      </c>
      <c r="B1739" s="11">
        <v>847.0</v>
      </c>
      <c r="C1739" s="12">
        <v>0.5</v>
      </c>
      <c r="D1739" s="2">
        <v>0.0010763888888888889</v>
      </c>
      <c r="E1739" s="12">
        <v>1.18</v>
      </c>
      <c r="F1739" s="12">
        <v>3.47</v>
      </c>
      <c r="G1739" s="11">
        <v>3471.0</v>
      </c>
      <c r="H1739" s="11">
        <v>1000.0</v>
      </c>
    </row>
    <row r="1740">
      <c r="A1740" s="10">
        <v>44108.0</v>
      </c>
      <c r="B1740" s="11">
        <v>1069.0</v>
      </c>
      <c r="C1740" s="12">
        <v>0.4462</v>
      </c>
      <c r="D1740" s="2">
        <v>0.0014583333333333334</v>
      </c>
      <c r="E1740" s="12">
        <v>1.08</v>
      </c>
      <c r="F1740" s="12">
        <v>3.98</v>
      </c>
      <c r="G1740" s="11">
        <v>4582.0</v>
      </c>
      <c r="H1740" s="11">
        <v>1152.0</v>
      </c>
    </row>
    <row r="1741">
      <c r="A1741" s="10">
        <v>44109.0</v>
      </c>
      <c r="B1741" s="11">
        <v>1902.0</v>
      </c>
      <c r="C1741" s="12">
        <v>0.4313</v>
      </c>
      <c r="D1741" s="2">
        <v>0.002199074074074074</v>
      </c>
      <c r="E1741" s="12">
        <v>1.12</v>
      </c>
      <c r="F1741" s="12">
        <v>6.07</v>
      </c>
      <c r="G1741" s="11">
        <v>12900.0</v>
      </c>
      <c r="H1741" s="11">
        <v>2124.0</v>
      </c>
    </row>
    <row r="1742">
      <c r="A1742" s="10">
        <v>44110.0</v>
      </c>
      <c r="B1742" s="11">
        <v>2097.0</v>
      </c>
      <c r="C1742" s="12">
        <v>0.4385</v>
      </c>
      <c r="D1742" s="2">
        <v>0.001851851851851852</v>
      </c>
      <c r="E1742" s="12">
        <v>1.13</v>
      </c>
      <c r="F1742" s="12">
        <v>5.39</v>
      </c>
      <c r="G1742" s="11">
        <v>12802.0</v>
      </c>
      <c r="H1742" s="11">
        <v>2374.0</v>
      </c>
    </row>
    <row r="1743">
      <c r="A1743" s="10">
        <v>44111.0</v>
      </c>
      <c r="B1743" s="11">
        <v>1888.0</v>
      </c>
      <c r="C1743" s="12">
        <v>0.3975</v>
      </c>
      <c r="D1743" s="2">
        <v>0.0021412037037037038</v>
      </c>
      <c r="E1743" s="12">
        <v>1.15</v>
      </c>
      <c r="F1743" s="12">
        <v>6.12</v>
      </c>
      <c r="G1743" s="11">
        <v>13247.0</v>
      </c>
      <c r="H1743" s="11">
        <v>2166.0</v>
      </c>
    </row>
    <row r="1744">
      <c r="A1744" s="10">
        <v>44112.0</v>
      </c>
      <c r="B1744" s="11">
        <v>1722.0</v>
      </c>
      <c r="C1744" s="12">
        <v>0.4283</v>
      </c>
      <c r="D1744" s="2">
        <v>0.001875</v>
      </c>
      <c r="E1744" s="12">
        <v>1.07</v>
      </c>
      <c r="F1744" s="12">
        <v>3.96</v>
      </c>
      <c r="G1744" s="11">
        <v>7318.0</v>
      </c>
      <c r="H1744" s="11">
        <v>1847.0</v>
      </c>
    </row>
    <row r="1745">
      <c r="A1745" s="10">
        <v>44113.0</v>
      </c>
      <c r="B1745" s="11">
        <v>1972.0</v>
      </c>
      <c r="C1745" s="12">
        <v>0.3999</v>
      </c>
      <c r="D1745" s="2">
        <v>0.0020486111111111113</v>
      </c>
      <c r="E1745" s="12">
        <v>1.06</v>
      </c>
      <c r="F1745" s="12">
        <v>4.69</v>
      </c>
      <c r="G1745" s="11">
        <v>9761.0</v>
      </c>
      <c r="H1745" s="11">
        <v>2083.0</v>
      </c>
    </row>
    <row r="1746">
      <c r="A1746" s="10">
        <v>44114.0</v>
      </c>
      <c r="B1746" s="11">
        <v>1125.0</v>
      </c>
      <c r="C1746" s="12">
        <v>0.4371</v>
      </c>
      <c r="D1746" s="2">
        <v>0.0014583333333333334</v>
      </c>
      <c r="E1746" s="12">
        <v>1.07</v>
      </c>
      <c r="F1746" s="12">
        <v>3.46</v>
      </c>
      <c r="G1746" s="11">
        <v>4179.0</v>
      </c>
      <c r="H1746" s="11">
        <v>1208.0</v>
      </c>
    </row>
    <row r="1747">
      <c r="A1747" s="10">
        <v>44115.0</v>
      </c>
      <c r="B1747" s="11">
        <v>1194.0</v>
      </c>
      <c r="C1747" s="12">
        <v>0.3608</v>
      </c>
      <c r="D1747" s="2">
        <v>0.002395833333333333</v>
      </c>
      <c r="E1747" s="12">
        <v>1.13</v>
      </c>
      <c r="F1747" s="12">
        <v>5.64</v>
      </c>
      <c r="G1747" s="11">
        <v>7595.0</v>
      </c>
      <c r="H1747" s="11">
        <v>1347.0</v>
      </c>
    </row>
    <row r="1748">
      <c r="A1748" s="10">
        <v>44116.0</v>
      </c>
      <c r="B1748" s="11">
        <v>1777.0</v>
      </c>
      <c r="C1748" s="12">
        <v>0.3874</v>
      </c>
      <c r="D1748" s="2">
        <v>0.0030439814814814813</v>
      </c>
      <c r="E1748" s="12">
        <v>1.11</v>
      </c>
      <c r="F1748" s="12">
        <v>5.57</v>
      </c>
      <c r="G1748" s="11">
        <v>10983.0</v>
      </c>
      <c r="H1748" s="11">
        <v>1972.0</v>
      </c>
    </row>
    <row r="1749">
      <c r="A1749" s="10">
        <v>44117.0</v>
      </c>
      <c r="B1749" s="11">
        <v>1666.0</v>
      </c>
      <c r="C1749" s="12">
        <v>0.3914</v>
      </c>
      <c r="D1749" s="2">
        <v>0.0025694444444444445</v>
      </c>
      <c r="E1749" s="12">
        <v>1.15</v>
      </c>
      <c r="F1749" s="12">
        <v>5.95</v>
      </c>
      <c r="G1749" s="11">
        <v>11400.0</v>
      </c>
      <c r="H1749" s="11">
        <v>1916.0</v>
      </c>
    </row>
    <row r="1750">
      <c r="A1750" s="10">
        <v>44118.0</v>
      </c>
      <c r="B1750" s="11">
        <v>1847.0</v>
      </c>
      <c r="C1750" s="12">
        <v>0.3668</v>
      </c>
      <c r="D1750" s="2">
        <v>0.0024074074074074076</v>
      </c>
      <c r="E1750" s="12">
        <v>1.13</v>
      </c>
      <c r="F1750" s="12">
        <v>4.65</v>
      </c>
      <c r="G1750" s="11">
        <v>9692.0</v>
      </c>
      <c r="H1750" s="11">
        <v>2083.0</v>
      </c>
    </row>
    <row r="1751">
      <c r="A1751" s="10">
        <v>44119.0</v>
      </c>
      <c r="B1751" s="11">
        <v>1666.0</v>
      </c>
      <c r="C1751" s="12">
        <v>0.4566</v>
      </c>
      <c r="D1751" s="2">
        <v>0.0020833333333333333</v>
      </c>
      <c r="E1751" s="12">
        <v>1.06</v>
      </c>
      <c r="F1751" s="12">
        <v>4.77</v>
      </c>
      <c r="G1751" s="11">
        <v>8415.0</v>
      </c>
      <c r="H1751" s="11">
        <v>1763.0</v>
      </c>
    </row>
    <row r="1752">
      <c r="A1752" s="10">
        <v>44120.0</v>
      </c>
      <c r="B1752" s="11">
        <v>1597.0</v>
      </c>
      <c r="C1752" s="12">
        <v>0.3845</v>
      </c>
      <c r="D1752" s="2">
        <v>0.003738425925925926</v>
      </c>
      <c r="E1752" s="12">
        <v>1.13</v>
      </c>
      <c r="F1752" s="12">
        <v>6.88</v>
      </c>
      <c r="G1752" s="11">
        <v>12414.0</v>
      </c>
      <c r="H1752" s="11">
        <v>1805.0</v>
      </c>
    </row>
    <row r="1753">
      <c r="A1753" s="10">
        <v>44121.0</v>
      </c>
      <c r="B1753" s="11">
        <v>1097.0</v>
      </c>
      <c r="C1753" s="12">
        <v>0.4776</v>
      </c>
      <c r="D1753" s="2">
        <v>0.001863425925925926</v>
      </c>
      <c r="E1753" s="12">
        <v>1.14</v>
      </c>
      <c r="F1753" s="12">
        <v>4.75</v>
      </c>
      <c r="G1753" s="11">
        <v>5943.0</v>
      </c>
      <c r="H1753" s="11">
        <v>1250.0</v>
      </c>
    </row>
    <row r="1754">
      <c r="A1754" s="10">
        <v>44122.0</v>
      </c>
      <c r="B1754" s="11">
        <v>1250.0</v>
      </c>
      <c r="C1754" s="12">
        <v>0.4458</v>
      </c>
      <c r="D1754" s="2">
        <v>0.0031018518518518517</v>
      </c>
      <c r="E1754" s="12">
        <v>1.12</v>
      </c>
      <c r="F1754" s="12">
        <v>6.77</v>
      </c>
      <c r="G1754" s="11">
        <v>9498.0</v>
      </c>
      <c r="H1754" s="11">
        <v>1402.0</v>
      </c>
    </row>
    <row r="1755">
      <c r="A1755" s="10">
        <v>44123.0</v>
      </c>
      <c r="B1755" s="11">
        <v>2361.0</v>
      </c>
      <c r="C1755" s="12">
        <v>0.4677</v>
      </c>
      <c r="D1755" s="2">
        <v>0.0023032407407407407</v>
      </c>
      <c r="E1755" s="12">
        <v>1.09</v>
      </c>
      <c r="F1755" s="12">
        <v>5.42</v>
      </c>
      <c r="G1755" s="11">
        <v>14010.0</v>
      </c>
      <c r="H1755" s="11">
        <v>2583.0</v>
      </c>
    </row>
    <row r="1756">
      <c r="A1756" s="10">
        <v>44124.0</v>
      </c>
      <c r="B1756" s="11">
        <v>2416.0</v>
      </c>
      <c r="C1756" s="12">
        <v>0.4689</v>
      </c>
      <c r="D1756" s="2">
        <v>0.0017476851851851852</v>
      </c>
      <c r="E1756" s="12">
        <v>1.1</v>
      </c>
      <c r="F1756" s="12">
        <v>4.51</v>
      </c>
      <c r="G1756" s="11">
        <v>12011.0</v>
      </c>
      <c r="H1756" s="11">
        <v>2666.0</v>
      </c>
    </row>
    <row r="1757">
      <c r="A1757" s="10">
        <v>44125.0</v>
      </c>
      <c r="B1757" s="11">
        <v>2583.0</v>
      </c>
      <c r="C1757" s="12">
        <v>0.4676</v>
      </c>
      <c r="D1757" s="2">
        <v>0.002210648148148148</v>
      </c>
      <c r="E1757" s="12">
        <v>1.08</v>
      </c>
      <c r="F1757" s="12">
        <v>5.0</v>
      </c>
      <c r="G1757" s="11">
        <v>13955.0</v>
      </c>
      <c r="H1757" s="11">
        <v>2791.0</v>
      </c>
    </row>
    <row r="1758">
      <c r="A1758" s="10">
        <v>44126.0</v>
      </c>
      <c r="B1758" s="11">
        <v>2430.0</v>
      </c>
      <c r="C1758" s="12">
        <v>0.4589</v>
      </c>
      <c r="D1758" s="2">
        <v>0.0019560185185185184</v>
      </c>
      <c r="E1758" s="12">
        <v>1.05</v>
      </c>
      <c r="F1758" s="12">
        <v>5.16</v>
      </c>
      <c r="G1758" s="11">
        <v>13122.0</v>
      </c>
      <c r="H1758" s="11">
        <v>2541.0</v>
      </c>
    </row>
    <row r="1759">
      <c r="A1759" s="10">
        <v>44127.0</v>
      </c>
      <c r="B1759" s="11">
        <v>2180.0</v>
      </c>
      <c r="C1759" s="12">
        <v>0.4166</v>
      </c>
      <c r="D1759" s="2">
        <v>0.002002314814814815</v>
      </c>
      <c r="E1759" s="12">
        <v>1.15</v>
      </c>
      <c r="F1759" s="12">
        <v>4.38</v>
      </c>
      <c r="G1759" s="11">
        <v>10956.0</v>
      </c>
      <c r="H1759" s="11">
        <v>2499.0</v>
      </c>
    </row>
    <row r="1760">
      <c r="A1760" s="10">
        <v>44128.0</v>
      </c>
      <c r="B1760" s="11">
        <v>1569.0</v>
      </c>
      <c r="C1760" s="12">
        <v>0.508</v>
      </c>
      <c r="D1760" s="2">
        <v>0.0020717592592592593</v>
      </c>
      <c r="E1760" s="12">
        <v>1.12</v>
      </c>
      <c r="F1760" s="12">
        <v>4.87</v>
      </c>
      <c r="G1760" s="11">
        <v>8526.0</v>
      </c>
      <c r="H1760" s="11">
        <v>1750.0</v>
      </c>
    </row>
    <row r="1761">
      <c r="A1761" s="10">
        <v>44129.0</v>
      </c>
      <c r="B1761" s="11">
        <v>1736.0</v>
      </c>
      <c r="C1761" s="12">
        <v>0.4551</v>
      </c>
      <c r="D1761" s="2">
        <v>0.002337962962962963</v>
      </c>
      <c r="E1761" s="12">
        <v>1.07</v>
      </c>
      <c r="F1761" s="12">
        <v>6.51</v>
      </c>
      <c r="G1761" s="11">
        <v>12108.0</v>
      </c>
      <c r="H1761" s="11">
        <v>1861.0</v>
      </c>
    </row>
    <row r="1762">
      <c r="A1762" s="10">
        <v>44130.0</v>
      </c>
      <c r="B1762" s="11">
        <v>2819.0</v>
      </c>
      <c r="C1762" s="12">
        <v>0.4526</v>
      </c>
      <c r="D1762" s="2">
        <v>0.0020601851851851853</v>
      </c>
      <c r="E1762" s="12">
        <v>1.09</v>
      </c>
      <c r="F1762" s="12">
        <v>5.53</v>
      </c>
      <c r="G1762" s="11">
        <v>16968.0</v>
      </c>
      <c r="H1762" s="11">
        <v>3069.0</v>
      </c>
    </row>
    <row r="1763">
      <c r="A1763" s="10">
        <v>44131.0</v>
      </c>
      <c r="B1763" s="11">
        <v>2874.0</v>
      </c>
      <c r="C1763" s="12">
        <v>0.5112</v>
      </c>
      <c r="D1763" s="2">
        <v>0.0016898148148148148</v>
      </c>
      <c r="E1763" s="12">
        <v>1.09</v>
      </c>
      <c r="F1763" s="12">
        <v>3.99</v>
      </c>
      <c r="G1763" s="11">
        <v>12469.0</v>
      </c>
      <c r="H1763" s="11">
        <v>3124.0</v>
      </c>
    </row>
    <row r="1764">
      <c r="A1764" s="10">
        <v>44132.0</v>
      </c>
      <c r="B1764" s="11">
        <v>2708.0</v>
      </c>
      <c r="C1764" s="12">
        <v>0.4222</v>
      </c>
      <c r="D1764" s="2">
        <v>0.0026157407407407405</v>
      </c>
      <c r="E1764" s="12">
        <v>1.15</v>
      </c>
      <c r="F1764" s="12">
        <v>5.1</v>
      </c>
      <c r="G1764" s="11">
        <v>15940.0</v>
      </c>
      <c r="H1764" s="11">
        <v>3124.0</v>
      </c>
    </row>
    <row r="1765">
      <c r="A1765" s="10">
        <v>44133.0</v>
      </c>
      <c r="B1765" s="11">
        <v>2722.0</v>
      </c>
      <c r="C1765" s="12">
        <v>0.5137</v>
      </c>
      <c r="D1765" s="2">
        <v>0.0015625</v>
      </c>
      <c r="E1765" s="12">
        <v>1.11</v>
      </c>
      <c r="F1765" s="12">
        <v>3.89</v>
      </c>
      <c r="G1765" s="11">
        <v>11775.0</v>
      </c>
      <c r="H1765" s="11">
        <v>3027.0</v>
      </c>
    </row>
    <row r="1766">
      <c r="A1766" s="10">
        <v>44134.0</v>
      </c>
      <c r="B1766" s="11">
        <v>2374.0</v>
      </c>
      <c r="C1766" s="12">
        <v>0.4092</v>
      </c>
      <c r="D1766" s="2">
        <v>0.002395833333333333</v>
      </c>
      <c r="E1766" s="12">
        <v>1.16</v>
      </c>
      <c r="F1766" s="12">
        <v>5.11</v>
      </c>
      <c r="G1766" s="11">
        <v>14038.0</v>
      </c>
      <c r="H1766" s="11">
        <v>2749.0</v>
      </c>
    </row>
    <row r="1767">
      <c r="A1767" s="10">
        <v>44135.0</v>
      </c>
      <c r="B1767" s="11">
        <v>1569.0</v>
      </c>
      <c r="C1767" s="12">
        <v>0.4954</v>
      </c>
      <c r="D1767" s="2">
        <v>0.0013310185185185185</v>
      </c>
      <c r="E1767" s="12">
        <v>1.04</v>
      </c>
      <c r="F1767" s="12">
        <v>3.85</v>
      </c>
      <c r="G1767" s="11">
        <v>6262.0</v>
      </c>
      <c r="H1767" s="11">
        <v>1625.0</v>
      </c>
    </row>
    <row r="1768">
      <c r="A1768" s="10">
        <v>44136.0</v>
      </c>
      <c r="B1768" s="11">
        <v>1569.0</v>
      </c>
      <c r="C1768" s="12">
        <v>0.4675</v>
      </c>
      <c r="D1768" s="2">
        <v>0.0017824074074074075</v>
      </c>
      <c r="E1768" s="12">
        <v>1.1</v>
      </c>
      <c r="F1768" s="12">
        <v>3.93</v>
      </c>
      <c r="G1768" s="11">
        <v>6762.0</v>
      </c>
      <c r="H1768" s="11">
        <v>1722.0</v>
      </c>
    </row>
    <row r="1769">
      <c r="A1769" s="10">
        <v>44137.0</v>
      </c>
      <c r="B1769" s="11">
        <v>2666.0</v>
      </c>
      <c r="C1769" s="12">
        <v>0.3885</v>
      </c>
      <c r="D1769" s="2">
        <v>0.0022685185185185187</v>
      </c>
      <c r="E1769" s="12">
        <v>1.07</v>
      </c>
      <c r="F1769" s="12">
        <v>4.87</v>
      </c>
      <c r="G1769" s="11">
        <v>13927.0</v>
      </c>
      <c r="H1769" s="11">
        <v>2860.0</v>
      </c>
    </row>
    <row r="1770">
      <c r="A1770" s="10">
        <v>44138.0</v>
      </c>
      <c r="B1770" s="11">
        <v>2624.0</v>
      </c>
      <c r="C1770" s="12">
        <v>0.4037</v>
      </c>
      <c r="D1770" s="2">
        <v>0.0021643518518518518</v>
      </c>
      <c r="E1770" s="12">
        <v>1.13</v>
      </c>
      <c r="F1770" s="12">
        <v>5.08</v>
      </c>
      <c r="G1770" s="11">
        <v>15038.0</v>
      </c>
      <c r="H1770" s="11">
        <v>2958.0</v>
      </c>
    </row>
    <row r="1771">
      <c r="A1771" s="10">
        <v>44139.0</v>
      </c>
      <c r="B1771" s="11">
        <v>2583.0</v>
      </c>
      <c r="C1771" s="12">
        <v>0.442</v>
      </c>
      <c r="D1771" s="2">
        <v>0.001875</v>
      </c>
      <c r="E1771" s="12">
        <v>1.11</v>
      </c>
      <c r="F1771" s="12">
        <v>4.04</v>
      </c>
      <c r="G1771" s="11">
        <v>11567.0</v>
      </c>
      <c r="H1771" s="11">
        <v>2860.0</v>
      </c>
    </row>
    <row r="1772">
      <c r="A1772" s="10">
        <v>44140.0</v>
      </c>
      <c r="B1772" s="11">
        <v>2513.0</v>
      </c>
      <c r="C1772" s="12">
        <v>0.4165</v>
      </c>
      <c r="D1772" s="2">
        <v>0.0025810185185185185</v>
      </c>
      <c r="E1772" s="12">
        <v>1.09</v>
      </c>
      <c r="F1772" s="12">
        <v>3.71</v>
      </c>
      <c r="G1772" s="11">
        <v>10136.0</v>
      </c>
      <c r="H1772" s="11">
        <v>2735.0</v>
      </c>
    </row>
    <row r="1773">
      <c r="A1773" s="10">
        <v>44141.0</v>
      </c>
      <c r="B1773" s="11">
        <v>2194.0</v>
      </c>
      <c r="C1773" s="12">
        <v>0.5029</v>
      </c>
      <c r="D1773" s="2">
        <v>0.0027546296296296294</v>
      </c>
      <c r="E1773" s="12">
        <v>1.08</v>
      </c>
      <c r="F1773" s="12">
        <v>4.72</v>
      </c>
      <c r="G1773" s="11">
        <v>11206.0</v>
      </c>
      <c r="H1773" s="11">
        <v>2374.0</v>
      </c>
    </row>
    <row r="1774">
      <c r="A1774" s="10">
        <v>44142.0</v>
      </c>
      <c r="B1774" s="11">
        <v>1389.0</v>
      </c>
      <c r="C1774" s="12">
        <v>0.5095</v>
      </c>
      <c r="D1774" s="2">
        <v>0.0024305555555555556</v>
      </c>
      <c r="E1774" s="12">
        <v>1.06</v>
      </c>
      <c r="F1774" s="12">
        <v>5.16</v>
      </c>
      <c r="G1774" s="11">
        <v>7595.0</v>
      </c>
      <c r="H1774" s="11">
        <v>1472.0</v>
      </c>
    </row>
    <row r="1775">
      <c r="A1775" s="10">
        <v>44143.0</v>
      </c>
      <c r="B1775" s="11">
        <v>1277.0</v>
      </c>
      <c r="C1775" s="12">
        <v>0.4432</v>
      </c>
      <c r="D1775" s="2">
        <v>0.001863425925925926</v>
      </c>
      <c r="E1775" s="12">
        <v>1.05</v>
      </c>
      <c r="F1775" s="12">
        <v>5.72</v>
      </c>
      <c r="G1775" s="11">
        <v>7706.0</v>
      </c>
      <c r="H1775" s="11">
        <v>1347.0</v>
      </c>
    </row>
    <row r="1776">
      <c r="A1776" s="10">
        <v>44144.0</v>
      </c>
      <c r="B1776" s="11">
        <v>2055.0</v>
      </c>
      <c r="C1776" s="12">
        <v>0.4384</v>
      </c>
      <c r="D1776" s="2">
        <v>0.002488425925925926</v>
      </c>
      <c r="E1776" s="12">
        <v>1.09</v>
      </c>
      <c r="F1776" s="12">
        <v>5.41</v>
      </c>
      <c r="G1776" s="11">
        <v>12177.0</v>
      </c>
      <c r="H1776" s="11">
        <v>2249.0</v>
      </c>
    </row>
    <row r="1777">
      <c r="A1777" s="10">
        <v>44145.0</v>
      </c>
      <c r="B1777" s="11">
        <v>2347.0</v>
      </c>
      <c r="C1777" s="12">
        <v>0.4427</v>
      </c>
      <c r="D1777" s="2">
        <v>0.0018981481481481482</v>
      </c>
      <c r="E1777" s="12">
        <v>1.08</v>
      </c>
      <c r="F1777" s="12">
        <v>3.97</v>
      </c>
      <c r="G1777" s="11">
        <v>10095.0</v>
      </c>
      <c r="H1777" s="11">
        <v>2541.0</v>
      </c>
    </row>
    <row r="1778">
      <c r="A1778" s="10">
        <v>44146.0</v>
      </c>
      <c r="B1778" s="11">
        <v>1875.0</v>
      </c>
      <c r="C1778" s="12">
        <v>0.4138</v>
      </c>
      <c r="D1778" s="2">
        <v>0.002210648148148148</v>
      </c>
      <c r="E1778" s="12">
        <v>1.07</v>
      </c>
      <c r="F1778" s="12">
        <v>4.76</v>
      </c>
      <c r="G1778" s="11">
        <v>9581.0</v>
      </c>
      <c r="H1778" s="11">
        <v>2013.0</v>
      </c>
    </row>
    <row r="1779">
      <c r="A1779" s="10">
        <v>44147.0</v>
      </c>
      <c r="B1779" s="11">
        <v>1833.0</v>
      </c>
      <c r="C1779" s="12">
        <v>0.415</v>
      </c>
      <c r="D1779" s="2">
        <v>0.0022337962962962962</v>
      </c>
      <c r="E1779" s="12">
        <v>1.11</v>
      </c>
      <c r="F1779" s="12">
        <v>5.63</v>
      </c>
      <c r="G1779" s="11">
        <v>11483.0</v>
      </c>
      <c r="H1779" s="11">
        <v>2041.0</v>
      </c>
    </row>
    <row r="1780">
      <c r="A1780" s="10">
        <v>44148.0</v>
      </c>
      <c r="B1780" s="11">
        <v>1777.0</v>
      </c>
      <c r="C1780" s="12">
        <v>0.4002</v>
      </c>
      <c r="D1780" s="2">
        <v>0.0017939814814814815</v>
      </c>
      <c r="E1780" s="12">
        <v>1.09</v>
      </c>
      <c r="F1780" s="12">
        <v>5.06</v>
      </c>
      <c r="G1780" s="11">
        <v>9831.0</v>
      </c>
      <c r="H1780" s="11">
        <v>1944.0</v>
      </c>
    </row>
    <row r="1781">
      <c r="A1781" s="10">
        <v>44149.0</v>
      </c>
      <c r="B1781" s="11">
        <v>1166.0</v>
      </c>
      <c r="C1781" s="12">
        <v>0.5235</v>
      </c>
      <c r="D1781" s="2">
        <v>0.0019675925925925924</v>
      </c>
      <c r="E1781" s="12">
        <v>1.02</v>
      </c>
      <c r="F1781" s="12">
        <v>3.98</v>
      </c>
      <c r="G1781" s="11">
        <v>4749.0</v>
      </c>
      <c r="H1781" s="11">
        <v>1194.0</v>
      </c>
    </row>
    <row r="1782">
      <c r="A1782" s="10">
        <v>44150.0</v>
      </c>
      <c r="B1782" s="11">
        <v>1139.0</v>
      </c>
      <c r="C1782" s="12">
        <v>0.5283</v>
      </c>
      <c r="D1782" s="2">
        <v>0.0021643518518518518</v>
      </c>
      <c r="E1782" s="12">
        <v>1.09</v>
      </c>
      <c r="F1782" s="12">
        <v>5.02</v>
      </c>
      <c r="G1782" s="11">
        <v>6207.0</v>
      </c>
      <c r="H1782" s="11">
        <v>1236.0</v>
      </c>
    </row>
    <row r="1783">
      <c r="A1783" s="10">
        <v>44151.0</v>
      </c>
      <c r="B1783" s="11">
        <v>2236.0</v>
      </c>
      <c r="C1783" s="12">
        <v>0.4246</v>
      </c>
      <c r="D1783" s="2">
        <v>0.0021064814814814813</v>
      </c>
      <c r="E1783" s="12">
        <v>1.07</v>
      </c>
      <c r="F1783" s="12">
        <v>4.47</v>
      </c>
      <c r="G1783" s="11">
        <v>10678.0</v>
      </c>
      <c r="H1783" s="11">
        <v>2388.0</v>
      </c>
    </row>
    <row r="1784">
      <c r="A1784" s="10">
        <v>44152.0</v>
      </c>
      <c r="B1784" s="11">
        <v>1986.0</v>
      </c>
      <c r="C1784" s="12">
        <v>0.45</v>
      </c>
      <c r="D1784" s="2">
        <v>0.0016898148148148148</v>
      </c>
      <c r="E1784" s="12">
        <v>1.12</v>
      </c>
      <c r="F1784" s="12">
        <v>4.72</v>
      </c>
      <c r="G1784" s="11">
        <v>10483.0</v>
      </c>
      <c r="H1784" s="11">
        <v>2222.0</v>
      </c>
    </row>
    <row r="1785">
      <c r="A1785" s="10">
        <v>44153.0</v>
      </c>
      <c r="B1785" s="11">
        <v>2124.0</v>
      </c>
      <c r="C1785" s="12">
        <v>0.4646</v>
      </c>
      <c r="D1785" s="2">
        <v>0.0021412037037037038</v>
      </c>
      <c r="E1785" s="12">
        <v>1.11</v>
      </c>
      <c r="F1785" s="12">
        <v>4.22</v>
      </c>
      <c r="G1785" s="11">
        <v>9956.0</v>
      </c>
      <c r="H1785" s="11">
        <v>2361.0</v>
      </c>
    </row>
    <row r="1786">
      <c r="A1786" s="10">
        <v>44154.0</v>
      </c>
      <c r="B1786" s="11">
        <v>1888.0</v>
      </c>
      <c r="C1786" s="12">
        <v>0.388</v>
      </c>
      <c r="D1786" s="2">
        <v>0.003263888888888889</v>
      </c>
      <c r="E1786" s="12">
        <v>1.25</v>
      </c>
      <c r="F1786" s="12">
        <v>5.47</v>
      </c>
      <c r="G1786" s="11">
        <v>12913.0</v>
      </c>
      <c r="H1786" s="11">
        <v>2361.0</v>
      </c>
    </row>
    <row r="1787">
      <c r="A1787" s="10">
        <v>44155.0</v>
      </c>
      <c r="B1787" s="11">
        <v>2111.0</v>
      </c>
      <c r="C1787" s="12">
        <v>0.438</v>
      </c>
      <c r="D1787" s="2">
        <v>0.002210648148148148</v>
      </c>
      <c r="E1787" s="12">
        <v>1.11</v>
      </c>
      <c r="F1787" s="12">
        <v>3.93</v>
      </c>
      <c r="G1787" s="11">
        <v>9220.0</v>
      </c>
      <c r="H1787" s="11">
        <v>2347.0</v>
      </c>
    </row>
    <row r="1788">
      <c r="A1788" s="10">
        <v>44156.0</v>
      </c>
      <c r="B1788" s="11">
        <v>1222.0</v>
      </c>
      <c r="C1788" s="12">
        <v>0.3701</v>
      </c>
      <c r="D1788" s="2">
        <v>0.002349537037037037</v>
      </c>
      <c r="E1788" s="12">
        <v>1.14</v>
      </c>
      <c r="F1788" s="12">
        <v>5.21</v>
      </c>
      <c r="G1788" s="11">
        <v>7234.0</v>
      </c>
      <c r="H1788" s="11">
        <v>1389.0</v>
      </c>
    </row>
    <row r="1789">
      <c r="A1789" s="10">
        <v>44157.0</v>
      </c>
      <c r="B1789" s="11">
        <v>1500.0</v>
      </c>
      <c r="C1789" s="12">
        <v>0.4207</v>
      </c>
      <c r="D1789" s="2">
        <v>0.0024074074074074076</v>
      </c>
      <c r="E1789" s="12">
        <v>1.06</v>
      </c>
      <c r="F1789" s="12">
        <v>5.44</v>
      </c>
      <c r="G1789" s="11">
        <v>8609.0</v>
      </c>
      <c r="H1789" s="11">
        <v>1583.0</v>
      </c>
    </row>
    <row r="1790">
      <c r="A1790" s="10">
        <v>44158.0</v>
      </c>
      <c r="B1790" s="11">
        <v>2194.0</v>
      </c>
      <c r="C1790" s="12">
        <v>0.4284</v>
      </c>
      <c r="D1790" s="2">
        <v>0.002951388888888889</v>
      </c>
      <c r="E1790" s="12">
        <v>1.11</v>
      </c>
      <c r="F1790" s="12">
        <v>6.36</v>
      </c>
      <c r="G1790" s="11">
        <v>15454.0</v>
      </c>
      <c r="H1790" s="11">
        <v>2430.0</v>
      </c>
    </row>
    <row r="1791">
      <c r="A1791" s="10">
        <v>44159.0</v>
      </c>
      <c r="B1791" s="11">
        <v>2444.0</v>
      </c>
      <c r="C1791" s="12">
        <v>0.402</v>
      </c>
      <c r="D1791" s="2">
        <v>0.00369212962962963</v>
      </c>
      <c r="E1791" s="12">
        <v>1.1</v>
      </c>
      <c r="F1791" s="12">
        <v>8.16</v>
      </c>
      <c r="G1791" s="11">
        <v>21994.0</v>
      </c>
      <c r="H1791" s="11">
        <v>2694.0</v>
      </c>
    </row>
    <row r="1792">
      <c r="A1792" s="10">
        <v>44160.0</v>
      </c>
      <c r="B1792" s="11">
        <v>2152.0</v>
      </c>
      <c r="C1792" s="12">
        <v>0.4495</v>
      </c>
      <c r="D1792" s="2">
        <v>0.0027546296296296294</v>
      </c>
      <c r="E1792" s="12">
        <v>1.09</v>
      </c>
      <c r="F1792" s="12">
        <v>5.25</v>
      </c>
      <c r="G1792" s="11">
        <v>12316.0</v>
      </c>
      <c r="H1792" s="11">
        <v>2347.0</v>
      </c>
    </row>
    <row r="1793">
      <c r="A1793" s="10">
        <v>44161.0</v>
      </c>
      <c r="B1793" s="11">
        <v>1847.0</v>
      </c>
      <c r="C1793" s="12">
        <v>0.5035</v>
      </c>
      <c r="D1793" s="2">
        <v>0.0021759259259259258</v>
      </c>
      <c r="E1793" s="12">
        <v>1.08</v>
      </c>
      <c r="F1793" s="12">
        <v>4.56</v>
      </c>
      <c r="G1793" s="11">
        <v>9053.0</v>
      </c>
      <c r="H1793" s="11">
        <v>1986.0</v>
      </c>
    </row>
    <row r="1794">
      <c r="A1794" s="10">
        <v>44162.0</v>
      </c>
      <c r="B1794" s="11">
        <v>1999.0</v>
      </c>
      <c r="C1794" s="12">
        <v>0.4373</v>
      </c>
      <c r="D1794" s="2">
        <v>0.0031134259259259257</v>
      </c>
      <c r="E1794" s="12">
        <v>1.16</v>
      </c>
      <c r="F1794" s="12">
        <v>5.42</v>
      </c>
      <c r="G1794" s="11">
        <v>12580.0</v>
      </c>
      <c r="H1794" s="11">
        <v>2319.0</v>
      </c>
    </row>
    <row r="1795">
      <c r="A1795" s="10">
        <v>44163.0</v>
      </c>
      <c r="B1795" s="11">
        <v>1555.0</v>
      </c>
      <c r="C1795" s="12">
        <v>0.4201</v>
      </c>
      <c r="D1795" s="2">
        <v>0.002210648148148148</v>
      </c>
      <c r="E1795" s="12">
        <v>1.06</v>
      </c>
      <c r="F1795" s="12">
        <v>5.29</v>
      </c>
      <c r="G1795" s="11">
        <v>8734.0</v>
      </c>
      <c r="H1795" s="11">
        <v>1652.0</v>
      </c>
    </row>
    <row r="1796">
      <c r="A1796" s="10">
        <v>44164.0</v>
      </c>
      <c r="B1796" s="11">
        <v>1750.0</v>
      </c>
      <c r="C1796" s="12">
        <v>0.4567</v>
      </c>
      <c r="D1796" s="2">
        <v>0.0019675925925925924</v>
      </c>
      <c r="E1796" s="12">
        <v>1.09</v>
      </c>
      <c r="F1796" s="12">
        <v>6.06</v>
      </c>
      <c r="G1796" s="11">
        <v>11608.0</v>
      </c>
      <c r="H1796" s="11">
        <v>1916.0</v>
      </c>
    </row>
    <row r="1797">
      <c r="A1797" s="10">
        <v>44165.0</v>
      </c>
      <c r="B1797" s="11">
        <v>2860.0</v>
      </c>
      <c r="C1797" s="12">
        <v>0.394</v>
      </c>
      <c r="D1797" s="2">
        <v>0.0028819444444444444</v>
      </c>
      <c r="E1797" s="12">
        <v>1.12</v>
      </c>
      <c r="F1797" s="12">
        <v>6.87</v>
      </c>
      <c r="G1797" s="11">
        <v>22036.0</v>
      </c>
      <c r="H1797" s="11">
        <v>3208.0</v>
      </c>
    </row>
    <row r="1798">
      <c r="A1798" s="10">
        <v>44166.0</v>
      </c>
      <c r="B1798" s="11">
        <v>2597.0</v>
      </c>
      <c r="C1798" s="12">
        <v>0.4378</v>
      </c>
      <c r="D1798" s="2">
        <v>0.0033680555555555556</v>
      </c>
      <c r="E1798" s="12">
        <v>1.16</v>
      </c>
      <c r="F1798" s="12">
        <v>6.47</v>
      </c>
      <c r="G1798" s="11">
        <v>19509.0</v>
      </c>
      <c r="H1798" s="11">
        <v>3013.0</v>
      </c>
    </row>
    <row r="1799">
      <c r="A1799" s="10">
        <v>44167.0</v>
      </c>
      <c r="B1799" s="11">
        <v>2874.0</v>
      </c>
      <c r="C1799" s="12">
        <v>0.4127</v>
      </c>
      <c r="D1799" s="2">
        <v>0.0024189814814814816</v>
      </c>
      <c r="E1799" s="12">
        <v>1.16</v>
      </c>
      <c r="F1799" s="12">
        <v>5.44</v>
      </c>
      <c r="G1799" s="11">
        <v>18120.0</v>
      </c>
      <c r="H1799" s="11">
        <v>3332.0</v>
      </c>
    </row>
    <row r="1800">
      <c r="A1800" s="10">
        <v>44168.0</v>
      </c>
      <c r="B1800" s="11">
        <v>2735.0</v>
      </c>
      <c r="C1800" s="12">
        <v>0.4083</v>
      </c>
      <c r="D1800" s="2">
        <v>0.0022685185185185187</v>
      </c>
      <c r="E1800" s="12">
        <v>1.13</v>
      </c>
      <c r="F1800" s="12">
        <v>5.51</v>
      </c>
      <c r="G1800" s="11">
        <v>17065.0</v>
      </c>
      <c r="H1800" s="11">
        <v>3096.0</v>
      </c>
    </row>
    <row r="1801">
      <c r="A1801" s="10">
        <v>44169.0</v>
      </c>
      <c r="B1801" s="11">
        <v>2749.0</v>
      </c>
      <c r="C1801" s="12">
        <v>0.4884</v>
      </c>
      <c r="D1801" s="2">
        <v>0.002002314814814815</v>
      </c>
      <c r="E1801" s="12">
        <v>1.09</v>
      </c>
      <c r="F1801" s="12">
        <v>4.44</v>
      </c>
      <c r="G1801" s="11">
        <v>13261.0</v>
      </c>
      <c r="H1801" s="11">
        <v>2985.0</v>
      </c>
    </row>
    <row r="1802">
      <c r="A1802" s="10">
        <v>44170.0</v>
      </c>
      <c r="B1802" s="11">
        <v>1847.0</v>
      </c>
      <c r="C1802" s="12">
        <v>0.5453</v>
      </c>
      <c r="D1802" s="2">
        <v>0.0021875</v>
      </c>
      <c r="E1802" s="12">
        <v>1.08</v>
      </c>
      <c r="F1802" s="12">
        <v>4.43</v>
      </c>
      <c r="G1802" s="11">
        <v>8789.0</v>
      </c>
      <c r="H1802" s="11">
        <v>1986.0</v>
      </c>
    </row>
    <row r="1803">
      <c r="A1803" s="10">
        <v>44171.0</v>
      </c>
      <c r="B1803" s="11">
        <v>2083.0</v>
      </c>
      <c r="C1803" s="12">
        <v>0.4756</v>
      </c>
      <c r="D1803" s="2">
        <v>0.0017592592592592592</v>
      </c>
      <c r="E1803" s="12">
        <v>1.09</v>
      </c>
      <c r="F1803" s="12">
        <v>4.2</v>
      </c>
      <c r="G1803" s="11">
        <v>9553.0</v>
      </c>
      <c r="H1803" s="11">
        <v>2277.0</v>
      </c>
    </row>
    <row r="1804">
      <c r="A1804" s="10">
        <v>44172.0</v>
      </c>
      <c r="B1804" s="11">
        <v>3332.0</v>
      </c>
      <c r="C1804" s="12">
        <v>0.444</v>
      </c>
      <c r="D1804" s="2">
        <v>0.003449074074074074</v>
      </c>
      <c r="E1804" s="12">
        <v>1.12</v>
      </c>
      <c r="F1804" s="12">
        <v>6.33</v>
      </c>
      <c r="G1804" s="11">
        <v>23536.0</v>
      </c>
      <c r="H1804" s="11">
        <v>3721.0</v>
      </c>
    </row>
    <row r="1805">
      <c r="A1805" s="10">
        <v>44173.0</v>
      </c>
      <c r="B1805" s="11">
        <v>3471.0</v>
      </c>
      <c r="C1805" s="12">
        <v>0.4984</v>
      </c>
      <c r="D1805" s="2">
        <v>0.0027546296296296294</v>
      </c>
      <c r="E1805" s="12">
        <v>1.14</v>
      </c>
      <c r="F1805" s="12">
        <v>5.64</v>
      </c>
      <c r="G1805" s="11">
        <v>22300.0</v>
      </c>
      <c r="H1805" s="11">
        <v>3957.0</v>
      </c>
    </row>
    <row r="1806">
      <c r="A1806" s="10">
        <v>44174.0</v>
      </c>
      <c r="B1806" s="11">
        <v>2999.0</v>
      </c>
      <c r="C1806" s="12">
        <v>0.4497</v>
      </c>
      <c r="D1806" s="2">
        <v>0.0030208333333333333</v>
      </c>
      <c r="E1806" s="12">
        <v>1.19</v>
      </c>
      <c r="F1806" s="12">
        <v>5.21</v>
      </c>
      <c r="G1806" s="11">
        <v>18676.0</v>
      </c>
      <c r="H1806" s="11">
        <v>3582.0</v>
      </c>
    </row>
    <row r="1807">
      <c r="A1807" s="10">
        <v>44175.0</v>
      </c>
      <c r="B1807" s="11">
        <v>3208.0</v>
      </c>
      <c r="C1807" s="12">
        <v>0.4178</v>
      </c>
      <c r="D1807" s="2">
        <v>0.0027314814814814814</v>
      </c>
      <c r="E1807" s="12">
        <v>1.13</v>
      </c>
      <c r="F1807" s="12">
        <v>5.4</v>
      </c>
      <c r="G1807" s="11">
        <v>19565.0</v>
      </c>
      <c r="H1807" s="11">
        <v>3624.0</v>
      </c>
    </row>
    <row r="1808">
      <c r="A1808" s="10">
        <v>44176.0</v>
      </c>
      <c r="B1808" s="11">
        <v>2860.0</v>
      </c>
      <c r="C1808" s="12">
        <v>0.4709</v>
      </c>
      <c r="D1808" s="2">
        <v>0.0030902777777777777</v>
      </c>
      <c r="E1808" s="12">
        <v>1.08</v>
      </c>
      <c r="F1808" s="12">
        <v>7.59</v>
      </c>
      <c r="G1808" s="11">
        <v>23508.0</v>
      </c>
      <c r="H1808" s="11">
        <v>3096.0</v>
      </c>
    </row>
    <row r="1809">
      <c r="A1809" s="10">
        <v>44177.0</v>
      </c>
      <c r="B1809" s="11">
        <v>1708.0</v>
      </c>
      <c r="C1809" s="12">
        <v>0.549</v>
      </c>
      <c r="D1809" s="2">
        <v>0.0013657407407407407</v>
      </c>
      <c r="E1809" s="12">
        <v>1.08</v>
      </c>
      <c r="F1809" s="12">
        <v>4.09</v>
      </c>
      <c r="G1809" s="11">
        <v>7554.0</v>
      </c>
      <c r="H1809" s="11">
        <v>1847.0</v>
      </c>
    </row>
    <row r="1810">
      <c r="A1810" s="10">
        <v>44178.0</v>
      </c>
      <c r="B1810" s="11">
        <v>1944.0</v>
      </c>
      <c r="C1810" s="12">
        <v>0.5606</v>
      </c>
      <c r="D1810" s="2">
        <v>0.002766203703703704</v>
      </c>
      <c r="E1810" s="12">
        <v>1.06</v>
      </c>
      <c r="F1810" s="12">
        <v>5.99</v>
      </c>
      <c r="G1810" s="11">
        <v>12302.0</v>
      </c>
      <c r="H1810" s="11">
        <v>2055.0</v>
      </c>
    </row>
    <row r="1811">
      <c r="A1811" s="10">
        <v>44179.0</v>
      </c>
      <c r="B1811" s="11">
        <v>3055.0</v>
      </c>
      <c r="C1811" s="12">
        <v>0.5</v>
      </c>
      <c r="D1811" s="2">
        <v>0.002627314814814815</v>
      </c>
      <c r="E1811" s="12">
        <v>1.1</v>
      </c>
      <c r="F1811" s="12">
        <v>5.73</v>
      </c>
      <c r="G1811" s="11">
        <v>19245.0</v>
      </c>
      <c r="H1811" s="11">
        <v>3360.0</v>
      </c>
    </row>
    <row r="1812">
      <c r="A1812" s="10">
        <v>44180.0</v>
      </c>
      <c r="B1812" s="11">
        <v>2944.0</v>
      </c>
      <c r="C1812" s="12">
        <v>0.4444</v>
      </c>
      <c r="D1812" s="2">
        <v>0.002488425925925926</v>
      </c>
      <c r="E1812" s="12">
        <v>1.1</v>
      </c>
      <c r="F1812" s="12">
        <v>6.92</v>
      </c>
      <c r="G1812" s="11">
        <v>22467.0</v>
      </c>
      <c r="H1812" s="11">
        <v>3249.0</v>
      </c>
    </row>
    <row r="1813">
      <c r="A1813" s="10">
        <v>44181.0</v>
      </c>
      <c r="B1813" s="11">
        <v>2763.0</v>
      </c>
      <c r="C1813" s="12">
        <v>0.445</v>
      </c>
      <c r="D1813" s="2">
        <v>0.0021527777777777778</v>
      </c>
      <c r="E1813" s="12">
        <v>1.1</v>
      </c>
      <c r="F1813" s="12">
        <v>5.58</v>
      </c>
      <c r="G1813" s="11">
        <v>16885.0</v>
      </c>
      <c r="H1813" s="11">
        <v>3027.0</v>
      </c>
    </row>
    <row r="1814">
      <c r="A1814" s="10">
        <v>44182.0</v>
      </c>
      <c r="B1814" s="11">
        <v>2708.0</v>
      </c>
      <c r="C1814" s="12">
        <v>0.4522</v>
      </c>
      <c r="D1814" s="2">
        <v>0.0028472222222222223</v>
      </c>
      <c r="E1814" s="12">
        <v>1.12</v>
      </c>
      <c r="F1814" s="12">
        <v>7.01</v>
      </c>
      <c r="G1814" s="11">
        <v>21328.0</v>
      </c>
      <c r="H1814" s="11">
        <v>3041.0</v>
      </c>
    </row>
    <row r="1815">
      <c r="A1815" s="10">
        <v>44183.0</v>
      </c>
      <c r="B1815" s="11">
        <v>2111.0</v>
      </c>
      <c r="C1815" s="12">
        <v>0.4938</v>
      </c>
      <c r="D1815" s="2">
        <v>0.0027430555555555554</v>
      </c>
      <c r="E1815" s="12">
        <v>1.11</v>
      </c>
      <c r="F1815" s="12">
        <v>5.14</v>
      </c>
      <c r="G1815" s="11">
        <v>11983.0</v>
      </c>
      <c r="H1815" s="11">
        <v>2333.0</v>
      </c>
    </row>
    <row r="1816">
      <c r="A1816" s="10">
        <v>44184.0</v>
      </c>
      <c r="B1816" s="11">
        <v>1569.0</v>
      </c>
      <c r="C1816" s="12">
        <v>0.4482</v>
      </c>
      <c r="D1816" s="2">
        <v>0.003553240740740741</v>
      </c>
      <c r="E1816" s="12">
        <v>1.11</v>
      </c>
      <c r="F1816" s="12">
        <v>9.26</v>
      </c>
      <c r="G1816" s="11">
        <v>16079.0</v>
      </c>
      <c r="H1816" s="11">
        <v>1736.0</v>
      </c>
    </row>
    <row r="1817">
      <c r="A1817" s="10">
        <v>44185.0</v>
      </c>
      <c r="B1817" s="11">
        <v>1638.0</v>
      </c>
      <c r="C1817" s="12">
        <v>0.5679</v>
      </c>
      <c r="D1817" s="2">
        <v>0.0021759259259259258</v>
      </c>
      <c r="E1817" s="12">
        <v>1.12</v>
      </c>
      <c r="F1817" s="12">
        <v>4.32</v>
      </c>
      <c r="G1817" s="11">
        <v>7915.0</v>
      </c>
      <c r="H1817" s="11">
        <v>1833.0</v>
      </c>
    </row>
    <row r="1818">
      <c r="A1818" s="10">
        <v>44186.0</v>
      </c>
      <c r="B1818" s="11">
        <v>2180.0</v>
      </c>
      <c r="C1818" s="12">
        <v>0.4856</v>
      </c>
      <c r="D1818" s="2">
        <v>0.0019560185185185184</v>
      </c>
      <c r="E1818" s="12">
        <v>1.11</v>
      </c>
      <c r="F1818" s="12">
        <v>4.89</v>
      </c>
      <c r="G1818" s="11">
        <v>11886.0</v>
      </c>
      <c r="H1818" s="11">
        <v>2430.0</v>
      </c>
    </row>
    <row r="1819">
      <c r="A1819" s="10">
        <v>44187.0</v>
      </c>
      <c r="B1819" s="11">
        <v>2027.0</v>
      </c>
      <c r="C1819" s="12">
        <v>0.4612</v>
      </c>
      <c r="D1819" s="2">
        <v>0.0024305555555555556</v>
      </c>
      <c r="E1819" s="12">
        <v>1.05</v>
      </c>
      <c r="F1819" s="12">
        <v>4.97</v>
      </c>
      <c r="G1819" s="11">
        <v>10636.0</v>
      </c>
      <c r="H1819" s="11">
        <v>2138.0</v>
      </c>
    </row>
    <row r="1820">
      <c r="A1820" s="10">
        <v>44188.0</v>
      </c>
      <c r="B1820" s="11">
        <v>1652.0</v>
      </c>
      <c r="C1820" s="12">
        <v>0.4729</v>
      </c>
      <c r="D1820" s="2">
        <v>0.002939814814814815</v>
      </c>
      <c r="E1820" s="12">
        <v>1.08</v>
      </c>
      <c r="F1820" s="12">
        <v>5.48</v>
      </c>
      <c r="G1820" s="11">
        <v>9817.0</v>
      </c>
      <c r="H1820" s="11">
        <v>1791.0</v>
      </c>
    </row>
    <row r="1821">
      <c r="A1821" s="10">
        <v>44189.0</v>
      </c>
      <c r="B1821" s="11">
        <v>1125.0</v>
      </c>
      <c r="C1821" s="12">
        <v>0.6237</v>
      </c>
      <c r="D1821" s="2">
        <v>0.0013541666666666667</v>
      </c>
      <c r="E1821" s="12">
        <v>1.05</v>
      </c>
      <c r="F1821" s="12">
        <v>3.62</v>
      </c>
      <c r="G1821" s="11">
        <v>4277.0</v>
      </c>
      <c r="H1821" s="11">
        <v>1180.0</v>
      </c>
    </row>
    <row r="1822">
      <c r="A1822" s="10">
        <v>44190.0</v>
      </c>
      <c r="B1822" s="11">
        <v>1111.0</v>
      </c>
      <c r="C1822" s="12">
        <v>0.6</v>
      </c>
      <c r="D1822" s="2">
        <v>8.217592592592593E-4</v>
      </c>
      <c r="E1822" s="12">
        <v>1.06</v>
      </c>
      <c r="F1822" s="12">
        <v>3.52</v>
      </c>
      <c r="G1822" s="11">
        <v>4152.0</v>
      </c>
      <c r="H1822" s="11">
        <v>1180.0</v>
      </c>
    </row>
    <row r="1823">
      <c r="A1823" s="10">
        <v>44191.0</v>
      </c>
      <c r="B1823" s="11">
        <v>1166.0</v>
      </c>
      <c r="C1823" s="12">
        <v>0.5352</v>
      </c>
      <c r="D1823" s="2">
        <v>8.449074074074074E-4</v>
      </c>
      <c r="E1823" s="12">
        <v>1.02</v>
      </c>
      <c r="F1823" s="12">
        <v>4.44</v>
      </c>
      <c r="G1823" s="11">
        <v>5304.0</v>
      </c>
      <c r="H1823" s="11">
        <v>1194.0</v>
      </c>
    </row>
    <row r="1824">
      <c r="A1824" s="10">
        <v>44192.0</v>
      </c>
      <c r="B1824" s="11">
        <v>1291.0</v>
      </c>
      <c r="C1824" s="12">
        <v>0.5695</v>
      </c>
      <c r="D1824" s="2">
        <v>0.0015393518518518519</v>
      </c>
      <c r="E1824" s="12">
        <v>1.08</v>
      </c>
      <c r="F1824" s="12">
        <v>3.59</v>
      </c>
      <c r="G1824" s="11">
        <v>4985.0</v>
      </c>
      <c r="H1824" s="11">
        <v>1389.0</v>
      </c>
    </row>
    <row r="1825">
      <c r="A1825" s="10">
        <v>44193.0</v>
      </c>
      <c r="B1825" s="11">
        <v>1527.0</v>
      </c>
      <c r="C1825" s="12">
        <v>0.4958</v>
      </c>
      <c r="D1825" s="2">
        <v>0.0021527777777777778</v>
      </c>
      <c r="E1825" s="12">
        <v>1.1</v>
      </c>
      <c r="F1825" s="12">
        <v>5.21</v>
      </c>
      <c r="G1825" s="11">
        <v>8748.0</v>
      </c>
      <c r="H1825" s="11">
        <v>1680.0</v>
      </c>
    </row>
    <row r="1826">
      <c r="A1826" s="10">
        <v>44194.0</v>
      </c>
      <c r="B1826" s="11">
        <v>1486.0</v>
      </c>
      <c r="C1826" s="12">
        <v>0.5216</v>
      </c>
      <c r="D1826" s="2">
        <v>0.0019444444444444444</v>
      </c>
      <c r="E1826" s="12">
        <v>1.07</v>
      </c>
      <c r="F1826" s="12">
        <v>5.12</v>
      </c>
      <c r="G1826" s="11">
        <v>8178.0</v>
      </c>
      <c r="H1826" s="11">
        <v>1597.0</v>
      </c>
    </row>
    <row r="1827">
      <c r="A1827" s="10">
        <v>44195.0</v>
      </c>
      <c r="B1827" s="11">
        <v>1458.0</v>
      </c>
      <c r="C1827" s="12">
        <v>0.5174</v>
      </c>
      <c r="D1827" s="2">
        <v>0.0011226851851851851</v>
      </c>
      <c r="E1827" s="12">
        <v>1.09</v>
      </c>
      <c r="F1827" s="12">
        <v>4.54</v>
      </c>
      <c r="G1827" s="11">
        <v>7179.0</v>
      </c>
      <c r="H1827" s="11">
        <v>1583.0</v>
      </c>
    </row>
    <row r="1828">
      <c r="A1828" s="10">
        <v>44196.0</v>
      </c>
      <c r="B1828" s="11">
        <v>916.0</v>
      </c>
      <c r="C1828" s="12">
        <v>0.5998</v>
      </c>
      <c r="D1828" s="2">
        <v>0.002523148148148148</v>
      </c>
      <c r="E1828" s="12">
        <v>1.06</v>
      </c>
      <c r="F1828" s="12">
        <v>6.47</v>
      </c>
      <c r="G1828" s="11">
        <v>6290.0</v>
      </c>
      <c r="H1828" s="11">
        <v>972.0</v>
      </c>
    </row>
    <row r="1829">
      <c r="A1829" s="10">
        <v>44197.0</v>
      </c>
      <c r="B1829" s="11">
        <v>1000.0</v>
      </c>
      <c r="C1829" s="12">
        <v>0.6026</v>
      </c>
      <c r="D1829" s="2">
        <v>0.0014583333333333334</v>
      </c>
      <c r="E1829" s="12">
        <v>1.01</v>
      </c>
      <c r="F1829" s="12">
        <v>3.45</v>
      </c>
      <c r="G1829" s="11">
        <v>3499.0</v>
      </c>
      <c r="H1829" s="11">
        <v>1014.0</v>
      </c>
    </row>
    <row r="1830">
      <c r="A1830" s="10">
        <v>44198.0</v>
      </c>
      <c r="B1830" s="11">
        <v>1139.0</v>
      </c>
      <c r="C1830" s="12">
        <v>0.5235</v>
      </c>
      <c r="D1830" s="2">
        <v>0.0014699074074074074</v>
      </c>
      <c r="E1830" s="12">
        <v>1.05</v>
      </c>
      <c r="F1830" s="12">
        <v>4.37</v>
      </c>
      <c r="G1830" s="11">
        <v>5221.0</v>
      </c>
      <c r="H1830" s="11">
        <v>1194.0</v>
      </c>
    </row>
    <row r="1831">
      <c r="A1831" s="10">
        <v>44199.0</v>
      </c>
      <c r="B1831" s="11">
        <v>1277.0</v>
      </c>
      <c r="C1831" s="12">
        <v>0.5556</v>
      </c>
      <c r="D1831" s="2">
        <v>0.0021064814814814813</v>
      </c>
      <c r="E1831" s="12">
        <v>1.08</v>
      </c>
      <c r="F1831" s="12">
        <v>3.84</v>
      </c>
      <c r="G1831" s="11">
        <v>5276.0</v>
      </c>
      <c r="H1831" s="11">
        <v>1375.0</v>
      </c>
    </row>
    <row r="1832">
      <c r="A1832" s="10">
        <v>44200.0</v>
      </c>
      <c r="B1832" s="11">
        <v>1583.0</v>
      </c>
      <c r="C1832" s="12">
        <v>0.5666</v>
      </c>
      <c r="D1832" s="2">
        <v>9.837962962962962E-4</v>
      </c>
      <c r="E1832" s="12">
        <v>1.05</v>
      </c>
      <c r="F1832" s="12">
        <v>3.59</v>
      </c>
      <c r="G1832" s="11">
        <v>5985.0</v>
      </c>
      <c r="H1832" s="11">
        <v>1666.0</v>
      </c>
    </row>
    <row r="1833">
      <c r="A1833" s="10">
        <v>44201.0</v>
      </c>
      <c r="B1833" s="11">
        <v>2111.0</v>
      </c>
      <c r="C1833" s="12">
        <v>0.5688</v>
      </c>
      <c r="D1833" s="2">
        <v>0.0028935185185185184</v>
      </c>
      <c r="E1833" s="12">
        <v>1.1</v>
      </c>
      <c r="F1833" s="12">
        <v>4.0</v>
      </c>
      <c r="G1833" s="11">
        <v>9275.0</v>
      </c>
      <c r="H1833" s="11">
        <v>2319.0</v>
      </c>
    </row>
    <row r="1834">
      <c r="A1834" s="10">
        <v>44202.0</v>
      </c>
      <c r="B1834" s="11">
        <v>2249.0</v>
      </c>
      <c r="C1834" s="12">
        <v>0.5438</v>
      </c>
      <c r="D1834" s="2">
        <v>0.0013657407407407407</v>
      </c>
      <c r="E1834" s="12">
        <v>1.06</v>
      </c>
      <c r="F1834" s="12">
        <v>2.94</v>
      </c>
      <c r="G1834" s="11">
        <v>6984.0</v>
      </c>
      <c r="H1834" s="11">
        <v>2374.0</v>
      </c>
    </row>
    <row r="1835">
      <c r="A1835" s="10">
        <v>44203.0</v>
      </c>
      <c r="B1835" s="11">
        <v>1847.0</v>
      </c>
      <c r="C1835" s="12">
        <v>0.6012</v>
      </c>
      <c r="D1835" s="2">
        <v>0.0013078703703703703</v>
      </c>
      <c r="E1835" s="12">
        <v>1.08</v>
      </c>
      <c r="F1835" s="12">
        <v>3.81</v>
      </c>
      <c r="G1835" s="11">
        <v>7568.0</v>
      </c>
      <c r="H1835" s="11">
        <v>1986.0</v>
      </c>
    </row>
    <row r="1836">
      <c r="A1836" s="10">
        <v>44204.0</v>
      </c>
      <c r="B1836" s="11">
        <v>1875.0</v>
      </c>
      <c r="C1836" s="12">
        <v>0.5278</v>
      </c>
      <c r="D1836" s="2">
        <v>0.0012962962962962963</v>
      </c>
      <c r="E1836" s="12">
        <v>1.07</v>
      </c>
      <c r="F1836" s="12">
        <v>3.92</v>
      </c>
      <c r="G1836" s="11">
        <v>7831.0</v>
      </c>
      <c r="H1836" s="11">
        <v>1999.0</v>
      </c>
    </row>
    <row r="1837">
      <c r="A1837" s="10">
        <v>44205.0</v>
      </c>
      <c r="B1837" s="11">
        <v>1139.0</v>
      </c>
      <c r="C1837" s="12">
        <v>0.5406</v>
      </c>
      <c r="D1837" s="2">
        <v>0.0018402777777777777</v>
      </c>
      <c r="E1837" s="12">
        <v>1.06</v>
      </c>
      <c r="F1837" s="12">
        <v>5.03</v>
      </c>
      <c r="G1837" s="11">
        <v>6082.0</v>
      </c>
      <c r="H1837" s="11">
        <v>1208.0</v>
      </c>
    </row>
    <row r="1838">
      <c r="A1838" s="10">
        <v>44206.0</v>
      </c>
      <c r="B1838" s="11">
        <v>1264.0</v>
      </c>
      <c r="C1838" s="12">
        <v>0.5202</v>
      </c>
      <c r="D1838" s="2">
        <v>0.0017592592592592592</v>
      </c>
      <c r="E1838" s="12">
        <v>1.08</v>
      </c>
      <c r="F1838" s="12">
        <v>4.29</v>
      </c>
      <c r="G1838" s="11">
        <v>5832.0</v>
      </c>
      <c r="H1838" s="11">
        <v>1361.0</v>
      </c>
    </row>
    <row r="1839">
      <c r="A1839" s="10">
        <v>44207.0</v>
      </c>
      <c r="B1839" s="11">
        <v>1972.0</v>
      </c>
      <c r="C1839" s="12">
        <v>0.5284</v>
      </c>
      <c r="D1839" s="2">
        <v>0.0015972222222222223</v>
      </c>
      <c r="E1839" s="12">
        <v>1.11</v>
      </c>
      <c r="F1839" s="12">
        <v>4.15</v>
      </c>
      <c r="G1839" s="11">
        <v>9053.0</v>
      </c>
      <c r="H1839" s="11">
        <v>2180.0</v>
      </c>
    </row>
    <row r="1840">
      <c r="A1840" s="10">
        <v>44208.0</v>
      </c>
      <c r="B1840" s="11">
        <v>1875.0</v>
      </c>
      <c r="C1840" s="12">
        <v>0.4313</v>
      </c>
      <c r="D1840" s="2">
        <v>0.002210648148148148</v>
      </c>
      <c r="E1840" s="12">
        <v>1.13</v>
      </c>
      <c r="F1840" s="12">
        <v>4.06</v>
      </c>
      <c r="G1840" s="11">
        <v>8623.0</v>
      </c>
      <c r="H1840" s="11">
        <v>2124.0</v>
      </c>
    </row>
    <row r="1841">
      <c r="A1841" s="10">
        <v>44209.0</v>
      </c>
      <c r="B1841" s="11">
        <v>1666.0</v>
      </c>
      <c r="C1841" s="12">
        <v>0.4592</v>
      </c>
      <c r="D1841" s="2">
        <v>0.0025462962962962965</v>
      </c>
      <c r="E1841" s="12">
        <v>1.13</v>
      </c>
      <c r="F1841" s="12">
        <v>6.07</v>
      </c>
      <c r="G1841" s="11">
        <v>11386.0</v>
      </c>
      <c r="H1841" s="11">
        <v>1875.0</v>
      </c>
    </row>
    <row r="1842">
      <c r="A1842" s="10">
        <v>44210.0</v>
      </c>
      <c r="B1842" s="11">
        <v>1819.0</v>
      </c>
      <c r="C1842" s="12">
        <v>0.5</v>
      </c>
      <c r="D1842" s="2">
        <v>0.0021875</v>
      </c>
      <c r="E1842" s="12">
        <v>1.07</v>
      </c>
      <c r="F1842" s="12">
        <v>5.38</v>
      </c>
      <c r="G1842" s="11">
        <v>10456.0</v>
      </c>
      <c r="H1842" s="11">
        <v>1944.0</v>
      </c>
    </row>
    <row r="1843">
      <c r="A1843" s="10">
        <v>44211.0</v>
      </c>
      <c r="B1843" s="11">
        <v>1555.0</v>
      </c>
      <c r="C1843" s="12">
        <v>0.5307</v>
      </c>
      <c r="D1843" s="2">
        <v>0.002928240740740741</v>
      </c>
      <c r="E1843" s="12">
        <v>1.16</v>
      </c>
      <c r="F1843" s="12">
        <v>7.09</v>
      </c>
      <c r="G1843" s="11">
        <v>12802.0</v>
      </c>
      <c r="H1843" s="11">
        <v>1805.0</v>
      </c>
    </row>
    <row r="1844">
      <c r="A1844" s="10">
        <v>44212.0</v>
      </c>
      <c r="B1844" s="11">
        <v>986.0</v>
      </c>
      <c r="C1844" s="12">
        <v>0.5881</v>
      </c>
      <c r="D1844" s="2">
        <v>0.0028356481481481483</v>
      </c>
      <c r="E1844" s="12">
        <v>1.2</v>
      </c>
      <c r="F1844" s="12">
        <v>4.54</v>
      </c>
      <c r="G1844" s="11">
        <v>5360.0</v>
      </c>
      <c r="H1844" s="11">
        <v>1180.0</v>
      </c>
    </row>
    <row r="1845">
      <c r="A1845" s="10">
        <v>44213.0</v>
      </c>
      <c r="B1845" s="11">
        <v>1180.0</v>
      </c>
      <c r="C1845" s="12">
        <v>0.4897</v>
      </c>
      <c r="D1845" s="2">
        <v>0.0018287037037037037</v>
      </c>
      <c r="E1845" s="12">
        <v>1.11</v>
      </c>
      <c r="F1845" s="12">
        <v>4.47</v>
      </c>
      <c r="G1845" s="11">
        <v>5832.0</v>
      </c>
      <c r="H1845" s="11">
        <v>1305.0</v>
      </c>
    </row>
    <row r="1846">
      <c r="A1846" s="10">
        <v>44214.0</v>
      </c>
      <c r="B1846" s="11">
        <v>1514.0</v>
      </c>
      <c r="C1846" s="12">
        <v>0.5084</v>
      </c>
      <c r="D1846" s="2">
        <v>0.0014699074074074074</v>
      </c>
      <c r="E1846" s="12">
        <v>1.1</v>
      </c>
      <c r="F1846" s="12">
        <v>4.3</v>
      </c>
      <c r="G1846" s="11">
        <v>7165.0</v>
      </c>
      <c r="H1846" s="11">
        <v>1666.0</v>
      </c>
    </row>
    <row r="1847">
      <c r="A1847" s="10">
        <v>44215.0</v>
      </c>
      <c r="B1847" s="11">
        <v>2374.0</v>
      </c>
      <c r="C1847" s="12">
        <v>0.4723</v>
      </c>
      <c r="D1847" s="2">
        <v>0.0030324074074074073</v>
      </c>
      <c r="E1847" s="12">
        <v>1.16</v>
      </c>
      <c r="F1847" s="12">
        <v>6.99</v>
      </c>
      <c r="G1847" s="11">
        <v>19301.0</v>
      </c>
      <c r="H1847" s="11">
        <v>2763.0</v>
      </c>
    </row>
    <row r="1848">
      <c r="A1848" s="10">
        <v>44216.0</v>
      </c>
      <c r="B1848" s="11">
        <v>2513.0</v>
      </c>
      <c r="C1848" s="12">
        <v>0.572</v>
      </c>
      <c r="D1848" s="2">
        <v>0.002395833333333333</v>
      </c>
      <c r="E1848" s="12">
        <v>1.15</v>
      </c>
      <c r="F1848" s="12">
        <v>5.2</v>
      </c>
      <c r="G1848" s="11">
        <v>15010.0</v>
      </c>
      <c r="H1848" s="11">
        <v>2888.0</v>
      </c>
    </row>
    <row r="1849">
      <c r="A1849" s="10">
        <v>44217.0</v>
      </c>
      <c r="B1849" s="11">
        <v>2444.0</v>
      </c>
      <c r="C1849" s="12">
        <v>0.5105</v>
      </c>
      <c r="D1849" s="2">
        <v>0.001863425925925926</v>
      </c>
      <c r="E1849" s="12">
        <v>1.09</v>
      </c>
      <c r="F1849" s="12">
        <v>4.12</v>
      </c>
      <c r="G1849" s="11">
        <v>10997.0</v>
      </c>
      <c r="H1849" s="11">
        <v>2666.0</v>
      </c>
    </row>
    <row r="1850">
      <c r="A1850" s="10">
        <v>44218.0</v>
      </c>
      <c r="B1850" s="11">
        <v>2222.0</v>
      </c>
      <c r="C1850" s="12">
        <v>0.5386</v>
      </c>
      <c r="D1850" s="2">
        <v>0.002824074074074074</v>
      </c>
      <c r="E1850" s="12">
        <v>1.14</v>
      </c>
      <c r="F1850" s="12">
        <v>6.18</v>
      </c>
      <c r="G1850" s="11">
        <v>15607.0</v>
      </c>
      <c r="H1850" s="11">
        <v>2527.0</v>
      </c>
    </row>
    <row r="1851">
      <c r="A1851" s="10">
        <v>44219.0</v>
      </c>
      <c r="B1851" s="11">
        <v>1625.0</v>
      </c>
      <c r="C1851" s="12">
        <v>0.6269</v>
      </c>
      <c r="D1851" s="2">
        <v>0.0011458333333333333</v>
      </c>
      <c r="E1851" s="12">
        <v>1.08</v>
      </c>
      <c r="F1851" s="12">
        <v>3.74</v>
      </c>
      <c r="G1851" s="11">
        <v>6540.0</v>
      </c>
      <c r="H1851" s="11">
        <v>1750.0</v>
      </c>
    </row>
    <row r="1852">
      <c r="A1852" s="10">
        <v>44220.0</v>
      </c>
      <c r="B1852" s="11">
        <v>1833.0</v>
      </c>
      <c r="C1852" s="12">
        <v>0.5842</v>
      </c>
      <c r="D1852" s="2">
        <v>0.0018171296296296297</v>
      </c>
      <c r="E1852" s="12">
        <v>1.08</v>
      </c>
      <c r="F1852" s="12">
        <v>3.83</v>
      </c>
      <c r="G1852" s="11">
        <v>7554.0</v>
      </c>
      <c r="H1852" s="11">
        <v>1972.0</v>
      </c>
    </row>
    <row r="1853">
      <c r="A1853" s="10">
        <v>44221.0</v>
      </c>
      <c r="B1853" s="11">
        <v>2416.0</v>
      </c>
      <c r="C1853" s="12">
        <v>0.5406</v>
      </c>
      <c r="D1853" s="2">
        <v>0.0017592592592592592</v>
      </c>
      <c r="E1853" s="12">
        <v>1.14</v>
      </c>
      <c r="F1853" s="12">
        <v>5.08</v>
      </c>
      <c r="G1853" s="11">
        <v>13955.0</v>
      </c>
      <c r="H1853" s="11">
        <v>2749.0</v>
      </c>
    </row>
    <row r="1854">
      <c r="A1854" s="10">
        <v>44222.0</v>
      </c>
      <c r="B1854" s="11">
        <v>2416.0</v>
      </c>
      <c r="C1854" s="12">
        <v>0.5716</v>
      </c>
      <c r="D1854" s="2">
        <v>0.0012268518518518518</v>
      </c>
      <c r="E1854" s="12">
        <v>1.09</v>
      </c>
      <c r="F1854" s="12">
        <v>3.95</v>
      </c>
      <c r="G1854" s="11">
        <v>10358.0</v>
      </c>
      <c r="H1854" s="11">
        <v>2624.0</v>
      </c>
    </row>
    <row r="1855">
      <c r="A1855" s="10">
        <v>44223.0</v>
      </c>
      <c r="B1855" s="11">
        <v>2569.0</v>
      </c>
      <c r="C1855" s="12">
        <v>0.4517</v>
      </c>
      <c r="D1855" s="2">
        <v>0.0027083333333333334</v>
      </c>
      <c r="E1855" s="12">
        <v>1.17</v>
      </c>
      <c r="F1855" s="12">
        <v>4.74</v>
      </c>
      <c r="G1855" s="11">
        <v>14274.0</v>
      </c>
      <c r="H1855" s="11">
        <v>3013.0</v>
      </c>
    </row>
    <row r="1856">
      <c r="A1856" s="10">
        <v>44224.0</v>
      </c>
      <c r="B1856" s="11">
        <v>2319.0</v>
      </c>
      <c r="C1856" s="12">
        <v>0.4759</v>
      </c>
      <c r="D1856" s="2">
        <v>0.0024189814814814816</v>
      </c>
      <c r="E1856" s="12">
        <v>1.12</v>
      </c>
      <c r="F1856" s="12">
        <v>4.65</v>
      </c>
      <c r="G1856" s="11">
        <v>12066.0</v>
      </c>
      <c r="H1856" s="11">
        <v>2597.0</v>
      </c>
    </row>
    <row r="1857">
      <c r="A1857" s="10">
        <v>44225.0</v>
      </c>
      <c r="B1857" s="11">
        <v>2083.0</v>
      </c>
      <c r="C1857" s="12">
        <v>0.5386</v>
      </c>
      <c r="D1857" s="2">
        <v>0.0018981481481481482</v>
      </c>
      <c r="E1857" s="12">
        <v>1.13</v>
      </c>
      <c r="F1857" s="12">
        <v>5.34</v>
      </c>
      <c r="G1857" s="11">
        <v>12538.0</v>
      </c>
      <c r="H1857" s="11">
        <v>2347.0</v>
      </c>
    </row>
    <row r="1858">
      <c r="A1858" s="10">
        <v>44226.0</v>
      </c>
      <c r="B1858" s="11">
        <v>1444.0</v>
      </c>
      <c r="C1858" s="12">
        <v>0.5042</v>
      </c>
      <c r="D1858" s="2">
        <v>0.001574074074074074</v>
      </c>
      <c r="E1858" s="12">
        <v>1.14</v>
      </c>
      <c r="F1858" s="12">
        <v>5.31</v>
      </c>
      <c r="G1858" s="11">
        <v>8776.0</v>
      </c>
      <c r="H1858" s="11">
        <v>1652.0</v>
      </c>
    </row>
    <row r="1859">
      <c r="A1859" s="10">
        <v>44227.0</v>
      </c>
      <c r="B1859" s="11">
        <v>1666.0</v>
      </c>
      <c r="C1859" s="12">
        <v>0.5723</v>
      </c>
      <c r="D1859" s="2">
        <v>0.0011689814814814816</v>
      </c>
      <c r="E1859" s="12">
        <v>1.09</v>
      </c>
      <c r="F1859" s="12">
        <v>3.18</v>
      </c>
      <c r="G1859" s="11">
        <v>5776.0</v>
      </c>
      <c r="H1859" s="11">
        <v>1819.0</v>
      </c>
    </row>
    <row r="1860">
      <c r="A1860" s="10">
        <v>44228.0</v>
      </c>
      <c r="B1860" s="11">
        <v>2388.0</v>
      </c>
      <c r="C1860" s="12">
        <v>0.5151</v>
      </c>
      <c r="D1860" s="2">
        <v>0.0022222222222222222</v>
      </c>
      <c r="E1860" s="12">
        <v>1.15</v>
      </c>
      <c r="F1860" s="12">
        <v>3.84</v>
      </c>
      <c r="G1860" s="11">
        <v>10553.0</v>
      </c>
      <c r="H1860" s="11">
        <v>2749.0</v>
      </c>
    </row>
    <row r="1861">
      <c r="A1861" s="10">
        <v>44229.0</v>
      </c>
      <c r="B1861" s="11">
        <v>2749.0</v>
      </c>
      <c r="C1861" s="12">
        <v>0.5252</v>
      </c>
      <c r="D1861" s="2">
        <v>0.0027083333333333334</v>
      </c>
      <c r="E1861" s="12">
        <v>1.11</v>
      </c>
      <c r="F1861" s="12">
        <v>4.69</v>
      </c>
      <c r="G1861" s="11">
        <v>14260.0</v>
      </c>
      <c r="H1861" s="11">
        <v>3041.0</v>
      </c>
    </row>
    <row r="1862">
      <c r="A1862" s="10">
        <v>44230.0</v>
      </c>
      <c r="B1862" s="11">
        <v>2860.0</v>
      </c>
      <c r="C1862" s="12">
        <v>0.4755</v>
      </c>
      <c r="D1862" s="2">
        <v>0.002349537037037037</v>
      </c>
      <c r="E1862" s="12">
        <v>1.08</v>
      </c>
      <c r="F1862" s="12">
        <v>4.47</v>
      </c>
      <c r="G1862" s="11">
        <v>13830.0</v>
      </c>
      <c r="H1862" s="11">
        <v>3096.0</v>
      </c>
    </row>
    <row r="1863">
      <c r="A1863" s="10">
        <v>44231.0</v>
      </c>
      <c r="B1863" s="11">
        <v>2458.0</v>
      </c>
      <c r="C1863" s="12">
        <v>0.5051</v>
      </c>
      <c r="D1863" s="2">
        <v>0.0017013888888888888</v>
      </c>
      <c r="E1863" s="12">
        <v>1.11</v>
      </c>
      <c r="F1863" s="12">
        <v>3.4</v>
      </c>
      <c r="G1863" s="11">
        <v>9248.0</v>
      </c>
      <c r="H1863" s="11">
        <v>2722.0</v>
      </c>
    </row>
    <row r="1864">
      <c r="A1864" s="10">
        <v>44232.0</v>
      </c>
      <c r="B1864" s="11">
        <v>2027.0</v>
      </c>
      <c r="C1864" s="12">
        <v>0.4714</v>
      </c>
      <c r="D1864" s="2">
        <v>0.0020833333333333333</v>
      </c>
      <c r="E1864" s="12">
        <v>1.21</v>
      </c>
      <c r="F1864" s="12">
        <v>4.96</v>
      </c>
      <c r="G1864" s="11">
        <v>12122.0</v>
      </c>
      <c r="H1864" s="11">
        <v>2444.0</v>
      </c>
    </row>
    <row r="1865">
      <c r="A1865" s="10">
        <v>44233.0</v>
      </c>
      <c r="B1865" s="11">
        <v>1250.0</v>
      </c>
      <c r="C1865" s="12">
        <v>0.4913</v>
      </c>
      <c r="D1865" s="2">
        <v>0.002372685185185185</v>
      </c>
      <c r="E1865" s="12">
        <v>1.24</v>
      </c>
      <c r="F1865" s="12">
        <v>5.32</v>
      </c>
      <c r="G1865" s="11">
        <v>8276.0</v>
      </c>
      <c r="H1865" s="11">
        <v>1555.0</v>
      </c>
    </row>
    <row r="1866">
      <c r="A1866" s="10">
        <v>44234.0</v>
      </c>
      <c r="B1866" s="11">
        <v>1472.0</v>
      </c>
      <c r="C1866" s="12">
        <v>0.5042</v>
      </c>
      <c r="D1866" s="2">
        <v>0.002800925925925926</v>
      </c>
      <c r="E1866" s="12">
        <v>1.12</v>
      </c>
      <c r="F1866" s="12">
        <v>4.81</v>
      </c>
      <c r="G1866" s="11">
        <v>7942.0</v>
      </c>
      <c r="H1866" s="11">
        <v>1652.0</v>
      </c>
    </row>
    <row r="1867">
      <c r="A1867" s="10">
        <v>44235.0</v>
      </c>
      <c r="B1867" s="11">
        <v>2333.0</v>
      </c>
      <c r="C1867" s="12">
        <v>0.4575</v>
      </c>
      <c r="D1867" s="2">
        <v>0.0022569444444444442</v>
      </c>
      <c r="E1867" s="12">
        <v>1.12</v>
      </c>
      <c r="F1867" s="12">
        <v>4.8</v>
      </c>
      <c r="G1867" s="11">
        <v>12538.0</v>
      </c>
      <c r="H1867" s="11">
        <v>2610.0</v>
      </c>
    </row>
    <row r="1868">
      <c r="A1868" s="10">
        <v>44236.0</v>
      </c>
      <c r="B1868" s="11">
        <v>2180.0</v>
      </c>
      <c r="C1868" s="12">
        <v>0.4801</v>
      </c>
      <c r="D1868" s="2">
        <v>0.0018981481481481482</v>
      </c>
      <c r="E1868" s="12">
        <v>1.13</v>
      </c>
      <c r="F1868" s="12">
        <v>4.6</v>
      </c>
      <c r="G1868" s="11">
        <v>11317.0</v>
      </c>
      <c r="H1868" s="11">
        <v>2458.0</v>
      </c>
    </row>
    <row r="1869">
      <c r="A1869" s="10">
        <v>44237.0</v>
      </c>
      <c r="B1869" s="11">
        <v>2430.0</v>
      </c>
      <c r="C1869" s="12">
        <v>0.6127</v>
      </c>
      <c r="D1869" s="2">
        <v>0.0018171296296296297</v>
      </c>
      <c r="E1869" s="12">
        <v>1.09</v>
      </c>
      <c r="F1869" s="12">
        <v>4.18</v>
      </c>
      <c r="G1869" s="11">
        <v>11094.0</v>
      </c>
      <c r="H1869" s="11">
        <v>2652.0</v>
      </c>
    </row>
    <row r="1870">
      <c r="A1870" s="10">
        <v>44238.0</v>
      </c>
      <c r="B1870" s="11">
        <v>2152.0</v>
      </c>
      <c r="C1870" s="12">
        <v>0.4912</v>
      </c>
      <c r="D1870" s="2">
        <v>0.002534722222222222</v>
      </c>
      <c r="E1870" s="12">
        <v>1.1</v>
      </c>
      <c r="F1870" s="12">
        <v>6.37</v>
      </c>
      <c r="G1870" s="11">
        <v>15121.0</v>
      </c>
      <c r="H1870" s="11">
        <v>2374.0</v>
      </c>
    </row>
    <row r="1871">
      <c r="A1871" s="10">
        <v>44239.0</v>
      </c>
      <c r="B1871" s="11">
        <v>1722.0</v>
      </c>
      <c r="C1871" s="12">
        <v>0.5142</v>
      </c>
      <c r="D1871" s="2">
        <v>0.0020717592592592593</v>
      </c>
      <c r="E1871" s="12">
        <v>1.15</v>
      </c>
      <c r="F1871" s="12">
        <v>4.3</v>
      </c>
      <c r="G1871" s="11">
        <v>8470.0</v>
      </c>
      <c r="H1871" s="11">
        <v>1972.0</v>
      </c>
    </row>
    <row r="1872">
      <c r="A1872" s="10">
        <v>44240.0</v>
      </c>
      <c r="B1872" s="11">
        <v>1347.0</v>
      </c>
      <c r="C1872" s="12">
        <v>0.524</v>
      </c>
      <c r="D1872" s="2">
        <v>0.0018865740740740742</v>
      </c>
      <c r="E1872" s="12">
        <v>1.08</v>
      </c>
      <c r="F1872" s="12">
        <v>5.31</v>
      </c>
      <c r="G1872" s="11">
        <v>7748.0</v>
      </c>
      <c r="H1872" s="11">
        <v>1458.0</v>
      </c>
    </row>
    <row r="1873">
      <c r="A1873" s="10">
        <v>44241.0</v>
      </c>
      <c r="B1873" s="11">
        <v>1375.0</v>
      </c>
      <c r="C1873" s="12">
        <v>0.5273</v>
      </c>
      <c r="D1873" s="2">
        <v>0.002939814814814815</v>
      </c>
      <c r="E1873" s="12">
        <v>1.09</v>
      </c>
      <c r="F1873" s="12">
        <v>5.73</v>
      </c>
      <c r="G1873" s="11">
        <v>8595.0</v>
      </c>
      <c r="H1873" s="11">
        <v>1500.0</v>
      </c>
    </row>
    <row r="1874">
      <c r="A1874" s="10">
        <v>44242.0</v>
      </c>
      <c r="B1874" s="11">
        <v>1694.0</v>
      </c>
      <c r="C1874" s="12">
        <v>0.5109</v>
      </c>
      <c r="D1874" s="2">
        <v>0.0027199074074074074</v>
      </c>
      <c r="E1874" s="12">
        <v>1.14</v>
      </c>
      <c r="F1874" s="12">
        <v>5.37</v>
      </c>
      <c r="G1874" s="11">
        <v>10358.0</v>
      </c>
      <c r="H1874" s="11">
        <v>1930.0</v>
      </c>
    </row>
    <row r="1875">
      <c r="A1875" s="10">
        <v>44243.0</v>
      </c>
      <c r="B1875" s="11">
        <v>2166.0</v>
      </c>
      <c r="C1875" s="12">
        <v>0.5057</v>
      </c>
      <c r="D1875" s="2">
        <v>0.001736111111111111</v>
      </c>
      <c r="E1875" s="12">
        <v>1.14</v>
      </c>
      <c r="F1875" s="12">
        <v>3.88</v>
      </c>
      <c r="G1875" s="11">
        <v>9595.0</v>
      </c>
      <c r="H1875" s="11">
        <v>2472.0</v>
      </c>
    </row>
    <row r="1876">
      <c r="A1876" s="10">
        <v>44244.0</v>
      </c>
      <c r="B1876" s="11">
        <v>2472.0</v>
      </c>
      <c r="C1876" s="12">
        <v>0.5355</v>
      </c>
      <c r="D1876" s="2">
        <v>0.001724537037037037</v>
      </c>
      <c r="E1876" s="12">
        <v>1.11</v>
      </c>
      <c r="F1876" s="12">
        <v>3.67</v>
      </c>
      <c r="G1876" s="11">
        <v>10081.0</v>
      </c>
      <c r="H1876" s="11">
        <v>2749.0</v>
      </c>
    </row>
    <row r="1877">
      <c r="A1877" s="10">
        <v>44245.0</v>
      </c>
      <c r="B1877" s="11">
        <v>2166.0</v>
      </c>
      <c r="C1877" s="12">
        <v>0.4895</v>
      </c>
      <c r="D1877" s="2">
        <v>0.0024074074074074076</v>
      </c>
      <c r="E1877" s="12">
        <v>1.23</v>
      </c>
      <c r="F1877" s="12">
        <v>4.87</v>
      </c>
      <c r="G1877" s="11">
        <v>12983.0</v>
      </c>
      <c r="H1877" s="11">
        <v>2666.0</v>
      </c>
    </row>
    <row r="1878">
      <c r="A1878" s="10">
        <v>44246.0</v>
      </c>
      <c r="B1878" s="11">
        <v>1944.0</v>
      </c>
      <c r="C1878" s="12">
        <v>0.5159</v>
      </c>
      <c r="D1878" s="2">
        <v>0.0025810185185185185</v>
      </c>
      <c r="E1878" s="12">
        <v>1.14</v>
      </c>
      <c r="F1878" s="12">
        <v>4.48</v>
      </c>
      <c r="G1878" s="11">
        <v>9886.0</v>
      </c>
      <c r="H1878" s="11">
        <v>2208.0</v>
      </c>
    </row>
    <row r="1879">
      <c r="A1879" s="10">
        <v>44247.0</v>
      </c>
      <c r="B1879" s="11">
        <v>1305.0</v>
      </c>
      <c r="C1879" s="12">
        <v>0.5469</v>
      </c>
      <c r="D1879" s="2">
        <v>0.0023263888888888887</v>
      </c>
      <c r="E1879" s="12">
        <v>1.13</v>
      </c>
      <c r="F1879" s="12">
        <v>5.04</v>
      </c>
      <c r="G1879" s="11">
        <v>7415.0</v>
      </c>
      <c r="H1879" s="11">
        <v>1472.0</v>
      </c>
    </row>
    <row r="1880">
      <c r="A1880" s="10">
        <v>44248.0</v>
      </c>
      <c r="B1880" s="11">
        <v>1375.0</v>
      </c>
      <c r="C1880" s="12">
        <v>0.6723</v>
      </c>
      <c r="D1880" s="2">
        <v>0.0018287037037037037</v>
      </c>
      <c r="E1880" s="12">
        <v>1.17</v>
      </c>
      <c r="F1880" s="12">
        <v>4.2</v>
      </c>
      <c r="G1880" s="11">
        <v>6762.0</v>
      </c>
      <c r="H1880" s="11">
        <v>1611.0</v>
      </c>
    </row>
    <row r="1881">
      <c r="A1881" s="10">
        <v>44249.0</v>
      </c>
      <c r="B1881" s="11">
        <v>2249.0</v>
      </c>
      <c r="C1881" s="12">
        <v>0.5139</v>
      </c>
      <c r="D1881" s="2">
        <v>0.0029861111111111113</v>
      </c>
      <c r="E1881" s="12">
        <v>1.1</v>
      </c>
      <c r="F1881" s="12">
        <v>5.29</v>
      </c>
      <c r="G1881" s="11">
        <v>13149.0</v>
      </c>
      <c r="H1881" s="11">
        <v>2485.0</v>
      </c>
    </row>
    <row r="1882">
      <c r="A1882" s="10">
        <v>44250.0</v>
      </c>
      <c r="B1882" s="11">
        <v>2166.0</v>
      </c>
      <c r="C1882" s="12">
        <v>0.5628</v>
      </c>
      <c r="D1882" s="2">
        <v>0.0016203703703703703</v>
      </c>
      <c r="E1882" s="12">
        <v>1.17</v>
      </c>
      <c r="F1882" s="12">
        <v>4.26</v>
      </c>
      <c r="G1882" s="11">
        <v>10817.0</v>
      </c>
      <c r="H1882" s="11">
        <v>2541.0</v>
      </c>
    </row>
    <row r="1883">
      <c r="A1883" s="10">
        <v>44251.0</v>
      </c>
      <c r="B1883" s="11">
        <v>2138.0</v>
      </c>
      <c r="C1883" s="12">
        <v>0.508</v>
      </c>
      <c r="D1883" s="2">
        <v>0.0030439814814814813</v>
      </c>
      <c r="E1883" s="12">
        <v>1.23</v>
      </c>
      <c r="F1883" s="12">
        <v>5.73</v>
      </c>
      <c r="G1883" s="11">
        <v>15038.0</v>
      </c>
      <c r="H1883" s="11">
        <v>2624.0</v>
      </c>
    </row>
    <row r="1884">
      <c r="A1884" s="10">
        <v>44252.0</v>
      </c>
      <c r="B1884" s="11">
        <v>2347.0</v>
      </c>
      <c r="C1884" s="12">
        <v>0.4645</v>
      </c>
      <c r="D1884" s="2">
        <v>0.0031018518518518517</v>
      </c>
      <c r="E1884" s="12">
        <v>1.17</v>
      </c>
      <c r="F1884" s="12">
        <v>5.8</v>
      </c>
      <c r="G1884" s="11">
        <v>15954.0</v>
      </c>
      <c r="H1884" s="11">
        <v>2749.0</v>
      </c>
    </row>
    <row r="1885">
      <c r="A1885" s="10">
        <v>44253.0</v>
      </c>
      <c r="B1885" s="11">
        <v>2236.0</v>
      </c>
      <c r="C1885" s="12">
        <v>0.607</v>
      </c>
      <c r="D1885" s="2">
        <v>0.001712962962962963</v>
      </c>
      <c r="E1885" s="12">
        <v>1.07</v>
      </c>
      <c r="F1885" s="12">
        <v>3.41</v>
      </c>
      <c r="G1885" s="11">
        <v>8192.0</v>
      </c>
      <c r="H1885" s="11">
        <v>2402.0</v>
      </c>
    </row>
    <row r="1886">
      <c r="A1886" s="10">
        <v>44254.0</v>
      </c>
      <c r="B1886" s="11">
        <v>3582.0</v>
      </c>
      <c r="C1886" s="12">
        <v>0.4405</v>
      </c>
      <c r="D1886" s="2">
        <v>0.0015046296296296296</v>
      </c>
      <c r="E1886" s="12">
        <v>1.07</v>
      </c>
      <c r="F1886" s="12">
        <v>4.32</v>
      </c>
      <c r="G1886" s="11">
        <v>16621.0</v>
      </c>
      <c r="H1886" s="11">
        <v>3846.0</v>
      </c>
    </row>
    <row r="1887">
      <c r="A1887" s="10">
        <v>44255.0</v>
      </c>
      <c r="B1887" s="11">
        <v>2263.0</v>
      </c>
      <c r="C1887" s="12">
        <v>0.5465</v>
      </c>
      <c r="D1887" s="2">
        <v>0.001712962962962963</v>
      </c>
      <c r="E1887" s="12">
        <v>1.06</v>
      </c>
      <c r="F1887" s="12">
        <v>4.58</v>
      </c>
      <c r="G1887" s="11">
        <v>10942.0</v>
      </c>
      <c r="H1887" s="11">
        <v>2388.0</v>
      </c>
    </row>
    <row r="1888">
      <c r="A1888" s="10">
        <v>44256.0</v>
      </c>
      <c r="B1888" s="11">
        <v>3013.0</v>
      </c>
      <c r="C1888" s="12">
        <v>0.5749</v>
      </c>
      <c r="D1888" s="2">
        <v>0.0018402777777777777</v>
      </c>
      <c r="E1888" s="12">
        <v>1.14</v>
      </c>
      <c r="F1888" s="12">
        <v>3.81</v>
      </c>
      <c r="G1888" s="11">
        <v>13052.0</v>
      </c>
      <c r="H1888" s="11">
        <v>3430.0</v>
      </c>
    </row>
    <row r="1889">
      <c r="A1889" s="10">
        <v>44257.0</v>
      </c>
      <c r="B1889" s="11">
        <v>3388.0</v>
      </c>
      <c r="C1889" s="12">
        <v>0.5619</v>
      </c>
      <c r="D1889" s="2">
        <v>0.0016898148148148148</v>
      </c>
      <c r="E1889" s="12">
        <v>1.12</v>
      </c>
      <c r="F1889" s="12">
        <v>3.54</v>
      </c>
      <c r="G1889" s="11">
        <v>13483.0</v>
      </c>
      <c r="H1889" s="11">
        <v>3805.0</v>
      </c>
    </row>
    <row r="1890">
      <c r="A1890" s="10">
        <v>44258.0</v>
      </c>
      <c r="B1890" s="11">
        <v>2999.0</v>
      </c>
      <c r="C1890" s="12">
        <v>0.5291</v>
      </c>
      <c r="D1890" s="2">
        <v>0.0019328703703703704</v>
      </c>
      <c r="E1890" s="12">
        <v>1.11</v>
      </c>
      <c r="F1890" s="12">
        <v>3.81</v>
      </c>
      <c r="G1890" s="11">
        <v>12705.0</v>
      </c>
      <c r="H1890" s="11">
        <v>3332.0</v>
      </c>
    </row>
    <row r="1891">
      <c r="A1891" s="10">
        <v>44259.0</v>
      </c>
      <c r="B1891" s="11">
        <v>2513.0</v>
      </c>
      <c r="C1891" s="12">
        <v>0.6389</v>
      </c>
      <c r="D1891" s="2">
        <v>0.002210648148148148</v>
      </c>
      <c r="E1891" s="12">
        <v>1.13</v>
      </c>
      <c r="F1891" s="12">
        <v>4.99</v>
      </c>
      <c r="G1891" s="11">
        <v>14205.0</v>
      </c>
      <c r="H1891" s="11">
        <v>2847.0</v>
      </c>
    </row>
    <row r="1892">
      <c r="A1892" s="10">
        <v>44260.0</v>
      </c>
      <c r="B1892" s="11">
        <v>2083.0</v>
      </c>
      <c r="C1892" s="12">
        <v>0.5</v>
      </c>
      <c r="D1892" s="2">
        <v>0.0020949074074074073</v>
      </c>
      <c r="E1892" s="12">
        <v>1.15</v>
      </c>
      <c r="F1892" s="12">
        <v>3.41</v>
      </c>
      <c r="G1892" s="11">
        <v>8137.0</v>
      </c>
      <c r="H1892" s="11">
        <v>2388.0</v>
      </c>
    </row>
    <row r="1893">
      <c r="A1893" s="10">
        <v>44261.0</v>
      </c>
      <c r="B1893" s="11">
        <v>1666.0</v>
      </c>
      <c r="C1893" s="12">
        <v>0.6349</v>
      </c>
      <c r="D1893" s="2">
        <v>0.0014583333333333334</v>
      </c>
      <c r="E1893" s="12">
        <v>1.05</v>
      </c>
      <c r="F1893" s="12">
        <v>3.25</v>
      </c>
      <c r="G1893" s="11">
        <v>5679.0</v>
      </c>
      <c r="H1893" s="11">
        <v>1750.0</v>
      </c>
    </row>
    <row r="1894">
      <c r="A1894" s="10">
        <v>44262.0</v>
      </c>
      <c r="B1894" s="11">
        <v>1680.0</v>
      </c>
      <c r="C1894" s="12">
        <v>0.5715</v>
      </c>
      <c r="D1894" s="2">
        <v>0.0019444444444444444</v>
      </c>
      <c r="E1894" s="12">
        <v>1.16</v>
      </c>
      <c r="F1894" s="12">
        <v>4.26</v>
      </c>
      <c r="G1894" s="11">
        <v>8276.0</v>
      </c>
      <c r="H1894" s="11">
        <v>1944.0</v>
      </c>
    </row>
    <row r="1895">
      <c r="A1895" s="10">
        <v>44263.0</v>
      </c>
      <c r="B1895" s="11">
        <v>2277.0</v>
      </c>
      <c r="C1895" s="12">
        <v>0.4973</v>
      </c>
      <c r="D1895" s="2">
        <v>0.002395833333333333</v>
      </c>
      <c r="E1895" s="12">
        <v>1.15</v>
      </c>
      <c r="F1895" s="12">
        <v>3.91</v>
      </c>
      <c r="G1895" s="11">
        <v>10247.0</v>
      </c>
      <c r="H1895" s="11">
        <v>2624.0</v>
      </c>
    </row>
    <row r="1896">
      <c r="A1896" s="10">
        <v>44264.0</v>
      </c>
      <c r="B1896" s="11">
        <v>2513.0</v>
      </c>
      <c r="C1896" s="12">
        <v>0.5328</v>
      </c>
      <c r="D1896" s="2">
        <v>0.0019328703703703704</v>
      </c>
      <c r="E1896" s="12">
        <v>1.1</v>
      </c>
      <c r="F1896" s="12">
        <v>4.64</v>
      </c>
      <c r="G1896" s="11">
        <v>12816.0</v>
      </c>
      <c r="H1896" s="11">
        <v>2763.0</v>
      </c>
    </row>
    <row r="1897">
      <c r="A1897" s="10">
        <v>44265.0</v>
      </c>
      <c r="B1897" s="11">
        <v>2805.0</v>
      </c>
      <c r="C1897" s="12">
        <v>0.5637</v>
      </c>
      <c r="D1897" s="2">
        <v>0.0016666666666666668</v>
      </c>
      <c r="E1897" s="12">
        <v>1.09</v>
      </c>
      <c r="F1897" s="12">
        <v>3.38</v>
      </c>
      <c r="G1897" s="11">
        <v>10317.0</v>
      </c>
      <c r="H1897" s="11">
        <v>3055.0</v>
      </c>
    </row>
    <row r="1898">
      <c r="A1898" s="10">
        <v>44266.0</v>
      </c>
      <c r="B1898" s="11">
        <v>2763.0</v>
      </c>
      <c r="C1898" s="12">
        <v>0.4324</v>
      </c>
      <c r="D1898" s="2">
        <v>0.002210648148148148</v>
      </c>
      <c r="E1898" s="12">
        <v>1.12</v>
      </c>
      <c r="F1898" s="12">
        <v>5.25</v>
      </c>
      <c r="G1898" s="11">
        <v>16176.0</v>
      </c>
      <c r="H1898" s="11">
        <v>3083.0</v>
      </c>
    </row>
    <row r="1899">
      <c r="A1899" s="10">
        <v>44267.0</v>
      </c>
      <c r="B1899" s="11">
        <v>2069.0</v>
      </c>
      <c r="C1899" s="12">
        <v>0.5783</v>
      </c>
      <c r="D1899" s="2">
        <v>0.001979166666666667</v>
      </c>
      <c r="E1899" s="12">
        <v>1.16</v>
      </c>
      <c r="F1899" s="12">
        <v>4.56</v>
      </c>
      <c r="G1899" s="11">
        <v>10956.0</v>
      </c>
      <c r="H1899" s="11">
        <v>2402.0</v>
      </c>
    </row>
    <row r="1900">
      <c r="A1900" s="10">
        <v>44268.0</v>
      </c>
      <c r="B1900" s="11">
        <v>1611.0</v>
      </c>
      <c r="C1900" s="12">
        <v>0.5314</v>
      </c>
      <c r="D1900" s="2">
        <v>0.001851851851851852</v>
      </c>
      <c r="E1900" s="12">
        <v>1.09</v>
      </c>
      <c r="F1900" s="12">
        <v>3.95</v>
      </c>
      <c r="G1900" s="11">
        <v>6915.0</v>
      </c>
      <c r="H1900" s="11">
        <v>1750.0</v>
      </c>
    </row>
    <row r="1901">
      <c r="A1901" s="10">
        <v>44269.0</v>
      </c>
      <c r="B1901" s="11">
        <v>1514.0</v>
      </c>
      <c r="C1901" s="12">
        <v>0.5287</v>
      </c>
      <c r="D1901" s="2">
        <v>9.953703703703704E-4</v>
      </c>
      <c r="E1901" s="12">
        <v>1.13</v>
      </c>
      <c r="F1901" s="12">
        <v>3.25</v>
      </c>
      <c r="G1901" s="11">
        <v>5554.0</v>
      </c>
      <c r="H1901" s="11">
        <v>1708.0</v>
      </c>
    </row>
    <row r="1902">
      <c r="A1902" s="10">
        <v>44270.0</v>
      </c>
      <c r="B1902" s="11">
        <v>2597.0</v>
      </c>
      <c r="C1902" s="12">
        <v>0.4951</v>
      </c>
      <c r="D1902" s="2">
        <v>0.0027546296296296294</v>
      </c>
      <c r="E1902" s="12">
        <v>1.07</v>
      </c>
      <c r="F1902" s="12">
        <v>6.63</v>
      </c>
      <c r="G1902" s="11">
        <v>18398.0</v>
      </c>
      <c r="H1902" s="11">
        <v>2777.0</v>
      </c>
    </row>
    <row r="1903">
      <c r="A1903" s="10">
        <v>44271.0</v>
      </c>
      <c r="B1903" s="11">
        <v>2513.0</v>
      </c>
      <c r="C1903" s="12">
        <v>0.5245</v>
      </c>
      <c r="D1903" s="2">
        <v>0.002210648148148148</v>
      </c>
      <c r="E1903" s="12">
        <v>1.14</v>
      </c>
      <c r="F1903" s="12">
        <v>5.27</v>
      </c>
      <c r="G1903" s="11">
        <v>15066.0</v>
      </c>
      <c r="H1903" s="11">
        <v>2860.0</v>
      </c>
    </row>
    <row r="1904">
      <c r="A1904" s="10">
        <v>44272.0</v>
      </c>
      <c r="B1904" s="11">
        <v>2819.0</v>
      </c>
      <c r="C1904" s="12">
        <v>0.5576</v>
      </c>
      <c r="D1904" s="2">
        <v>0.001400462962962963</v>
      </c>
      <c r="E1904" s="12">
        <v>1.07</v>
      </c>
      <c r="F1904" s="12">
        <v>3.77</v>
      </c>
      <c r="G1904" s="11">
        <v>11372.0</v>
      </c>
      <c r="H1904" s="11">
        <v>3013.0</v>
      </c>
    </row>
    <row r="1905">
      <c r="A1905" s="10">
        <v>44273.0</v>
      </c>
      <c r="B1905" s="11">
        <v>2680.0</v>
      </c>
      <c r="C1905" s="12">
        <v>0.5336</v>
      </c>
      <c r="D1905" s="2">
        <v>0.002025462962962963</v>
      </c>
      <c r="E1905" s="12">
        <v>1.08</v>
      </c>
      <c r="F1905" s="12">
        <v>4.75</v>
      </c>
      <c r="G1905" s="11">
        <v>13705.0</v>
      </c>
      <c r="H1905" s="11">
        <v>2888.0</v>
      </c>
    </row>
    <row r="1906">
      <c r="A1906" s="10">
        <v>44274.0</v>
      </c>
      <c r="B1906" s="11">
        <v>2138.0</v>
      </c>
      <c r="C1906" s="12">
        <v>0.5699</v>
      </c>
      <c r="D1906" s="2">
        <v>0.001574074074074074</v>
      </c>
      <c r="E1906" s="12">
        <v>1.12</v>
      </c>
      <c r="F1906" s="12">
        <v>4.15</v>
      </c>
      <c r="G1906" s="11">
        <v>9914.0</v>
      </c>
      <c r="H1906" s="11">
        <v>2388.0</v>
      </c>
    </row>
    <row r="1907">
      <c r="A1907" s="10">
        <v>44275.0</v>
      </c>
      <c r="B1907" s="11">
        <v>1611.0</v>
      </c>
      <c r="C1907" s="12">
        <v>0.5662</v>
      </c>
      <c r="D1907" s="2">
        <v>0.0021759259259259258</v>
      </c>
      <c r="E1907" s="12">
        <v>1.11</v>
      </c>
      <c r="F1907" s="12">
        <v>3.2</v>
      </c>
      <c r="G1907" s="11">
        <v>5735.0</v>
      </c>
      <c r="H1907" s="11">
        <v>1791.0</v>
      </c>
    </row>
    <row r="1908">
      <c r="A1908" s="10">
        <v>44276.0</v>
      </c>
      <c r="B1908" s="11">
        <v>1777.0</v>
      </c>
      <c r="C1908" s="12">
        <v>0.6057</v>
      </c>
      <c r="D1908" s="2">
        <v>0.001574074074074074</v>
      </c>
      <c r="E1908" s="12">
        <v>1.07</v>
      </c>
      <c r="F1908" s="12">
        <v>3.86</v>
      </c>
      <c r="G1908" s="11">
        <v>7345.0</v>
      </c>
      <c r="H1908" s="11">
        <v>1902.0</v>
      </c>
    </row>
    <row r="1909">
      <c r="A1909" s="10">
        <v>44277.0</v>
      </c>
      <c r="B1909" s="11">
        <v>2402.0</v>
      </c>
      <c r="C1909" s="12">
        <v>0.5408</v>
      </c>
      <c r="D1909" s="2">
        <v>0.0023032407407407407</v>
      </c>
      <c r="E1909" s="12">
        <v>1.13</v>
      </c>
      <c r="F1909" s="12">
        <v>4.65</v>
      </c>
      <c r="G1909" s="11">
        <v>12650.0</v>
      </c>
      <c r="H1909" s="11">
        <v>2722.0</v>
      </c>
    </row>
    <row r="1910">
      <c r="A1910" s="10">
        <v>44278.0</v>
      </c>
      <c r="B1910" s="11">
        <v>2763.0</v>
      </c>
      <c r="C1910" s="12">
        <v>0.5273</v>
      </c>
      <c r="D1910" s="2">
        <v>0.001400462962962963</v>
      </c>
      <c r="E1910" s="12">
        <v>1.11</v>
      </c>
      <c r="F1910" s="12">
        <v>3.81</v>
      </c>
      <c r="G1910" s="11">
        <v>11636.0</v>
      </c>
      <c r="H1910" s="11">
        <v>3055.0</v>
      </c>
    </row>
    <row r="1911">
      <c r="A1911" s="10">
        <v>44279.0</v>
      </c>
      <c r="B1911" s="11">
        <v>2652.0</v>
      </c>
      <c r="C1911" s="12">
        <v>0.5347</v>
      </c>
      <c r="D1911" s="2">
        <v>0.0014814814814814814</v>
      </c>
      <c r="E1911" s="12">
        <v>1.14</v>
      </c>
      <c r="F1911" s="12">
        <v>4.51</v>
      </c>
      <c r="G1911" s="11">
        <v>13580.0</v>
      </c>
      <c r="H1911" s="11">
        <v>3013.0</v>
      </c>
    </row>
    <row r="1912">
      <c r="A1912" s="10">
        <v>44280.0</v>
      </c>
      <c r="B1912" s="11">
        <v>2499.0</v>
      </c>
      <c r="C1912" s="12">
        <v>0.5571</v>
      </c>
      <c r="D1912" s="2">
        <v>0.0018402777777777777</v>
      </c>
      <c r="E1912" s="12">
        <v>1.12</v>
      </c>
      <c r="F1912" s="12">
        <v>3.76</v>
      </c>
      <c r="G1912" s="11">
        <v>10497.0</v>
      </c>
      <c r="H1912" s="11">
        <v>2791.0</v>
      </c>
    </row>
    <row r="1913">
      <c r="A1913" s="10">
        <v>44281.0</v>
      </c>
      <c r="B1913" s="11">
        <v>2027.0</v>
      </c>
      <c r="C1913" s="12">
        <v>0.5563</v>
      </c>
      <c r="D1913" s="2">
        <v>0.002673611111111111</v>
      </c>
      <c r="E1913" s="12">
        <v>1.1</v>
      </c>
      <c r="F1913" s="12">
        <v>5.12</v>
      </c>
      <c r="G1913" s="11">
        <v>11372.0</v>
      </c>
      <c r="H1913" s="11">
        <v>2222.0</v>
      </c>
    </row>
    <row r="1914">
      <c r="A1914" s="10">
        <v>44282.0</v>
      </c>
      <c r="B1914" s="11">
        <v>1763.0</v>
      </c>
      <c r="C1914" s="12">
        <v>0.6819</v>
      </c>
      <c r="D1914" s="2">
        <v>8.796296296296296E-4</v>
      </c>
      <c r="E1914" s="12">
        <v>1.04</v>
      </c>
      <c r="F1914" s="12">
        <v>2.5</v>
      </c>
      <c r="G1914" s="11">
        <v>4582.0</v>
      </c>
      <c r="H1914" s="11">
        <v>1833.0</v>
      </c>
    </row>
    <row r="1915">
      <c r="A1915" s="10">
        <v>44283.0</v>
      </c>
      <c r="B1915" s="11">
        <v>1736.0</v>
      </c>
      <c r="C1915" s="12">
        <v>0.5371</v>
      </c>
      <c r="D1915" s="2">
        <v>0.001724537037037037</v>
      </c>
      <c r="E1915" s="12">
        <v>1.09</v>
      </c>
      <c r="F1915" s="12">
        <v>4.99</v>
      </c>
      <c r="G1915" s="11">
        <v>9428.0</v>
      </c>
      <c r="H1915" s="11">
        <v>1888.0</v>
      </c>
    </row>
    <row r="1916">
      <c r="A1916" s="10">
        <v>44284.0</v>
      </c>
      <c r="B1916" s="11">
        <v>2361.0</v>
      </c>
      <c r="C1916" s="12">
        <v>0.5348</v>
      </c>
      <c r="D1916" s="2">
        <v>0.0027083333333333334</v>
      </c>
      <c r="E1916" s="12">
        <v>1.19</v>
      </c>
      <c r="F1916" s="12">
        <v>6.56</v>
      </c>
      <c r="G1916" s="11">
        <v>18412.0</v>
      </c>
      <c r="H1916" s="11">
        <v>2805.0</v>
      </c>
    </row>
    <row r="1917">
      <c r="A1917" s="10">
        <v>44285.0</v>
      </c>
      <c r="B1917" s="11">
        <v>2485.0</v>
      </c>
      <c r="C1917" s="12">
        <v>0.5457</v>
      </c>
      <c r="D1917" s="2">
        <v>0.0019097222222222222</v>
      </c>
      <c r="E1917" s="12">
        <v>1.11</v>
      </c>
      <c r="F1917" s="12">
        <v>3.73</v>
      </c>
      <c r="G1917" s="11">
        <v>10261.0</v>
      </c>
      <c r="H1917" s="11">
        <v>2749.0</v>
      </c>
    </row>
    <row r="1918">
      <c r="A1918" s="10">
        <v>44286.0</v>
      </c>
      <c r="B1918" s="11">
        <v>2735.0</v>
      </c>
      <c r="C1918" s="12">
        <v>0.5256</v>
      </c>
      <c r="D1918" s="2">
        <v>0.0021643518518518518</v>
      </c>
      <c r="E1918" s="12">
        <v>1.09</v>
      </c>
      <c r="F1918" s="12">
        <v>4.77</v>
      </c>
      <c r="G1918" s="11">
        <v>14246.0</v>
      </c>
      <c r="H1918" s="11">
        <v>2985.0</v>
      </c>
    </row>
    <row r="1919">
      <c r="A1919" s="10">
        <v>44287.0</v>
      </c>
      <c r="B1919" s="11">
        <v>2666.0</v>
      </c>
      <c r="C1919" s="12">
        <v>0.5811</v>
      </c>
      <c r="D1919" s="2">
        <v>0.00125</v>
      </c>
      <c r="E1919" s="12">
        <v>1.06</v>
      </c>
      <c r="F1919" s="12">
        <v>3.02</v>
      </c>
      <c r="G1919" s="11">
        <v>8526.0</v>
      </c>
      <c r="H1919" s="11">
        <v>2819.0</v>
      </c>
    </row>
    <row r="1920">
      <c r="A1920" s="10">
        <v>44288.0</v>
      </c>
      <c r="B1920" s="11">
        <v>2097.0</v>
      </c>
      <c r="C1920" s="12">
        <v>0.5152</v>
      </c>
      <c r="D1920" s="2">
        <v>0.0016203703703703703</v>
      </c>
      <c r="E1920" s="12">
        <v>1.07</v>
      </c>
      <c r="F1920" s="12">
        <v>4.11</v>
      </c>
      <c r="G1920" s="11">
        <v>9192.0</v>
      </c>
      <c r="H1920" s="11">
        <v>2236.0</v>
      </c>
    </row>
    <row r="1921">
      <c r="A1921" s="10">
        <v>44289.0</v>
      </c>
      <c r="B1921" s="11">
        <v>1638.0</v>
      </c>
      <c r="C1921" s="12">
        <v>0.5634</v>
      </c>
      <c r="D1921" s="2">
        <v>0.0015972222222222223</v>
      </c>
      <c r="E1921" s="12">
        <v>1.07</v>
      </c>
      <c r="F1921" s="12">
        <v>2.94</v>
      </c>
      <c r="G1921" s="11">
        <v>5138.0</v>
      </c>
      <c r="H1921" s="11">
        <v>1750.0</v>
      </c>
    </row>
    <row r="1922">
      <c r="A1922" s="10">
        <v>44290.0</v>
      </c>
      <c r="B1922" s="11">
        <v>1638.0</v>
      </c>
      <c r="C1922" s="12">
        <v>0.5</v>
      </c>
      <c r="D1922" s="2">
        <v>0.0025</v>
      </c>
      <c r="E1922" s="12">
        <v>1.07</v>
      </c>
      <c r="F1922" s="12">
        <v>5.18</v>
      </c>
      <c r="G1922" s="11">
        <v>9067.0</v>
      </c>
      <c r="H1922" s="11">
        <v>1750.0</v>
      </c>
    </row>
    <row r="1923">
      <c r="A1923" s="10">
        <v>44291.0</v>
      </c>
      <c r="B1923" s="11">
        <v>2374.0</v>
      </c>
      <c r="C1923" s="12">
        <v>0.446</v>
      </c>
      <c r="D1923" s="2">
        <v>0.0017939814814814815</v>
      </c>
      <c r="E1923" s="12">
        <v>1.09</v>
      </c>
      <c r="F1923" s="12">
        <v>4.34</v>
      </c>
      <c r="G1923" s="11">
        <v>11206.0</v>
      </c>
      <c r="H1923" s="11">
        <v>2583.0</v>
      </c>
    </row>
    <row r="1924">
      <c r="A1924" s="10">
        <v>44292.0</v>
      </c>
      <c r="B1924" s="11">
        <v>2652.0</v>
      </c>
      <c r="C1924" s="12">
        <v>0.4833</v>
      </c>
      <c r="D1924" s="2">
        <v>0.002372685185185185</v>
      </c>
      <c r="E1924" s="12">
        <v>1.1</v>
      </c>
      <c r="F1924" s="12">
        <v>4.71</v>
      </c>
      <c r="G1924" s="11">
        <v>13802.0</v>
      </c>
      <c r="H1924" s="11">
        <v>2930.0</v>
      </c>
    </row>
    <row r="1925">
      <c r="A1925" s="10">
        <v>44293.0</v>
      </c>
      <c r="B1925" s="11">
        <v>2735.0</v>
      </c>
      <c r="C1925" s="12">
        <v>0.4311</v>
      </c>
      <c r="D1925" s="2">
        <v>0.0021759259259259258</v>
      </c>
      <c r="E1925" s="12">
        <v>1.11</v>
      </c>
      <c r="F1925" s="12">
        <v>4.72</v>
      </c>
      <c r="G1925" s="11">
        <v>14302.0</v>
      </c>
      <c r="H1925" s="11">
        <v>3027.0</v>
      </c>
    </row>
    <row r="1926">
      <c r="A1926" s="10">
        <v>44294.0</v>
      </c>
      <c r="B1926" s="11">
        <v>2805.0</v>
      </c>
      <c r="C1926" s="12">
        <v>0.5025</v>
      </c>
      <c r="D1926" s="2">
        <v>0.0025462962962962965</v>
      </c>
      <c r="E1926" s="12">
        <v>1.07</v>
      </c>
      <c r="F1926" s="12">
        <v>5.96</v>
      </c>
      <c r="G1926" s="11">
        <v>17954.0</v>
      </c>
      <c r="H1926" s="11">
        <v>3013.0</v>
      </c>
    </row>
    <row r="1927">
      <c r="A1927" s="10">
        <v>44295.0</v>
      </c>
      <c r="B1927" s="11">
        <v>2305.0</v>
      </c>
      <c r="C1927" s="12">
        <v>0.4785</v>
      </c>
      <c r="D1927" s="2">
        <v>0.0018865740740740742</v>
      </c>
      <c r="E1927" s="12">
        <v>1.12</v>
      </c>
      <c r="F1927" s="12">
        <v>4.91</v>
      </c>
      <c r="G1927" s="11">
        <v>12677.0</v>
      </c>
      <c r="H1927" s="11">
        <v>2583.0</v>
      </c>
    </row>
    <row r="1928">
      <c r="A1928" s="10">
        <v>44296.0</v>
      </c>
      <c r="B1928" s="11">
        <v>1736.0</v>
      </c>
      <c r="C1928" s="12">
        <v>0.5421</v>
      </c>
      <c r="D1928" s="2">
        <v>0.0018981481481481482</v>
      </c>
      <c r="E1928" s="12">
        <v>1.14</v>
      </c>
      <c r="F1928" s="12">
        <v>3.56</v>
      </c>
      <c r="G1928" s="11">
        <v>7012.0</v>
      </c>
      <c r="H1928" s="11">
        <v>1972.0</v>
      </c>
    </row>
    <row r="1929">
      <c r="A1929" s="10">
        <v>44297.0</v>
      </c>
      <c r="B1929" s="11">
        <v>1722.0</v>
      </c>
      <c r="C1929" s="12">
        <v>0.5433</v>
      </c>
      <c r="D1929" s="2">
        <v>0.0011921296296296296</v>
      </c>
      <c r="E1929" s="12">
        <v>1.11</v>
      </c>
      <c r="F1929" s="12">
        <v>3.2</v>
      </c>
      <c r="G1929" s="11">
        <v>6123.0</v>
      </c>
      <c r="H1929" s="11">
        <v>1916.0</v>
      </c>
    </row>
    <row r="1930">
      <c r="A1930" s="10">
        <v>44298.0</v>
      </c>
      <c r="B1930" s="11">
        <v>2597.0</v>
      </c>
      <c r="C1930" s="12">
        <v>0.5325</v>
      </c>
      <c r="D1930" s="2">
        <v>0.0016782407407407408</v>
      </c>
      <c r="E1930" s="12">
        <v>1.15</v>
      </c>
      <c r="F1930" s="12">
        <v>4.23</v>
      </c>
      <c r="G1930" s="11">
        <v>12691.0</v>
      </c>
      <c r="H1930" s="11">
        <v>2999.0</v>
      </c>
    </row>
    <row r="1931">
      <c r="A1931" s="10">
        <v>44299.0</v>
      </c>
      <c r="B1931" s="11">
        <v>2722.0</v>
      </c>
      <c r="C1931" s="12">
        <v>0.4684</v>
      </c>
      <c r="D1931" s="2">
        <v>0.002766203703703704</v>
      </c>
      <c r="E1931" s="12">
        <v>1.13</v>
      </c>
      <c r="F1931" s="12">
        <v>4.92</v>
      </c>
      <c r="G1931" s="11">
        <v>15163.0</v>
      </c>
      <c r="H1931" s="11">
        <v>3083.0</v>
      </c>
    </row>
    <row r="1932">
      <c r="A1932" s="10">
        <v>44300.0</v>
      </c>
      <c r="B1932" s="11">
        <v>2777.0</v>
      </c>
      <c r="C1932" s="12">
        <v>0.5397</v>
      </c>
      <c r="D1932" s="2">
        <v>0.0027314814814814814</v>
      </c>
      <c r="E1932" s="12">
        <v>1.07</v>
      </c>
      <c r="F1932" s="12">
        <v>4.2</v>
      </c>
      <c r="G1932" s="11">
        <v>12525.0</v>
      </c>
      <c r="H1932" s="11">
        <v>2985.0</v>
      </c>
    </row>
    <row r="1933">
      <c r="A1933" s="10">
        <v>44301.0</v>
      </c>
      <c r="B1933" s="11">
        <v>2819.0</v>
      </c>
      <c r="C1933" s="12">
        <v>0.5643</v>
      </c>
      <c r="D1933" s="2">
        <v>0.0014467592592592592</v>
      </c>
      <c r="E1933" s="12">
        <v>1.07</v>
      </c>
      <c r="F1933" s="12">
        <v>3.9</v>
      </c>
      <c r="G1933" s="11">
        <v>11816.0</v>
      </c>
      <c r="H1933" s="11">
        <v>3027.0</v>
      </c>
    </row>
    <row r="1934">
      <c r="A1934" s="10">
        <v>44302.0</v>
      </c>
      <c r="B1934" s="11">
        <v>2722.0</v>
      </c>
      <c r="C1934" s="12">
        <v>0.5644</v>
      </c>
      <c r="D1934" s="2">
        <v>0.0019212962962962964</v>
      </c>
      <c r="E1934" s="12">
        <v>1.07</v>
      </c>
      <c r="F1934" s="12">
        <v>4.51</v>
      </c>
      <c r="G1934" s="11">
        <v>13080.0</v>
      </c>
      <c r="H1934" s="11">
        <v>2902.0</v>
      </c>
    </row>
    <row r="1935">
      <c r="A1935" s="10">
        <v>44303.0</v>
      </c>
      <c r="B1935" s="11">
        <v>1875.0</v>
      </c>
      <c r="C1935" s="12">
        <v>0.6522</v>
      </c>
      <c r="D1935" s="2">
        <v>0.001863425925925926</v>
      </c>
      <c r="E1935" s="12">
        <v>1.04</v>
      </c>
      <c r="F1935" s="12">
        <v>4.18</v>
      </c>
      <c r="G1935" s="11">
        <v>8192.0</v>
      </c>
      <c r="H1935" s="11">
        <v>1958.0</v>
      </c>
    </row>
    <row r="1936">
      <c r="A1936" s="10">
        <v>44304.0</v>
      </c>
      <c r="B1936" s="11">
        <v>1736.0</v>
      </c>
      <c r="C1936" s="12">
        <v>0.5988</v>
      </c>
      <c r="D1936" s="2">
        <v>0.0021180555555555558</v>
      </c>
      <c r="E1936" s="12">
        <v>1.1</v>
      </c>
      <c r="F1936" s="12">
        <v>3.53</v>
      </c>
      <c r="G1936" s="11">
        <v>6707.0</v>
      </c>
      <c r="H1936" s="11">
        <v>1902.0</v>
      </c>
    </row>
    <row r="1937">
      <c r="A1937" s="10">
        <v>44305.0</v>
      </c>
      <c r="B1937" s="11">
        <v>2847.0</v>
      </c>
      <c r="C1937" s="12">
        <v>0.5374</v>
      </c>
      <c r="D1937" s="2">
        <v>0.002013888888888889</v>
      </c>
      <c r="E1937" s="12">
        <v>1.11</v>
      </c>
      <c r="F1937" s="12">
        <v>4.67</v>
      </c>
      <c r="G1937" s="11">
        <v>14705.0</v>
      </c>
      <c r="H1937" s="11">
        <v>3152.0</v>
      </c>
    </row>
    <row r="1938">
      <c r="A1938" s="10">
        <v>44306.0</v>
      </c>
      <c r="B1938" s="11">
        <v>3013.0</v>
      </c>
      <c r="C1938" s="12">
        <v>0.5569</v>
      </c>
      <c r="D1938" s="2">
        <v>0.0019675925925925924</v>
      </c>
      <c r="E1938" s="12">
        <v>1.05</v>
      </c>
      <c r="F1938" s="12">
        <v>4.21</v>
      </c>
      <c r="G1938" s="11">
        <v>13316.0</v>
      </c>
      <c r="H1938" s="11">
        <v>3166.0</v>
      </c>
    </row>
    <row r="1939">
      <c r="A1939" s="10">
        <v>44307.0</v>
      </c>
      <c r="B1939" s="11">
        <v>2971.0</v>
      </c>
      <c r="C1939" s="12">
        <v>0.5753</v>
      </c>
      <c r="D1939" s="2">
        <v>0.0016435185185185185</v>
      </c>
      <c r="E1939" s="12">
        <v>1.09</v>
      </c>
      <c r="F1939" s="12">
        <v>4.35</v>
      </c>
      <c r="G1939" s="11">
        <v>14066.0</v>
      </c>
      <c r="H1939" s="11">
        <v>3235.0</v>
      </c>
    </row>
    <row r="1940">
      <c r="A1940" s="10">
        <v>44308.0</v>
      </c>
      <c r="B1940" s="11">
        <v>3277.0</v>
      </c>
      <c r="C1940" s="12">
        <v>0.5653</v>
      </c>
      <c r="D1940" s="2">
        <v>0.002349537037037037</v>
      </c>
      <c r="E1940" s="12">
        <v>1.07</v>
      </c>
      <c r="F1940" s="12">
        <v>4.87</v>
      </c>
      <c r="G1940" s="11">
        <v>17107.0</v>
      </c>
      <c r="H1940" s="11">
        <v>3513.0</v>
      </c>
    </row>
    <row r="1941">
      <c r="A1941" s="10">
        <v>44309.0</v>
      </c>
      <c r="B1941" s="11">
        <v>2430.0</v>
      </c>
      <c r="C1941" s="12">
        <v>0.5842</v>
      </c>
      <c r="D1941" s="2">
        <v>0.002037037037037037</v>
      </c>
      <c r="E1941" s="12">
        <v>1.09</v>
      </c>
      <c r="F1941" s="12">
        <v>4.73</v>
      </c>
      <c r="G1941" s="11">
        <v>12469.0</v>
      </c>
      <c r="H1941" s="11">
        <v>2638.0</v>
      </c>
    </row>
    <row r="1942">
      <c r="A1942" s="10">
        <v>44310.0</v>
      </c>
      <c r="B1942" s="11">
        <v>1625.0</v>
      </c>
      <c r="C1942" s="12">
        <v>0.6269</v>
      </c>
      <c r="D1942" s="2">
        <v>0.001875</v>
      </c>
      <c r="E1942" s="12">
        <v>1.08</v>
      </c>
      <c r="F1942" s="12">
        <v>3.88</v>
      </c>
      <c r="G1942" s="11">
        <v>6790.0</v>
      </c>
      <c r="H1942" s="11">
        <v>1750.0</v>
      </c>
    </row>
    <row r="1943">
      <c r="A1943" s="10">
        <v>44311.0</v>
      </c>
      <c r="B1943" s="11">
        <v>1763.0</v>
      </c>
      <c r="C1943" s="12">
        <v>0.6</v>
      </c>
      <c r="D1943" s="2">
        <v>0.001574074074074074</v>
      </c>
      <c r="E1943" s="12">
        <v>1.06</v>
      </c>
      <c r="F1943" s="12">
        <v>3.9</v>
      </c>
      <c r="G1943" s="11">
        <v>7304.0</v>
      </c>
      <c r="H1943" s="11">
        <v>1875.0</v>
      </c>
    </row>
    <row r="1944">
      <c r="A1944" s="10">
        <v>44312.0</v>
      </c>
      <c r="B1944" s="11">
        <v>2860.0</v>
      </c>
      <c r="C1944" s="12">
        <v>0.5571</v>
      </c>
      <c r="D1944" s="2">
        <v>0.002372685185185185</v>
      </c>
      <c r="E1944" s="12">
        <v>1.06</v>
      </c>
      <c r="F1944" s="12">
        <v>4.26</v>
      </c>
      <c r="G1944" s="11">
        <v>12955.0</v>
      </c>
      <c r="H1944" s="11">
        <v>3041.0</v>
      </c>
    </row>
    <row r="1945">
      <c r="A1945" s="10">
        <v>44313.0</v>
      </c>
      <c r="B1945" s="11">
        <v>2902.0</v>
      </c>
      <c r="C1945" s="12">
        <v>0.5834</v>
      </c>
      <c r="D1945" s="2">
        <v>0.002037037037037037</v>
      </c>
      <c r="E1945" s="12">
        <v>1.09</v>
      </c>
      <c r="F1945" s="12">
        <v>3.84</v>
      </c>
      <c r="G1945" s="11">
        <v>12164.0</v>
      </c>
      <c r="H1945" s="11">
        <v>3166.0</v>
      </c>
    </row>
    <row r="1946">
      <c r="A1946" s="10">
        <v>44314.0</v>
      </c>
      <c r="B1946" s="11">
        <v>2944.0</v>
      </c>
      <c r="C1946" s="12">
        <v>0.5062</v>
      </c>
      <c r="D1946" s="2">
        <v>0.002372685185185185</v>
      </c>
      <c r="E1946" s="12">
        <v>1.15</v>
      </c>
      <c r="F1946" s="12">
        <v>4.95</v>
      </c>
      <c r="G1946" s="11">
        <v>16690.0</v>
      </c>
      <c r="H1946" s="11">
        <v>3374.0</v>
      </c>
    </row>
    <row r="1947">
      <c r="A1947" s="10">
        <v>44315.0</v>
      </c>
      <c r="B1947" s="11">
        <v>2971.0</v>
      </c>
      <c r="C1947" s="12">
        <v>0.5963</v>
      </c>
      <c r="D1947" s="2">
        <v>0.0016087962962962963</v>
      </c>
      <c r="E1947" s="12">
        <v>1.07</v>
      </c>
      <c r="F1947" s="12">
        <v>3.28</v>
      </c>
      <c r="G1947" s="11">
        <v>10386.0</v>
      </c>
      <c r="H1947" s="11">
        <v>3166.0</v>
      </c>
    </row>
    <row r="1948">
      <c r="A1948" s="10">
        <v>44316.0</v>
      </c>
      <c r="B1948" s="11">
        <v>1958.0</v>
      </c>
      <c r="C1948" s="12">
        <v>0.5262</v>
      </c>
      <c r="D1948" s="2">
        <v>0.0022916666666666667</v>
      </c>
      <c r="E1948" s="12">
        <v>1.09</v>
      </c>
      <c r="F1948" s="12">
        <v>4.58</v>
      </c>
      <c r="G1948" s="11">
        <v>9789.0</v>
      </c>
      <c r="H1948" s="11">
        <v>2138.0</v>
      </c>
    </row>
    <row r="1949">
      <c r="A1949" s="10">
        <v>44317.0</v>
      </c>
      <c r="B1949" s="11">
        <v>1333.0</v>
      </c>
      <c r="C1949" s="12">
        <v>0.5388</v>
      </c>
      <c r="D1949" s="2">
        <v>0.0011574074074074073</v>
      </c>
      <c r="E1949" s="12">
        <v>1.08</v>
      </c>
      <c r="F1949" s="12">
        <v>4.0</v>
      </c>
      <c r="G1949" s="11">
        <v>5776.0</v>
      </c>
      <c r="H1949" s="11">
        <v>1444.0</v>
      </c>
    </row>
    <row r="1950">
      <c r="A1950" s="10">
        <v>44318.0</v>
      </c>
      <c r="B1950" s="11">
        <v>1458.0</v>
      </c>
      <c r="C1950" s="12">
        <v>0.5439</v>
      </c>
      <c r="D1950" s="2">
        <v>0.0019675925925925924</v>
      </c>
      <c r="E1950" s="12">
        <v>1.09</v>
      </c>
      <c r="F1950" s="12">
        <v>5.07</v>
      </c>
      <c r="G1950" s="11">
        <v>8026.0</v>
      </c>
      <c r="H1950" s="11">
        <v>1583.0</v>
      </c>
    </row>
    <row r="1951">
      <c r="A1951" s="10">
        <v>44319.0</v>
      </c>
      <c r="B1951" s="11">
        <v>2249.0</v>
      </c>
      <c r="C1951" s="12">
        <v>0.5313</v>
      </c>
      <c r="D1951" s="2">
        <v>0.0019560185185185184</v>
      </c>
      <c r="E1951" s="12">
        <v>1.08</v>
      </c>
      <c r="F1951" s="12">
        <v>3.85</v>
      </c>
      <c r="G1951" s="11">
        <v>9359.0</v>
      </c>
      <c r="H1951" s="11">
        <v>2430.0</v>
      </c>
    </row>
    <row r="1952">
      <c r="A1952" s="10">
        <v>44320.0</v>
      </c>
      <c r="B1952" s="11">
        <v>2444.0</v>
      </c>
      <c r="C1952" s="12">
        <v>0.4815</v>
      </c>
      <c r="D1952" s="2">
        <v>0.0015046296296296296</v>
      </c>
      <c r="E1952" s="12">
        <v>1.09</v>
      </c>
      <c r="F1952" s="12">
        <v>3.93</v>
      </c>
      <c r="G1952" s="11">
        <v>10428.0</v>
      </c>
      <c r="H1952" s="11">
        <v>2652.0</v>
      </c>
    </row>
    <row r="1953">
      <c r="A1953" s="10">
        <v>44321.0</v>
      </c>
      <c r="B1953" s="11">
        <v>2569.0</v>
      </c>
      <c r="C1953" s="12">
        <v>0.4409</v>
      </c>
      <c r="D1953" s="2">
        <v>0.0019212962962962964</v>
      </c>
      <c r="E1953" s="12">
        <v>1.05</v>
      </c>
      <c r="F1953" s="12">
        <v>5.0</v>
      </c>
      <c r="G1953" s="11">
        <v>13538.0</v>
      </c>
      <c r="H1953" s="11">
        <v>2708.0</v>
      </c>
    </row>
    <row r="1954">
      <c r="A1954" s="10">
        <v>44322.0</v>
      </c>
      <c r="B1954" s="11">
        <v>2569.0</v>
      </c>
      <c r="C1954" s="12">
        <v>0.4423</v>
      </c>
      <c r="D1954" s="2">
        <v>0.0022453703703703702</v>
      </c>
      <c r="E1954" s="12">
        <v>1.08</v>
      </c>
      <c r="F1954" s="12">
        <v>4.99</v>
      </c>
      <c r="G1954" s="11">
        <v>13774.0</v>
      </c>
      <c r="H1954" s="11">
        <v>2763.0</v>
      </c>
    </row>
    <row r="1955">
      <c r="A1955" s="10">
        <v>44323.0</v>
      </c>
      <c r="B1955" s="11">
        <v>2138.0</v>
      </c>
      <c r="C1955" s="12">
        <v>0.4684</v>
      </c>
      <c r="D1955" s="2">
        <v>0.002372685185185185</v>
      </c>
      <c r="E1955" s="12">
        <v>1.12</v>
      </c>
      <c r="F1955" s="12">
        <v>4.75</v>
      </c>
      <c r="G1955" s="11">
        <v>11400.0</v>
      </c>
      <c r="H1955" s="11">
        <v>2402.0</v>
      </c>
    </row>
    <row r="1956">
      <c r="A1956" s="10">
        <v>44324.0</v>
      </c>
      <c r="B1956" s="11">
        <v>1361.0</v>
      </c>
      <c r="C1956" s="12">
        <v>0.4491</v>
      </c>
      <c r="D1956" s="2">
        <v>0.002476851851851852</v>
      </c>
      <c r="E1956" s="12">
        <v>1.11</v>
      </c>
      <c r="F1956" s="12">
        <v>4.76</v>
      </c>
      <c r="G1956" s="11">
        <v>7207.0</v>
      </c>
      <c r="H1956" s="11">
        <v>1514.0</v>
      </c>
    </row>
    <row r="1957">
      <c r="A1957" s="10">
        <v>44325.0</v>
      </c>
      <c r="B1957" s="11">
        <v>1472.0</v>
      </c>
      <c r="C1957" s="12">
        <v>0.5627</v>
      </c>
      <c r="D1957" s="2">
        <v>0.001979166666666667</v>
      </c>
      <c r="E1957" s="12">
        <v>1.06</v>
      </c>
      <c r="F1957" s="12">
        <v>5.41</v>
      </c>
      <c r="G1957" s="11">
        <v>8415.0</v>
      </c>
      <c r="H1957" s="11">
        <v>1555.0</v>
      </c>
    </row>
    <row r="1958">
      <c r="A1958" s="10">
        <v>44326.0</v>
      </c>
      <c r="B1958" s="11">
        <v>2583.0</v>
      </c>
      <c r="C1958" s="12">
        <v>0.4321</v>
      </c>
      <c r="D1958" s="2">
        <v>0.001863425925925926</v>
      </c>
      <c r="E1958" s="12">
        <v>1.07</v>
      </c>
      <c r="F1958" s="12">
        <v>4.49</v>
      </c>
      <c r="G1958" s="11">
        <v>12414.0</v>
      </c>
      <c r="H1958" s="11">
        <v>2763.0</v>
      </c>
    </row>
    <row r="1959">
      <c r="A1959" s="10">
        <v>44327.0</v>
      </c>
      <c r="B1959" s="11">
        <v>2652.0</v>
      </c>
      <c r="C1959" s="12">
        <v>0.4563</v>
      </c>
      <c r="D1959" s="2">
        <v>0.0017824074074074075</v>
      </c>
      <c r="E1959" s="12">
        <v>1.08</v>
      </c>
      <c r="F1959" s="12">
        <v>4.64</v>
      </c>
      <c r="G1959" s="11">
        <v>13274.0</v>
      </c>
      <c r="H1959" s="11">
        <v>2860.0</v>
      </c>
    </row>
    <row r="1960">
      <c r="A1960" s="10">
        <v>44328.0</v>
      </c>
      <c r="B1960" s="11">
        <v>2569.0</v>
      </c>
      <c r="C1960" s="12">
        <v>0.4676</v>
      </c>
      <c r="D1960" s="2">
        <v>0.002627314814814815</v>
      </c>
      <c r="E1960" s="12">
        <v>1.09</v>
      </c>
      <c r="F1960" s="12">
        <v>4.96</v>
      </c>
      <c r="G1960" s="11">
        <v>13830.0</v>
      </c>
      <c r="H1960" s="11">
        <v>2791.0</v>
      </c>
    </row>
    <row r="1961">
      <c r="A1961" s="10">
        <v>44329.0</v>
      </c>
      <c r="B1961" s="11">
        <v>2180.0</v>
      </c>
      <c r="C1961" s="12">
        <v>0.4374</v>
      </c>
      <c r="D1961" s="2">
        <v>0.0021180555555555558</v>
      </c>
      <c r="E1961" s="12">
        <v>1.12</v>
      </c>
      <c r="F1961" s="12">
        <v>4.16</v>
      </c>
      <c r="G1961" s="11">
        <v>10178.0</v>
      </c>
      <c r="H1961" s="11">
        <v>2444.0</v>
      </c>
    </row>
    <row r="1962">
      <c r="A1962" s="10">
        <v>44330.0</v>
      </c>
      <c r="B1962" s="11">
        <v>2083.0</v>
      </c>
      <c r="C1962" s="12">
        <v>0.4656</v>
      </c>
      <c r="D1962" s="2">
        <v>0.0021527777777777778</v>
      </c>
      <c r="E1962" s="12">
        <v>1.07</v>
      </c>
      <c r="F1962" s="12">
        <v>5.32</v>
      </c>
      <c r="G1962" s="11">
        <v>11900.0</v>
      </c>
      <c r="H1962" s="11">
        <v>2236.0</v>
      </c>
    </row>
    <row r="1963">
      <c r="A1963" s="10">
        <v>44331.0</v>
      </c>
      <c r="B1963" s="11">
        <v>1486.0</v>
      </c>
      <c r="C1963" s="12">
        <v>0.5838</v>
      </c>
      <c r="D1963" s="2">
        <v>0.0016435185185185185</v>
      </c>
      <c r="E1963" s="12">
        <v>1.06</v>
      </c>
      <c r="F1963" s="12">
        <v>4.04</v>
      </c>
      <c r="G1963" s="11">
        <v>6332.0</v>
      </c>
      <c r="H1963" s="11">
        <v>1569.0</v>
      </c>
    </row>
    <row r="1964">
      <c r="A1964" s="10">
        <v>44332.0</v>
      </c>
      <c r="B1964" s="11">
        <v>1652.0</v>
      </c>
      <c r="C1964" s="12">
        <v>0.5271</v>
      </c>
      <c r="D1964" s="2">
        <v>0.001724537037037037</v>
      </c>
      <c r="E1964" s="12">
        <v>1.08</v>
      </c>
      <c r="F1964" s="12">
        <v>3.61</v>
      </c>
      <c r="G1964" s="11">
        <v>6471.0</v>
      </c>
      <c r="H1964" s="11">
        <v>1791.0</v>
      </c>
    </row>
    <row r="1965">
      <c r="A1965" s="10">
        <v>44333.0</v>
      </c>
      <c r="B1965" s="11">
        <v>2388.0</v>
      </c>
      <c r="C1965" s="12">
        <v>0.4234</v>
      </c>
      <c r="D1965" s="2">
        <v>0.0028472222222222223</v>
      </c>
      <c r="E1965" s="12">
        <v>1.1</v>
      </c>
      <c r="F1965" s="12">
        <v>6.36</v>
      </c>
      <c r="G1965" s="11">
        <v>16676.0</v>
      </c>
      <c r="H1965" s="11">
        <v>2624.0</v>
      </c>
    </row>
    <row r="1966">
      <c r="A1966" s="10">
        <v>44334.0</v>
      </c>
      <c r="B1966" s="11">
        <v>2624.0</v>
      </c>
      <c r="C1966" s="12">
        <v>0.4705</v>
      </c>
      <c r="D1966" s="2">
        <v>0.002534722222222222</v>
      </c>
      <c r="E1966" s="12">
        <v>1.08</v>
      </c>
      <c r="F1966" s="12">
        <v>6.21</v>
      </c>
      <c r="G1966" s="11">
        <v>17593.0</v>
      </c>
      <c r="H1966" s="11">
        <v>2833.0</v>
      </c>
    </row>
    <row r="1967">
      <c r="A1967" s="10">
        <v>44335.0</v>
      </c>
      <c r="B1967" s="11">
        <v>2416.0</v>
      </c>
      <c r="C1967" s="12">
        <v>0.4664</v>
      </c>
      <c r="D1967" s="2">
        <v>0.0023032407407407407</v>
      </c>
      <c r="E1967" s="12">
        <v>1.11</v>
      </c>
      <c r="F1967" s="12">
        <v>5.18</v>
      </c>
      <c r="G1967" s="11">
        <v>13871.0</v>
      </c>
      <c r="H1967" s="11">
        <v>2680.0</v>
      </c>
    </row>
    <row r="1968">
      <c r="A1968" s="10">
        <v>44336.0</v>
      </c>
      <c r="B1968" s="11">
        <v>2555.0</v>
      </c>
      <c r="C1968" s="12">
        <v>0.4341</v>
      </c>
      <c r="D1968" s="2">
        <v>0.002777777777777778</v>
      </c>
      <c r="E1968" s="12">
        <v>1.11</v>
      </c>
      <c r="F1968" s="12">
        <v>6.32</v>
      </c>
      <c r="G1968" s="11">
        <v>17995.0</v>
      </c>
      <c r="H1968" s="11">
        <v>2847.0</v>
      </c>
    </row>
    <row r="1969">
      <c r="A1969" s="10">
        <v>44337.0</v>
      </c>
      <c r="B1969" s="11">
        <v>2138.0</v>
      </c>
      <c r="C1969" s="12">
        <v>0.4334</v>
      </c>
      <c r="D1969" s="2">
        <v>0.0026967592592592594</v>
      </c>
      <c r="E1969" s="12">
        <v>1.12</v>
      </c>
      <c r="F1969" s="12">
        <v>5.9</v>
      </c>
      <c r="G1969" s="11">
        <v>14177.0</v>
      </c>
      <c r="H1969" s="11">
        <v>2402.0</v>
      </c>
    </row>
    <row r="1970">
      <c r="A1970" s="10">
        <v>44338.0</v>
      </c>
      <c r="B1970" s="11">
        <v>1305.0</v>
      </c>
      <c r="C1970" s="12">
        <v>0.606</v>
      </c>
      <c r="D1970" s="2">
        <v>0.0013078703703703703</v>
      </c>
      <c r="E1970" s="12">
        <v>1.11</v>
      </c>
      <c r="F1970" s="12">
        <v>3.6</v>
      </c>
      <c r="G1970" s="11">
        <v>5193.0</v>
      </c>
      <c r="H1970" s="11">
        <v>1444.0</v>
      </c>
    </row>
    <row r="1971">
      <c r="A1971" s="10">
        <v>44339.0</v>
      </c>
      <c r="B1971" s="11">
        <v>1500.0</v>
      </c>
      <c r="C1971" s="12">
        <v>0.5391</v>
      </c>
      <c r="D1971" s="2">
        <v>0.0015162037037037036</v>
      </c>
      <c r="E1971" s="12">
        <v>1.06</v>
      </c>
      <c r="F1971" s="12">
        <v>4.0</v>
      </c>
      <c r="G1971" s="11">
        <v>6387.0</v>
      </c>
      <c r="H1971" s="11">
        <v>1597.0</v>
      </c>
    </row>
    <row r="1972">
      <c r="A1972" s="10">
        <v>44340.0</v>
      </c>
      <c r="B1972" s="11">
        <v>2236.0</v>
      </c>
      <c r="C1972" s="12">
        <v>0.4971</v>
      </c>
      <c r="D1972" s="2">
        <v>0.0023032407407407407</v>
      </c>
      <c r="E1972" s="12">
        <v>1.07</v>
      </c>
      <c r="F1972" s="12">
        <v>4.6</v>
      </c>
      <c r="G1972" s="11">
        <v>11053.0</v>
      </c>
      <c r="H1972" s="11">
        <v>2402.0</v>
      </c>
    </row>
    <row r="1973">
      <c r="A1973" s="10">
        <v>44341.0</v>
      </c>
      <c r="B1973" s="11">
        <v>2638.0</v>
      </c>
      <c r="C1973" s="12">
        <v>0.3817</v>
      </c>
      <c r="D1973" s="2">
        <v>0.0027199074074074074</v>
      </c>
      <c r="E1973" s="12">
        <v>1.09</v>
      </c>
      <c r="F1973" s="12">
        <v>5.6</v>
      </c>
      <c r="G1973" s="11">
        <v>16107.0</v>
      </c>
      <c r="H1973" s="11">
        <v>2874.0</v>
      </c>
    </row>
    <row r="1974">
      <c r="A1974" s="10">
        <v>44342.0</v>
      </c>
      <c r="B1974" s="11">
        <v>2555.0</v>
      </c>
      <c r="C1974" s="12">
        <v>0.4672</v>
      </c>
      <c r="D1974" s="2">
        <v>0.0023032407407407407</v>
      </c>
      <c r="E1974" s="12">
        <v>1.08</v>
      </c>
      <c r="F1974" s="12">
        <v>5.27</v>
      </c>
      <c r="G1974" s="11">
        <v>14552.0</v>
      </c>
      <c r="H1974" s="11">
        <v>2763.0</v>
      </c>
    </row>
    <row r="1975">
      <c r="A1975" s="10">
        <v>44343.0</v>
      </c>
      <c r="B1975" s="11">
        <v>2319.0</v>
      </c>
      <c r="C1975" s="12">
        <v>0.4513</v>
      </c>
      <c r="D1975" s="2">
        <v>0.0020949074074074073</v>
      </c>
      <c r="E1975" s="12">
        <v>1.17</v>
      </c>
      <c r="F1975" s="12">
        <v>4.27</v>
      </c>
      <c r="G1975" s="11">
        <v>11567.0</v>
      </c>
      <c r="H1975" s="11">
        <v>2708.0</v>
      </c>
    </row>
    <row r="1976">
      <c r="A1976" s="10">
        <v>44344.0</v>
      </c>
      <c r="B1976" s="11">
        <v>1625.0</v>
      </c>
      <c r="C1976" s="12">
        <v>0.4729</v>
      </c>
      <c r="D1976" s="2">
        <v>0.0021296296296296298</v>
      </c>
      <c r="E1976" s="12">
        <v>1.1</v>
      </c>
      <c r="F1976" s="12">
        <v>3.71</v>
      </c>
      <c r="G1976" s="11">
        <v>6651.0</v>
      </c>
      <c r="H1976" s="11">
        <v>1791.0</v>
      </c>
    </row>
    <row r="1977">
      <c r="A1977" s="10">
        <v>44345.0</v>
      </c>
      <c r="B1977" s="11">
        <v>1416.0</v>
      </c>
      <c r="C1977" s="12">
        <v>0.5521</v>
      </c>
      <c r="D1977" s="2">
        <v>0.0026157407407407405</v>
      </c>
      <c r="E1977" s="12">
        <v>1.03</v>
      </c>
      <c r="F1977" s="12">
        <v>5.15</v>
      </c>
      <c r="G1977" s="11">
        <v>7512.0</v>
      </c>
      <c r="H1977" s="11">
        <v>1458.0</v>
      </c>
    </row>
    <row r="1978">
      <c r="A1978" s="10">
        <v>44346.0</v>
      </c>
      <c r="B1978" s="11">
        <v>1375.0</v>
      </c>
      <c r="C1978" s="12">
        <v>0.482</v>
      </c>
      <c r="D1978" s="2">
        <v>0.0022453703703703702</v>
      </c>
      <c r="E1978" s="12">
        <v>1.11</v>
      </c>
      <c r="F1978" s="12">
        <v>5.55</v>
      </c>
      <c r="G1978" s="11">
        <v>8470.0</v>
      </c>
      <c r="H1978" s="11">
        <v>1527.0</v>
      </c>
    </row>
    <row r="1979">
      <c r="A1979" s="10">
        <v>44347.0</v>
      </c>
      <c r="B1979" s="11">
        <v>1652.0</v>
      </c>
      <c r="C1979" s="12">
        <v>0.4573</v>
      </c>
      <c r="D1979" s="2">
        <v>0.0027083333333333334</v>
      </c>
      <c r="E1979" s="12">
        <v>1.08</v>
      </c>
      <c r="F1979" s="12">
        <v>5.7</v>
      </c>
      <c r="G1979" s="11">
        <v>10206.0</v>
      </c>
      <c r="H1979" s="11">
        <v>1791.0</v>
      </c>
    </row>
    <row r="1980">
      <c r="A1980" s="10">
        <v>44348.0</v>
      </c>
      <c r="B1980" s="11">
        <v>2416.0</v>
      </c>
      <c r="C1980" s="12">
        <v>0.4622</v>
      </c>
      <c r="D1980" s="2">
        <v>0.002638888888888889</v>
      </c>
      <c r="E1980" s="12">
        <v>1.13</v>
      </c>
      <c r="F1980" s="12">
        <v>6.57</v>
      </c>
      <c r="G1980" s="11">
        <v>17982.0</v>
      </c>
      <c r="H1980" s="11">
        <v>2735.0</v>
      </c>
    </row>
    <row r="1981">
      <c r="A1981" s="10">
        <v>44349.0</v>
      </c>
      <c r="B1981" s="11">
        <v>2277.0</v>
      </c>
      <c r="C1981" s="12">
        <v>0.4116</v>
      </c>
      <c r="D1981" s="2">
        <v>0.002013888888888889</v>
      </c>
      <c r="E1981" s="12">
        <v>1.14</v>
      </c>
      <c r="F1981" s="12">
        <v>4.28</v>
      </c>
      <c r="G1981" s="11">
        <v>11108.0</v>
      </c>
      <c r="H1981" s="11">
        <v>2597.0</v>
      </c>
    </row>
    <row r="1982">
      <c r="A1982" s="10">
        <v>44350.0</v>
      </c>
      <c r="B1982" s="11">
        <v>2708.0</v>
      </c>
      <c r="C1982" s="12">
        <v>0.4882</v>
      </c>
      <c r="D1982" s="2">
        <v>0.0018402777777777777</v>
      </c>
      <c r="E1982" s="12">
        <v>1.09</v>
      </c>
      <c r="F1982" s="12">
        <v>4.16</v>
      </c>
      <c r="G1982" s="11">
        <v>12316.0</v>
      </c>
      <c r="H1982" s="11">
        <v>2958.0</v>
      </c>
    </row>
    <row r="1983">
      <c r="A1983" s="10">
        <v>44351.0</v>
      </c>
      <c r="B1983" s="11">
        <v>2222.0</v>
      </c>
      <c r="C1983" s="12">
        <v>0.4741</v>
      </c>
      <c r="D1983" s="2">
        <v>0.0032523148148148147</v>
      </c>
      <c r="E1983" s="12">
        <v>1.09</v>
      </c>
      <c r="F1983" s="12">
        <v>5.81</v>
      </c>
      <c r="G1983" s="11">
        <v>14121.0</v>
      </c>
      <c r="H1983" s="11">
        <v>2430.0</v>
      </c>
    </row>
    <row r="1984">
      <c r="A1984" s="10">
        <v>44352.0</v>
      </c>
      <c r="B1984" s="11">
        <v>1430.0</v>
      </c>
      <c r="C1984" s="12">
        <v>0.5087</v>
      </c>
      <c r="D1984" s="2">
        <v>0.0017013888888888888</v>
      </c>
      <c r="E1984" s="12">
        <v>1.09</v>
      </c>
      <c r="F1984" s="12">
        <v>4.85</v>
      </c>
      <c r="G1984" s="11">
        <v>7540.0</v>
      </c>
      <c r="H1984" s="11">
        <v>1555.0</v>
      </c>
    </row>
    <row r="1985">
      <c r="A1985" s="10">
        <v>44353.0</v>
      </c>
      <c r="B1985" s="11">
        <v>1583.0</v>
      </c>
      <c r="C1985" s="12">
        <v>0.5452</v>
      </c>
      <c r="D1985" s="2">
        <v>0.0018981481481481482</v>
      </c>
      <c r="E1985" s="12">
        <v>1.06</v>
      </c>
      <c r="F1985" s="12">
        <v>4.52</v>
      </c>
      <c r="G1985" s="11">
        <v>7595.0</v>
      </c>
      <c r="H1985" s="11">
        <v>1680.0</v>
      </c>
    </row>
    <row r="1986">
      <c r="A1986" s="10">
        <v>44354.0</v>
      </c>
      <c r="B1986" s="11">
        <v>2430.0</v>
      </c>
      <c r="C1986" s="12">
        <v>0.492</v>
      </c>
      <c r="D1986" s="2">
        <v>0.001724537037037037</v>
      </c>
      <c r="E1986" s="12">
        <v>1.08</v>
      </c>
      <c r="F1986" s="12">
        <v>4.79</v>
      </c>
      <c r="G1986" s="11">
        <v>12566.0</v>
      </c>
      <c r="H1986" s="11">
        <v>2624.0</v>
      </c>
    </row>
    <row r="1987">
      <c r="A1987" s="10">
        <v>44355.0</v>
      </c>
      <c r="B1987" s="11">
        <v>2583.0</v>
      </c>
      <c r="C1987" s="12">
        <v>0.4759</v>
      </c>
      <c r="D1987" s="2">
        <v>0.002777777777777778</v>
      </c>
      <c r="E1987" s="12">
        <v>1.11</v>
      </c>
      <c r="F1987" s="12">
        <v>5.14</v>
      </c>
      <c r="G1987" s="11">
        <v>14705.0</v>
      </c>
      <c r="H1987" s="11">
        <v>2860.0</v>
      </c>
    </row>
    <row r="1988">
      <c r="A1988" s="10">
        <v>44356.0</v>
      </c>
      <c r="B1988" s="11">
        <v>2361.0</v>
      </c>
      <c r="C1988" s="12">
        <v>0.4096</v>
      </c>
      <c r="D1988" s="2">
        <v>0.0022800925925925927</v>
      </c>
      <c r="E1988" s="12">
        <v>1.11</v>
      </c>
      <c r="F1988" s="12">
        <v>4.24</v>
      </c>
      <c r="G1988" s="11">
        <v>11067.0</v>
      </c>
      <c r="H1988" s="11">
        <v>2610.0</v>
      </c>
    </row>
    <row r="1989">
      <c r="A1989" s="10">
        <v>44357.0</v>
      </c>
      <c r="B1989" s="11">
        <v>2249.0</v>
      </c>
      <c r="C1989" s="12">
        <v>0.4161</v>
      </c>
      <c r="D1989" s="2">
        <v>0.0028125</v>
      </c>
      <c r="E1989" s="12">
        <v>1.14</v>
      </c>
      <c r="F1989" s="12">
        <v>5.15</v>
      </c>
      <c r="G1989" s="11">
        <v>13233.0</v>
      </c>
      <c r="H1989" s="11">
        <v>2569.0</v>
      </c>
    </row>
    <row r="1990">
      <c r="A1990" s="10">
        <v>44358.0</v>
      </c>
      <c r="B1990" s="11">
        <v>1972.0</v>
      </c>
      <c r="C1990" s="12">
        <v>0.5096</v>
      </c>
      <c r="D1990" s="2">
        <v>0.002013888888888889</v>
      </c>
      <c r="E1990" s="12">
        <v>1.11</v>
      </c>
      <c r="F1990" s="12">
        <v>4.75</v>
      </c>
      <c r="G1990" s="11">
        <v>10358.0</v>
      </c>
      <c r="H1990" s="11">
        <v>2180.0</v>
      </c>
    </row>
    <row r="1991">
      <c r="A1991" s="10">
        <v>44359.0</v>
      </c>
      <c r="B1991" s="11">
        <v>1361.0</v>
      </c>
      <c r="C1991" s="12">
        <v>0.5</v>
      </c>
      <c r="D1991" s="2">
        <v>0.0014583333333333334</v>
      </c>
      <c r="E1991" s="12">
        <v>1.08</v>
      </c>
      <c r="F1991" s="12">
        <v>4.92</v>
      </c>
      <c r="G1991" s="11">
        <v>7248.0</v>
      </c>
      <c r="H1991" s="11">
        <v>1472.0</v>
      </c>
    </row>
    <row r="1992">
      <c r="A1992" s="10">
        <v>44360.0</v>
      </c>
      <c r="B1992" s="11">
        <v>1527.0</v>
      </c>
      <c r="C1992" s="12">
        <v>0.5723</v>
      </c>
      <c r="D1992" s="2">
        <v>0.001238425925925926</v>
      </c>
      <c r="E1992" s="12">
        <v>1.06</v>
      </c>
      <c r="F1992" s="12">
        <v>3.25</v>
      </c>
      <c r="G1992" s="11">
        <v>5276.0</v>
      </c>
      <c r="H1992" s="11">
        <v>1625.0</v>
      </c>
    </row>
    <row r="1993">
      <c r="A1993" s="10">
        <v>44361.0</v>
      </c>
      <c r="B1993" s="11">
        <v>2305.0</v>
      </c>
      <c r="C1993" s="12">
        <v>0.466</v>
      </c>
      <c r="D1993" s="2">
        <v>0.001736111111111111</v>
      </c>
      <c r="E1993" s="12">
        <v>1.07</v>
      </c>
      <c r="F1993" s="12">
        <v>4.67</v>
      </c>
      <c r="G1993" s="11">
        <v>11553.0</v>
      </c>
      <c r="H1993" s="11">
        <v>2472.0</v>
      </c>
    </row>
    <row r="1994">
      <c r="A1994" s="10">
        <v>44362.0</v>
      </c>
      <c r="B1994" s="11">
        <v>2527.0</v>
      </c>
      <c r="C1994" s="12">
        <v>0.4926</v>
      </c>
      <c r="D1994" s="2">
        <v>0.0015509259259259259</v>
      </c>
      <c r="E1994" s="12">
        <v>1.09</v>
      </c>
      <c r="F1994" s="12">
        <v>4.26</v>
      </c>
      <c r="G1994" s="11">
        <v>11761.0</v>
      </c>
      <c r="H1994" s="11">
        <v>2763.0</v>
      </c>
    </row>
    <row r="1995">
      <c r="A1995" s="10">
        <v>44363.0</v>
      </c>
      <c r="B1995" s="11">
        <v>2472.0</v>
      </c>
      <c r="C1995" s="12">
        <v>0.5</v>
      </c>
      <c r="D1995" s="2">
        <v>0.001979166666666667</v>
      </c>
      <c r="E1995" s="12">
        <v>1.07</v>
      </c>
      <c r="F1995" s="12">
        <v>5.0</v>
      </c>
      <c r="G1995" s="11">
        <v>13191.0</v>
      </c>
      <c r="H1995" s="11">
        <v>2638.0</v>
      </c>
    </row>
    <row r="1996">
      <c r="A1996" s="10">
        <v>44364.0</v>
      </c>
      <c r="B1996" s="11">
        <v>2485.0</v>
      </c>
      <c r="C1996" s="12">
        <v>0.4372</v>
      </c>
      <c r="D1996" s="2">
        <v>0.002638888888888889</v>
      </c>
      <c r="E1996" s="12">
        <v>1.11</v>
      </c>
      <c r="F1996" s="12">
        <v>5.38</v>
      </c>
      <c r="G1996" s="11">
        <v>14857.0</v>
      </c>
      <c r="H1996" s="11">
        <v>2763.0</v>
      </c>
    </row>
    <row r="1997">
      <c r="A1997" s="10">
        <v>44365.0</v>
      </c>
      <c r="B1997" s="11">
        <v>1930.0</v>
      </c>
      <c r="C1997" s="12">
        <v>0.4901</v>
      </c>
      <c r="D1997" s="2">
        <v>0.0013310185185185185</v>
      </c>
      <c r="E1997" s="12">
        <v>1.07</v>
      </c>
      <c r="F1997" s="12">
        <v>4.01</v>
      </c>
      <c r="G1997" s="11">
        <v>8303.0</v>
      </c>
      <c r="H1997" s="11">
        <v>2069.0</v>
      </c>
    </row>
    <row r="1998">
      <c r="A1998" s="10">
        <v>44366.0</v>
      </c>
      <c r="B1998" s="11">
        <v>1319.0</v>
      </c>
      <c r="C1998" s="12">
        <v>0.4657</v>
      </c>
      <c r="D1998" s="2">
        <v>0.002916666666666667</v>
      </c>
      <c r="E1998" s="12">
        <v>1.08</v>
      </c>
      <c r="F1998" s="12">
        <v>5.4</v>
      </c>
      <c r="G1998" s="11">
        <v>7720.0</v>
      </c>
      <c r="H1998" s="11">
        <v>1430.0</v>
      </c>
    </row>
    <row r="1999">
      <c r="A1999" s="10">
        <v>44367.0</v>
      </c>
      <c r="B1999" s="11">
        <v>1500.0</v>
      </c>
      <c r="C1999" s="12">
        <v>0.5592</v>
      </c>
      <c r="D1999" s="2">
        <v>0.0010300925925925926</v>
      </c>
      <c r="E1999" s="12">
        <v>1.09</v>
      </c>
      <c r="F1999" s="12">
        <v>5.15</v>
      </c>
      <c r="G1999" s="11">
        <v>8442.0</v>
      </c>
      <c r="H1999" s="11">
        <v>1638.0</v>
      </c>
    </row>
    <row r="2000">
      <c r="A2000" s="10">
        <v>44368.0</v>
      </c>
      <c r="B2000" s="11">
        <v>2347.0</v>
      </c>
      <c r="C2000" s="12">
        <v>0.4348</v>
      </c>
      <c r="D2000" s="2">
        <v>0.002534722222222222</v>
      </c>
      <c r="E2000" s="12">
        <v>1.09</v>
      </c>
      <c r="F2000" s="12">
        <v>5.86</v>
      </c>
      <c r="G2000" s="11">
        <v>14982.0</v>
      </c>
      <c r="H2000" s="11">
        <v>2555.0</v>
      </c>
    </row>
    <row r="2001">
      <c r="A2001" s="10">
        <v>44369.0</v>
      </c>
      <c r="B2001" s="11">
        <v>2333.0</v>
      </c>
      <c r="C2001" s="12">
        <v>0.503</v>
      </c>
      <c r="D2001" s="2">
        <v>0.0024189814814814816</v>
      </c>
      <c r="E2001" s="12">
        <v>1.07</v>
      </c>
      <c r="F2001" s="12">
        <v>5.03</v>
      </c>
      <c r="G2001" s="11">
        <v>12511.0</v>
      </c>
      <c r="H2001" s="11">
        <v>2485.0</v>
      </c>
    </row>
    <row r="2002">
      <c r="A2002" s="10">
        <v>44370.0</v>
      </c>
      <c r="B2002" s="11">
        <v>2277.0</v>
      </c>
      <c r="C2002" s="12">
        <v>0.449</v>
      </c>
      <c r="D2002" s="2">
        <v>0.0022337962962962962</v>
      </c>
      <c r="E2002" s="12">
        <v>1.14</v>
      </c>
      <c r="F2002" s="12">
        <v>4.73</v>
      </c>
      <c r="G2002" s="11">
        <v>12275.0</v>
      </c>
      <c r="H2002" s="11">
        <v>2597.0</v>
      </c>
    </row>
    <row r="2003">
      <c r="A2003" s="10">
        <v>44371.0</v>
      </c>
      <c r="B2003" s="11">
        <v>2097.0</v>
      </c>
      <c r="C2003" s="12">
        <v>0.5225</v>
      </c>
      <c r="D2003" s="2">
        <v>0.0019212962962962964</v>
      </c>
      <c r="E2003" s="12">
        <v>1.17</v>
      </c>
      <c r="F2003" s="12">
        <v>4.56</v>
      </c>
      <c r="G2003" s="11">
        <v>11136.0</v>
      </c>
      <c r="H2003" s="11">
        <v>2444.0</v>
      </c>
    </row>
    <row r="2004">
      <c r="A2004" s="10">
        <v>44372.0</v>
      </c>
      <c r="B2004" s="11">
        <v>1861.0</v>
      </c>
      <c r="C2004" s="12">
        <v>0.3988</v>
      </c>
      <c r="D2004" s="2">
        <v>0.0029861111111111113</v>
      </c>
      <c r="E2004" s="12">
        <v>1.14</v>
      </c>
      <c r="F2004" s="12">
        <v>6.41</v>
      </c>
      <c r="G2004" s="11">
        <v>13608.0</v>
      </c>
      <c r="H2004" s="11">
        <v>2124.0</v>
      </c>
    </row>
    <row r="2005">
      <c r="A2005" s="10">
        <v>44373.0</v>
      </c>
      <c r="B2005" s="11">
        <v>1375.0</v>
      </c>
      <c r="C2005" s="12">
        <v>0.6097</v>
      </c>
      <c r="D2005" s="2">
        <v>0.0025578703703703705</v>
      </c>
      <c r="E2005" s="12">
        <v>1.06</v>
      </c>
      <c r="F2005" s="12">
        <v>4.0</v>
      </c>
      <c r="G2005" s="11">
        <v>5832.0</v>
      </c>
      <c r="H2005" s="11">
        <v>1458.0</v>
      </c>
    </row>
    <row r="2006">
      <c r="A2006" s="10">
        <v>44374.0</v>
      </c>
      <c r="B2006" s="11">
        <v>1402.0</v>
      </c>
      <c r="C2006" s="12">
        <v>0.5647</v>
      </c>
      <c r="D2006" s="2">
        <v>0.0015393518518518519</v>
      </c>
      <c r="E2006" s="12">
        <v>1.07</v>
      </c>
      <c r="F2006" s="12">
        <v>3.99</v>
      </c>
      <c r="G2006" s="11">
        <v>5985.0</v>
      </c>
      <c r="H2006" s="11">
        <v>1500.0</v>
      </c>
    </row>
    <row r="2007">
      <c r="A2007" s="10">
        <v>44375.0</v>
      </c>
      <c r="B2007" s="11">
        <v>2263.0</v>
      </c>
      <c r="C2007" s="12">
        <v>0.4702</v>
      </c>
      <c r="D2007" s="2">
        <v>0.0027314814814814814</v>
      </c>
      <c r="E2007" s="12">
        <v>1.14</v>
      </c>
      <c r="F2007" s="12">
        <v>5.35</v>
      </c>
      <c r="G2007" s="11">
        <v>13733.0</v>
      </c>
      <c r="H2007" s="11">
        <v>2569.0</v>
      </c>
    </row>
    <row r="2008">
      <c r="A2008" s="10">
        <v>44376.0</v>
      </c>
      <c r="B2008" s="11">
        <v>2624.0</v>
      </c>
      <c r="C2008" s="12">
        <v>0.4107</v>
      </c>
      <c r="D2008" s="2">
        <v>0.0018171296296296297</v>
      </c>
      <c r="E2008" s="12">
        <v>1.07</v>
      </c>
      <c r="F2008" s="12">
        <v>4.39</v>
      </c>
      <c r="G2008" s="11">
        <v>12302.0</v>
      </c>
      <c r="H2008" s="11">
        <v>2805.0</v>
      </c>
    </row>
    <row r="2009">
      <c r="A2009" s="10">
        <v>44377.0</v>
      </c>
      <c r="B2009" s="11">
        <v>2208.0</v>
      </c>
      <c r="C2009" s="12">
        <v>0.4514</v>
      </c>
      <c r="D2009" s="2">
        <v>0.002384259259259259</v>
      </c>
      <c r="E2009" s="12">
        <v>1.1</v>
      </c>
      <c r="F2009" s="12">
        <v>5.7</v>
      </c>
      <c r="G2009" s="11">
        <v>13858.0</v>
      </c>
      <c r="H2009" s="11">
        <v>2430.0</v>
      </c>
    </row>
    <row r="2010">
      <c r="A2010" s="10">
        <v>44378.0</v>
      </c>
      <c r="B2010" s="11">
        <v>2111.0</v>
      </c>
      <c r="C2010" s="12">
        <v>0.4756</v>
      </c>
      <c r="D2010" s="2">
        <v>0.0023263888888888887</v>
      </c>
      <c r="E2010" s="12">
        <v>1.08</v>
      </c>
      <c r="F2010" s="12">
        <v>4.19</v>
      </c>
      <c r="G2010" s="11">
        <v>9539.0</v>
      </c>
      <c r="H2010" s="11">
        <v>2277.0</v>
      </c>
    </row>
    <row r="2011">
      <c r="A2011" s="10">
        <v>44379.0</v>
      </c>
      <c r="B2011" s="11">
        <v>1861.0</v>
      </c>
      <c r="C2011" s="12">
        <v>0.469</v>
      </c>
      <c r="D2011" s="2">
        <v>0.0023032407407407407</v>
      </c>
      <c r="E2011" s="12">
        <v>1.08</v>
      </c>
      <c r="F2011" s="12">
        <v>4.51</v>
      </c>
      <c r="G2011" s="11">
        <v>9081.0</v>
      </c>
      <c r="H2011" s="11">
        <v>2013.0</v>
      </c>
    </row>
    <row r="2012">
      <c r="A2012" s="10">
        <v>44380.0</v>
      </c>
      <c r="B2012" s="11">
        <v>1180.0</v>
      </c>
      <c r="C2012" s="12">
        <v>0.5502</v>
      </c>
      <c r="D2012" s="2">
        <v>0.0014236111111111112</v>
      </c>
      <c r="E2012" s="12">
        <v>1.05</v>
      </c>
      <c r="F2012" s="12">
        <v>6.25</v>
      </c>
      <c r="G2012" s="11">
        <v>7720.0</v>
      </c>
      <c r="H2012" s="11">
        <v>1236.0</v>
      </c>
    </row>
    <row r="2013">
      <c r="A2013" s="10">
        <v>44381.0</v>
      </c>
      <c r="B2013" s="11">
        <v>1347.0</v>
      </c>
      <c r="C2013" s="12">
        <v>0.5469</v>
      </c>
      <c r="D2013" s="2">
        <v>0.0022453703703703702</v>
      </c>
      <c r="E2013" s="12">
        <v>1.09</v>
      </c>
      <c r="F2013" s="12">
        <v>4.1</v>
      </c>
      <c r="G2013" s="11">
        <v>6040.0</v>
      </c>
      <c r="H2013" s="11">
        <v>1472.0</v>
      </c>
    </row>
    <row r="2014">
      <c r="A2014" s="10">
        <v>44382.0</v>
      </c>
      <c r="B2014" s="11">
        <v>1625.0</v>
      </c>
      <c r="C2014" s="12">
        <v>0.5583</v>
      </c>
      <c r="D2014" s="2">
        <v>0.0019097222222222222</v>
      </c>
      <c r="E2014" s="12">
        <v>1.1</v>
      </c>
      <c r="F2014" s="12">
        <v>5.82</v>
      </c>
      <c r="G2014" s="11">
        <v>10428.0</v>
      </c>
      <c r="H2014" s="11">
        <v>1791.0</v>
      </c>
    </row>
    <row r="2015">
      <c r="A2015" s="10">
        <v>44383.0</v>
      </c>
      <c r="B2015" s="11">
        <v>1791.0</v>
      </c>
      <c r="C2015" s="12">
        <v>0.5106</v>
      </c>
      <c r="D2015" s="2">
        <v>0.0021064814814814813</v>
      </c>
      <c r="E2015" s="12">
        <v>1.11</v>
      </c>
      <c r="F2015" s="12">
        <v>4.66</v>
      </c>
      <c r="G2015" s="11">
        <v>9248.0</v>
      </c>
      <c r="H2015" s="11">
        <v>1986.0</v>
      </c>
    </row>
    <row r="2016">
      <c r="A2016" s="10">
        <v>44384.0</v>
      </c>
      <c r="B2016" s="11">
        <v>2152.0</v>
      </c>
      <c r="C2016" s="12">
        <v>0.4522</v>
      </c>
      <c r="D2016" s="2">
        <v>0.002395833333333333</v>
      </c>
      <c r="E2016" s="12">
        <v>1.08</v>
      </c>
      <c r="F2016" s="12">
        <v>5.2</v>
      </c>
      <c r="G2016" s="11">
        <v>12122.0</v>
      </c>
      <c r="H2016" s="11">
        <v>2333.0</v>
      </c>
    </row>
    <row r="2017">
      <c r="A2017" s="10">
        <v>44385.0</v>
      </c>
      <c r="B2017" s="11">
        <v>2666.0</v>
      </c>
      <c r="C2017" s="12">
        <v>0.4037</v>
      </c>
      <c r="D2017" s="2">
        <v>0.0038078703703703703</v>
      </c>
      <c r="E2017" s="12">
        <v>1.11</v>
      </c>
      <c r="F2017" s="12">
        <v>6.82</v>
      </c>
      <c r="G2017" s="11">
        <v>20175.0</v>
      </c>
      <c r="H2017" s="11">
        <v>2958.0</v>
      </c>
    </row>
    <row r="2018">
      <c r="A2018" s="10">
        <v>44386.0</v>
      </c>
      <c r="B2018" s="11">
        <v>2069.0</v>
      </c>
      <c r="C2018" s="12">
        <v>0.4078</v>
      </c>
      <c r="D2018" s="2">
        <v>0.0028819444444444444</v>
      </c>
      <c r="E2018" s="12">
        <v>1.05</v>
      </c>
      <c r="F2018" s="12">
        <v>6.71</v>
      </c>
      <c r="G2018" s="11">
        <v>14621.0</v>
      </c>
      <c r="H2018" s="11">
        <v>2180.0</v>
      </c>
    </row>
    <row r="2019">
      <c r="A2019" s="10">
        <v>44387.0</v>
      </c>
      <c r="B2019" s="11">
        <v>1180.0</v>
      </c>
      <c r="C2019" s="12">
        <v>0.5784</v>
      </c>
      <c r="D2019" s="2">
        <v>0.0014699074074074074</v>
      </c>
      <c r="E2019" s="12">
        <v>1.2</v>
      </c>
      <c r="F2019" s="12">
        <v>3.56</v>
      </c>
      <c r="G2019" s="11">
        <v>5040.0</v>
      </c>
      <c r="H2019" s="11">
        <v>1416.0</v>
      </c>
    </row>
    <row r="2020">
      <c r="A2020" s="10">
        <v>44388.0</v>
      </c>
      <c r="B2020" s="11">
        <v>1416.0</v>
      </c>
      <c r="C2020" s="12">
        <v>0.524</v>
      </c>
      <c r="D2020" s="2">
        <v>0.0018055555555555555</v>
      </c>
      <c r="E2020" s="12">
        <v>1.03</v>
      </c>
      <c r="F2020" s="12">
        <v>4.41</v>
      </c>
      <c r="G2020" s="11">
        <v>6429.0</v>
      </c>
      <c r="H2020" s="11">
        <v>1458.0</v>
      </c>
    </row>
    <row r="2021">
      <c r="A2021" s="10">
        <v>44389.0</v>
      </c>
      <c r="B2021" s="11">
        <v>2277.0</v>
      </c>
      <c r="C2021" s="12">
        <v>0.4309</v>
      </c>
      <c r="D2021" s="2">
        <v>0.0027546296296296294</v>
      </c>
      <c r="E2021" s="12">
        <v>1.06</v>
      </c>
      <c r="F2021" s="12">
        <v>4.88</v>
      </c>
      <c r="G2021" s="11">
        <v>11789.0</v>
      </c>
      <c r="H2021" s="11">
        <v>2416.0</v>
      </c>
    </row>
    <row r="2022">
      <c r="A2022" s="10">
        <v>44390.0</v>
      </c>
      <c r="B2022" s="11">
        <v>2458.0</v>
      </c>
      <c r="C2022" s="12">
        <v>0.4682</v>
      </c>
      <c r="D2022" s="2">
        <v>0.0023032407407407407</v>
      </c>
      <c r="E2022" s="12">
        <v>1.06</v>
      </c>
      <c r="F2022" s="12">
        <v>4.77</v>
      </c>
      <c r="G2022" s="11">
        <v>12455.0</v>
      </c>
      <c r="H2022" s="11">
        <v>2610.0</v>
      </c>
    </row>
    <row r="2023">
      <c r="A2023" s="10">
        <v>44391.0</v>
      </c>
      <c r="B2023" s="11">
        <v>2444.0</v>
      </c>
      <c r="C2023" s="12">
        <v>0.4785</v>
      </c>
      <c r="D2023" s="2">
        <v>0.0015162037037037036</v>
      </c>
      <c r="E2023" s="12">
        <v>1.06</v>
      </c>
      <c r="F2023" s="12">
        <v>4.15</v>
      </c>
      <c r="G2023" s="11">
        <v>10720.0</v>
      </c>
      <c r="H2023" s="11">
        <v>2583.0</v>
      </c>
    </row>
    <row r="2024">
      <c r="A2024" s="10">
        <v>44392.0</v>
      </c>
      <c r="B2024" s="11">
        <v>3402.0</v>
      </c>
      <c r="C2024" s="12">
        <v>0.4069</v>
      </c>
      <c r="D2024" s="2">
        <v>0.0025925925925925925</v>
      </c>
      <c r="E2024" s="12">
        <v>1.09</v>
      </c>
      <c r="F2024" s="12">
        <v>6.08</v>
      </c>
      <c r="G2024" s="11">
        <v>22633.0</v>
      </c>
      <c r="H2024" s="11">
        <v>3721.0</v>
      </c>
    </row>
    <row r="2025">
      <c r="A2025" s="10">
        <v>44393.0</v>
      </c>
      <c r="B2025" s="11">
        <v>2555.0</v>
      </c>
      <c r="C2025" s="12">
        <v>0.4484</v>
      </c>
      <c r="D2025" s="2">
        <v>0.0021875</v>
      </c>
      <c r="E2025" s="12">
        <v>1.1</v>
      </c>
      <c r="F2025" s="12">
        <v>5.22</v>
      </c>
      <c r="G2025" s="11">
        <v>14705.0</v>
      </c>
      <c r="H2025" s="11">
        <v>2819.0</v>
      </c>
    </row>
    <row r="2026">
      <c r="A2026" s="10">
        <v>44394.0</v>
      </c>
      <c r="B2026" s="11">
        <v>1458.0</v>
      </c>
      <c r="C2026" s="12">
        <v>0.5398</v>
      </c>
      <c r="D2026" s="2">
        <v>0.0025578703703703705</v>
      </c>
      <c r="E2026" s="12">
        <v>1.08</v>
      </c>
      <c r="F2026" s="12">
        <v>4.35</v>
      </c>
      <c r="G2026" s="11">
        <v>6832.0</v>
      </c>
      <c r="H2026" s="11">
        <v>1569.0</v>
      </c>
    </row>
    <row r="2027">
      <c r="A2027" s="10">
        <v>44395.0</v>
      </c>
      <c r="B2027" s="11">
        <v>1472.0</v>
      </c>
      <c r="C2027" s="12">
        <v>0.454</v>
      </c>
      <c r="D2027" s="2">
        <v>0.0030092592592592593</v>
      </c>
      <c r="E2027" s="12">
        <v>1.12</v>
      </c>
      <c r="F2027" s="12">
        <v>5.77</v>
      </c>
      <c r="G2027" s="11">
        <v>9539.0</v>
      </c>
      <c r="H2027" s="11">
        <v>1652.0</v>
      </c>
    </row>
    <row r="2028">
      <c r="A2028" s="10">
        <v>44396.0</v>
      </c>
      <c r="B2028" s="11">
        <v>4138.0</v>
      </c>
      <c r="C2028" s="12">
        <v>0.4243</v>
      </c>
      <c r="D2028" s="2">
        <v>0.0017592592592592592</v>
      </c>
      <c r="E2028" s="12">
        <v>1.11</v>
      </c>
      <c r="F2028" s="12">
        <v>5.17</v>
      </c>
      <c r="G2028" s="11">
        <v>23675.0</v>
      </c>
      <c r="H2028" s="11">
        <v>4582.0</v>
      </c>
    </row>
    <row r="2029">
      <c r="A2029" s="10">
        <v>44397.0</v>
      </c>
      <c r="B2029" s="11">
        <v>3416.0</v>
      </c>
      <c r="C2029" s="12">
        <v>0.4126</v>
      </c>
      <c r="D2029" s="2">
        <v>0.0025694444444444445</v>
      </c>
      <c r="E2029" s="12">
        <v>1.09</v>
      </c>
      <c r="F2029" s="12">
        <v>5.85</v>
      </c>
      <c r="G2029" s="11">
        <v>21842.0</v>
      </c>
      <c r="H2029" s="11">
        <v>3735.0</v>
      </c>
    </row>
    <row r="2030">
      <c r="A2030" s="10">
        <v>44398.0</v>
      </c>
      <c r="B2030" s="11">
        <v>3152.0</v>
      </c>
      <c r="C2030" s="12">
        <v>0.3755</v>
      </c>
      <c r="D2030" s="2">
        <v>0.0030671296296296297</v>
      </c>
      <c r="E2030" s="12">
        <v>1.11</v>
      </c>
      <c r="F2030" s="12">
        <v>6.98</v>
      </c>
      <c r="G2030" s="11">
        <v>24508.0</v>
      </c>
      <c r="H2030" s="11">
        <v>3513.0</v>
      </c>
    </row>
    <row r="2031">
      <c r="A2031" s="10">
        <v>44399.0</v>
      </c>
      <c r="B2031" s="11">
        <v>3402.0</v>
      </c>
      <c r="C2031" s="12">
        <v>0.4961</v>
      </c>
      <c r="D2031" s="2">
        <v>0.0016203703703703703</v>
      </c>
      <c r="E2031" s="12">
        <v>1.05</v>
      </c>
      <c r="F2031" s="12">
        <v>4.3</v>
      </c>
      <c r="G2031" s="11">
        <v>15413.0</v>
      </c>
      <c r="H2031" s="11">
        <v>3582.0</v>
      </c>
    </row>
    <row r="2032">
      <c r="A2032" s="10">
        <v>44400.0</v>
      </c>
      <c r="B2032" s="11">
        <v>2027.0</v>
      </c>
      <c r="C2032" s="12">
        <v>0.441</v>
      </c>
      <c r="D2032" s="2">
        <v>0.0023148148148148147</v>
      </c>
      <c r="E2032" s="12">
        <v>1.1</v>
      </c>
      <c r="F2032" s="12">
        <v>6.1</v>
      </c>
      <c r="G2032" s="11">
        <v>13649.0</v>
      </c>
      <c r="H2032" s="11">
        <v>2236.0</v>
      </c>
    </row>
    <row r="2033">
      <c r="A2033" s="10">
        <v>44401.0</v>
      </c>
      <c r="B2033" s="11">
        <v>1375.0</v>
      </c>
      <c r="C2033" s="12">
        <v>0.5144</v>
      </c>
      <c r="D2033" s="2">
        <v>0.0011226851851851851</v>
      </c>
      <c r="E2033" s="12">
        <v>1.06</v>
      </c>
      <c r="F2033" s="12">
        <v>4.28</v>
      </c>
      <c r="G2033" s="11">
        <v>6235.0</v>
      </c>
      <c r="H2033" s="11">
        <v>1458.0</v>
      </c>
    </row>
    <row r="2034">
      <c r="A2034" s="10">
        <v>44402.0</v>
      </c>
      <c r="B2034" s="11">
        <v>1389.0</v>
      </c>
      <c r="C2034" s="12">
        <v>0.5553</v>
      </c>
      <c r="D2034" s="2">
        <v>0.0018055555555555555</v>
      </c>
      <c r="E2034" s="12">
        <v>1.08</v>
      </c>
      <c r="F2034" s="12">
        <v>4.22</v>
      </c>
      <c r="G2034" s="11">
        <v>6332.0</v>
      </c>
      <c r="H2034" s="11">
        <v>1500.0</v>
      </c>
    </row>
    <row r="2035">
      <c r="A2035" s="10">
        <v>44403.0</v>
      </c>
      <c r="B2035" s="11">
        <v>2888.0</v>
      </c>
      <c r="C2035" s="12">
        <v>0.3659</v>
      </c>
      <c r="D2035" s="2">
        <v>0.002384259259259259</v>
      </c>
      <c r="E2035" s="12">
        <v>1.13</v>
      </c>
      <c r="F2035" s="12">
        <v>5.31</v>
      </c>
      <c r="G2035" s="11">
        <v>17315.0</v>
      </c>
      <c r="H2035" s="11">
        <v>3263.0</v>
      </c>
    </row>
    <row r="2036">
      <c r="A2036" s="10">
        <v>44404.0</v>
      </c>
      <c r="B2036" s="11">
        <v>2388.0</v>
      </c>
      <c r="C2036" s="12">
        <v>0.4484</v>
      </c>
      <c r="D2036" s="2">
        <v>0.0030555555555555557</v>
      </c>
      <c r="E2036" s="12">
        <v>1.13</v>
      </c>
      <c r="F2036" s="12">
        <v>6.93</v>
      </c>
      <c r="G2036" s="11">
        <v>18662.0</v>
      </c>
      <c r="H2036" s="11">
        <v>2694.0</v>
      </c>
    </row>
    <row r="2037">
      <c r="A2037" s="10">
        <v>44405.0</v>
      </c>
      <c r="B2037" s="11">
        <v>2416.0</v>
      </c>
      <c r="C2037" s="12">
        <v>0.4685</v>
      </c>
      <c r="D2037" s="2">
        <v>0.0016550925925925926</v>
      </c>
      <c r="E2037" s="12">
        <v>1.09</v>
      </c>
      <c r="F2037" s="12">
        <v>4.45</v>
      </c>
      <c r="G2037" s="11">
        <v>11747.0</v>
      </c>
      <c r="H2037" s="11">
        <v>2638.0</v>
      </c>
    </row>
    <row r="2038">
      <c r="A2038" s="10">
        <v>44406.0</v>
      </c>
      <c r="B2038" s="11">
        <v>2361.0</v>
      </c>
      <c r="C2038" s="12">
        <v>0.4379</v>
      </c>
      <c r="D2038" s="2">
        <v>0.0024652777777777776</v>
      </c>
      <c r="E2038" s="12">
        <v>1.09</v>
      </c>
      <c r="F2038" s="12">
        <v>5.91</v>
      </c>
      <c r="G2038" s="11">
        <v>15191.0</v>
      </c>
      <c r="H2038" s="11">
        <v>2569.0</v>
      </c>
    </row>
    <row r="2039">
      <c r="A2039" s="10">
        <v>44407.0</v>
      </c>
      <c r="B2039" s="11">
        <v>1819.0</v>
      </c>
      <c r="C2039" s="12">
        <v>0.5136</v>
      </c>
      <c r="D2039" s="2">
        <v>0.002511574074074074</v>
      </c>
      <c r="E2039" s="12">
        <v>1.11</v>
      </c>
      <c r="F2039" s="12">
        <v>5.21</v>
      </c>
      <c r="G2039" s="11">
        <v>10553.0</v>
      </c>
      <c r="H2039" s="11">
        <v>2027.0</v>
      </c>
    </row>
    <row r="2040">
      <c r="A2040" s="10">
        <v>44408.0</v>
      </c>
      <c r="B2040" s="11">
        <v>1097.0</v>
      </c>
      <c r="C2040" s="12">
        <v>0.5955</v>
      </c>
      <c r="D2040" s="2">
        <v>0.0018055555555555555</v>
      </c>
      <c r="E2040" s="12">
        <v>1.13</v>
      </c>
      <c r="F2040" s="12">
        <v>3.49</v>
      </c>
      <c r="G2040" s="11">
        <v>4318.0</v>
      </c>
      <c r="H2040" s="11">
        <v>1236.0</v>
      </c>
    </row>
    <row r="2041">
      <c r="A2041" s="10">
        <v>44409.0</v>
      </c>
      <c r="B2041" s="11">
        <v>1402.0</v>
      </c>
      <c r="C2041" s="12">
        <v>0.5315</v>
      </c>
      <c r="D2041" s="2">
        <v>0.0015046296296296296</v>
      </c>
      <c r="E2041" s="12">
        <v>1.1</v>
      </c>
      <c r="F2041" s="12">
        <v>4.07</v>
      </c>
      <c r="G2041" s="11">
        <v>6276.0</v>
      </c>
      <c r="H2041" s="11">
        <v>1541.0</v>
      </c>
    </row>
    <row r="2042">
      <c r="A2042" s="10">
        <v>44410.0</v>
      </c>
      <c r="B2042" s="11">
        <v>2388.0</v>
      </c>
      <c r="C2042" s="12">
        <v>0.4501</v>
      </c>
      <c r="D2042" s="2">
        <v>0.002025462962962963</v>
      </c>
      <c r="E2042" s="12">
        <v>1.16</v>
      </c>
      <c r="F2042" s="12">
        <v>5.6</v>
      </c>
      <c r="G2042" s="11">
        <v>15538.0</v>
      </c>
      <c r="H2042" s="11">
        <v>2777.0</v>
      </c>
    </row>
    <row r="2043">
      <c r="A2043" s="10">
        <v>44411.0</v>
      </c>
      <c r="B2043" s="11">
        <v>2597.0</v>
      </c>
      <c r="C2043" s="12">
        <v>0.4434</v>
      </c>
      <c r="D2043" s="2">
        <v>0.0024537037037037036</v>
      </c>
      <c r="E2043" s="12">
        <v>1.09</v>
      </c>
      <c r="F2043" s="12">
        <v>5.57</v>
      </c>
      <c r="G2043" s="11">
        <v>15690.0</v>
      </c>
      <c r="H2043" s="11">
        <v>2819.0</v>
      </c>
    </row>
    <row r="2044">
      <c r="A2044" s="10">
        <v>44412.0</v>
      </c>
      <c r="B2044" s="11">
        <v>2402.0</v>
      </c>
      <c r="C2044" s="12">
        <v>0.4087</v>
      </c>
      <c r="D2044" s="2">
        <v>0.0030555555555555557</v>
      </c>
      <c r="E2044" s="12">
        <v>1.17</v>
      </c>
      <c r="F2044" s="12">
        <v>7.04</v>
      </c>
      <c r="G2044" s="11">
        <v>19856.0</v>
      </c>
      <c r="H2044" s="11">
        <v>2819.0</v>
      </c>
    </row>
    <row r="2045">
      <c r="A2045" s="10">
        <v>44413.0</v>
      </c>
      <c r="B2045" s="11">
        <v>2513.0</v>
      </c>
      <c r="C2045" s="12">
        <v>0.4606</v>
      </c>
      <c r="D2045" s="2">
        <v>0.0023148148148148147</v>
      </c>
      <c r="E2045" s="12">
        <v>1.13</v>
      </c>
      <c r="F2045" s="12">
        <v>4.75</v>
      </c>
      <c r="G2045" s="11">
        <v>13455.0</v>
      </c>
      <c r="H2045" s="11">
        <v>2833.0</v>
      </c>
    </row>
    <row r="2046">
      <c r="A2046" s="10">
        <v>44414.0</v>
      </c>
      <c r="B2046" s="11">
        <v>2041.0</v>
      </c>
      <c r="C2046" s="12">
        <v>0.518</v>
      </c>
      <c r="D2046" s="2">
        <v>0.002905092592592593</v>
      </c>
      <c r="E2046" s="12">
        <v>1.13</v>
      </c>
      <c r="F2046" s="12">
        <v>6.1</v>
      </c>
      <c r="G2046" s="11">
        <v>14052.0</v>
      </c>
      <c r="H2046" s="11">
        <v>2305.0</v>
      </c>
    </row>
    <row r="2047">
      <c r="A2047" s="10">
        <v>44415.0</v>
      </c>
      <c r="B2047" s="11">
        <v>1319.0</v>
      </c>
      <c r="C2047" s="12">
        <v>0.5942</v>
      </c>
      <c r="D2047" s="2">
        <v>0.0021759259259259258</v>
      </c>
      <c r="E2047" s="12">
        <v>1.06</v>
      </c>
      <c r="F2047" s="12">
        <v>3.83</v>
      </c>
      <c r="G2047" s="11">
        <v>5374.0</v>
      </c>
      <c r="H2047" s="11">
        <v>1402.0</v>
      </c>
    </row>
    <row r="2048">
      <c r="A2048" s="10">
        <v>44416.0</v>
      </c>
      <c r="B2048" s="11">
        <v>1402.0</v>
      </c>
      <c r="C2048" s="12">
        <v>0.4813</v>
      </c>
      <c r="D2048" s="2">
        <v>0.002361111111111111</v>
      </c>
      <c r="E2048" s="12">
        <v>1.07</v>
      </c>
      <c r="F2048" s="12">
        <v>6.29</v>
      </c>
      <c r="G2048" s="11">
        <v>9428.0</v>
      </c>
      <c r="H2048" s="11">
        <v>1500.0</v>
      </c>
    </row>
    <row r="2049">
      <c r="A2049" s="10">
        <v>44417.0</v>
      </c>
      <c r="B2049" s="11">
        <v>2402.0</v>
      </c>
      <c r="C2049" s="12">
        <v>0.4074</v>
      </c>
      <c r="D2049" s="2">
        <v>0.0022685185185185187</v>
      </c>
      <c r="E2049" s="12">
        <v>1.09</v>
      </c>
      <c r="F2049" s="12">
        <v>6.04</v>
      </c>
      <c r="G2049" s="11">
        <v>15843.0</v>
      </c>
      <c r="H2049" s="11">
        <v>2624.0</v>
      </c>
    </row>
    <row r="2050">
      <c r="A2050" s="10">
        <v>44418.0</v>
      </c>
      <c r="B2050" s="11">
        <v>2430.0</v>
      </c>
      <c r="C2050" s="12">
        <v>0.4477</v>
      </c>
      <c r="D2050" s="2">
        <v>0.002013888888888889</v>
      </c>
      <c r="E2050" s="12">
        <v>1.03</v>
      </c>
      <c r="F2050" s="12">
        <v>5.63</v>
      </c>
      <c r="G2050" s="11">
        <v>14149.0</v>
      </c>
      <c r="H2050" s="11">
        <v>2513.0</v>
      </c>
    </row>
    <row r="2051">
      <c r="A2051" s="10">
        <v>44419.0</v>
      </c>
      <c r="B2051" s="11">
        <v>2069.0</v>
      </c>
      <c r="C2051" s="12">
        <v>0.4489</v>
      </c>
      <c r="D2051" s="2">
        <v>0.0022569444444444442</v>
      </c>
      <c r="E2051" s="12">
        <v>1.12</v>
      </c>
      <c r="F2051" s="12">
        <v>5.54</v>
      </c>
      <c r="G2051" s="11">
        <v>12844.0</v>
      </c>
      <c r="H2051" s="11">
        <v>2319.0</v>
      </c>
    </row>
    <row r="2052">
      <c r="A2052" s="10">
        <v>44420.0</v>
      </c>
      <c r="B2052" s="11">
        <v>2166.0</v>
      </c>
      <c r="C2052" s="12">
        <v>0.432</v>
      </c>
      <c r="D2052" s="2">
        <v>0.002939814814814815</v>
      </c>
      <c r="E2052" s="12">
        <v>1.08</v>
      </c>
      <c r="F2052" s="12">
        <v>6.36</v>
      </c>
      <c r="G2052" s="11">
        <v>14927.0</v>
      </c>
      <c r="H2052" s="11">
        <v>2347.0</v>
      </c>
    </row>
    <row r="2053">
      <c r="A2053" s="10">
        <v>44421.0</v>
      </c>
      <c r="B2053" s="11">
        <v>1777.0</v>
      </c>
      <c r="C2053" s="12">
        <v>0.4081</v>
      </c>
      <c r="D2053" s="2">
        <v>0.0025578703703703705</v>
      </c>
      <c r="E2053" s="12">
        <v>1.15</v>
      </c>
      <c r="F2053" s="12">
        <v>7.31</v>
      </c>
      <c r="G2053" s="11">
        <v>14927.0</v>
      </c>
      <c r="H2053" s="11">
        <v>2041.0</v>
      </c>
    </row>
    <row r="2054">
      <c r="A2054" s="10">
        <v>44422.0</v>
      </c>
      <c r="B2054" s="11">
        <v>1180.0</v>
      </c>
      <c r="C2054" s="12">
        <v>0.4897</v>
      </c>
      <c r="D2054" s="2">
        <v>0.002824074074074074</v>
      </c>
      <c r="E2054" s="12">
        <v>1.11</v>
      </c>
      <c r="F2054" s="12">
        <v>5.01</v>
      </c>
      <c r="G2054" s="11">
        <v>6540.0</v>
      </c>
      <c r="H2054" s="11">
        <v>1305.0</v>
      </c>
    </row>
    <row r="2055">
      <c r="A2055" s="10">
        <v>44423.0</v>
      </c>
      <c r="B2055" s="11">
        <v>1375.0</v>
      </c>
      <c r="C2055" s="12">
        <v>0.5273</v>
      </c>
      <c r="D2055" s="2">
        <v>0.0014930555555555556</v>
      </c>
      <c r="E2055" s="12">
        <v>1.09</v>
      </c>
      <c r="F2055" s="12">
        <v>3.81</v>
      </c>
      <c r="G2055" s="11">
        <v>5721.0</v>
      </c>
      <c r="H2055" s="11">
        <v>1500.0</v>
      </c>
    </row>
    <row r="2056">
      <c r="A2056" s="10">
        <v>44424.0</v>
      </c>
      <c r="B2056" s="11">
        <v>2069.0</v>
      </c>
      <c r="C2056" s="12">
        <v>0.4597</v>
      </c>
      <c r="D2056" s="2">
        <v>0.002372685185185185</v>
      </c>
      <c r="E2056" s="12">
        <v>1.08</v>
      </c>
      <c r="F2056" s="12">
        <v>5.94</v>
      </c>
      <c r="G2056" s="11">
        <v>13288.0</v>
      </c>
      <c r="H2056" s="11">
        <v>2236.0</v>
      </c>
    </row>
    <row r="2057">
      <c r="A2057" s="10">
        <v>44425.0</v>
      </c>
      <c r="B2057" s="11">
        <v>2208.0</v>
      </c>
      <c r="C2057" s="12">
        <v>0.433</v>
      </c>
      <c r="D2057" s="2">
        <v>0.002013888888888889</v>
      </c>
      <c r="E2057" s="12">
        <v>1.08</v>
      </c>
      <c r="F2057" s="12">
        <v>5.69</v>
      </c>
      <c r="G2057" s="11">
        <v>13510.0</v>
      </c>
      <c r="H2057" s="11">
        <v>2374.0</v>
      </c>
    </row>
    <row r="2058">
      <c r="A2058" s="10">
        <v>44426.0</v>
      </c>
      <c r="B2058" s="11">
        <v>2222.0</v>
      </c>
      <c r="C2058" s="12">
        <v>0.5113</v>
      </c>
      <c r="D2058" s="2">
        <v>0.0018402777777777777</v>
      </c>
      <c r="E2058" s="12">
        <v>1.11</v>
      </c>
      <c r="F2058" s="12">
        <v>5.14</v>
      </c>
      <c r="G2058" s="11">
        <v>12705.0</v>
      </c>
      <c r="H2058" s="11">
        <v>2472.0</v>
      </c>
    </row>
    <row r="2059">
      <c r="A2059" s="10">
        <v>44427.0</v>
      </c>
      <c r="B2059" s="11">
        <v>2583.0</v>
      </c>
      <c r="C2059" s="12">
        <v>0.483</v>
      </c>
      <c r="D2059" s="2">
        <v>0.0026967592592592594</v>
      </c>
      <c r="E2059" s="12">
        <v>1.1</v>
      </c>
      <c r="F2059" s="12">
        <v>6.8</v>
      </c>
      <c r="G2059" s="11">
        <v>19356.0</v>
      </c>
      <c r="H2059" s="11">
        <v>2847.0</v>
      </c>
    </row>
    <row r="2060">
      <c r="A2060" s="10">
        <v>44428.0</v>
      </c>
      <c r="B2060" s="11">
        <v>1930.0</v>
      </c>
      <c r="C2060" s="12">
        <v>0.4748</v>
      </c>
      <c r="D2060" s="2">
        <v>0.002627314814814815</v>
      </c>
      <c r="E2060" s="12">
        <v>1.15</v>
      </c>
      <c r="F2060" s="12">
        <v>7.21</v>
      </c>
      <c r="G2060" s="11">
        <v>16024.0</v>
      </c>
      <c r="H2060" s="11">
        <v>2222.0</v>
      </c>
    </row>
    <row r="2061">
      <c r="A2061" s="10">
        <v>44429.0</v>
      </c>
      <c r="B2061" s="11">
        <v>1347.0</v>
      </c>
      <c r="C2061" s="12">
        <v>0.4715</v>
      </c>
      <c r="D2061" s="2">
        <v>0.0020717592592592593</v>
      </c>
      <c r="E2061" s="12">
        <v>1.09</v>
      </c>
      <c r="F2061" s="12">
        <v>4.79</v>
      </c>
      <c r="G2061" s="11">
        <v>7054.0</v>
      </c>
      <c r="H2061" s="11">
        <v>1472.0</v>
      </c>
    </row>
    <row r="2062">
      <c r="A2062" s="10">
        <v>44430.0</v>
      </c>
      <c r="B2062" s="11">
        <v>1430.0</v>
      </c>
      <c r="C2062" s="12">
        <v>0.4685</v>
      </c>
      <c r="D2062" s="2">
        <v>0.001979166666666667</v>
      </c>
      <c r="E2062" s="12">
        <v>1.08</v>
      </c>
      <c r="F2062" s="12">
        <v>4.74</v>
      </c>
      <c r="G2062" s="11">
        <v>7304.0</v>
      </c>
      <c r="H2062" s="11">
        <v>1541.0</v>
      </c>
    </row>
    <row r="2063">
      <c r="A2063" s="10">
        <v>44431.0</v>
      </c>
      <c r="B2063" s="11">
        <v>2152.0</v>
      </c>
      <c r="C2063" s="12">
        <v>0.5</v>
      </c>
      <c r="D2063" s="2">
        <v>0.002337962962962963</v>
      </c>
      <c r="E2063" s="12">
        <v>1.11</v>
      </c>
      <c r="F2063" s="12">
        <v>5.51</v>
      </c>
      <c r="G2063" s="11">
        <v>13149.0</v>
      </c>
      <c r="H2063" s="11">
        <v>2388.0</v>
      </c>
    </row>
    <row r="2064">
      <c r="A2064" s="10">
        <v>44432.0</v>
      </c>
      <c r="B2064" s="11">
        <v>2388.0</v>
      </c>
      <c r="C2064" s="12">
        <v>0.4397</v>
      </c>
      <c r="D2064" s="2">
        <v>0.0016898148148148148</v>
      </c>
      <c r="E2064" s="12">
        <v>1.06</v>
      </c>
      <c r="F2064" s="12">
        <v>4.25</v>
      </c>
      <c r="G2064" s="11">
        <v>10747.0</v>
      </c>
      <c r="H2064" s="11">
        <v>2527.0</v>
      </c>
    </row>
    <row r="2065">
      <c r="A2065" s="10">
        <v>44433.0</v>
      </c>
      <c r="B2065" s="11">
        <v>2694.0</v>
      </c>
      <c r="C2065" s="12">
        <v>0.4465</v>
      </c>
      <c r="D2065" s="2">
        <v>0.0022337962962962962</v>
      </c>
      <c r="E2065" s="12">
        <v>1.06</v>
      </c>
      <c r="F2065" s="12">
        <v>6.3</v>
      </c>
      <c r="G2065" s="11">
        <v>18009.0</v>
      </c>
      <c r="H2065" s="11">
        <v>2860.0</v>
      </c>
    </row>
    <row r="2066">
      <c r="A2066" s="10">
        <v>44434.0</v>
      </c>
      <c r="B2066" s="11">
        <v>2513.0</v>
      </c>
      <c r="C2066" s="12">
        <v>0.4343</v>
      </c>
      <c r="D2066" s="2">
        <v>0.0021875</v>
      </c>
      <c r="E2066" s="12">
        <v>1.09</v>
      </c>
      <c r="F2066" s="12">
        <v>5.11</v>
      </c>
      <c r="G2066" s="11">
        <v>14052.0</v>
      </c>
      <c r="H2066" s="11">
        <v>2749.0</v>
      </c>
    </row>
    <row r="2067">
      <c r="A2067" s="10">
        <v>44435.0</v>
      </c>
      <c r="B2067" s="11">
        <v>1999.0</v>
      </c>
      <c r="C2067" s="12">
        <v>0.4968</v>
      </c>
      <c r="D2067" s="2">
        <v>0.0014236111111111112</v>
      </c>
      <c r="E2067" s="12">
        <v>1.1</v>
      </c>
      <c r="F2067" s="12">
        <v>4.37</v>
      </c>
      <c r="G2067" s="11">
        <v>9650.0</v>
      </c>
      <c r="H2067" s="11">
        <v>2208.0</v>
      </c>
    </row>
    <row r="2068">
      <c r="A2068" s="10">
        <v>44436.0</v>
      </c>
      <c r="B2068" s="11">
        <v>1333.0</v>
      </c>
      <c r="C2068" s="12">
        <v>0.5809</v>
      </c>
      <c r="D2068" s="2">
        <v>0.0014583333333333334</v>
      </c>
      <c r="E2068" s="12">
        <v>1.09</v>
      </c>
      <c r="F2068" s="12">
        <v>3.58</v>
      </c>
      <c r="G2068" s="11">
        <v>5221.0</v>
      </c>
      <c r="H2068" s="11">
        <v>1458.0</v>
      </c>
    </row>
    <row r="2069">
      <c r="A2069" s="10">
        <v>44437.0</v>
      </c>
      <c r="B2069" s="11">
        <v>1361.0</v>
      </c>
      <c r="C2069" s="12">
        <v>0.5627</v>
      </c>
      <c r="D2069" s="2">
        <v>0.002210648148148148</v>
      </c>
      <c r="E2069" s="12">
        <v>1.14</v>
      </c>
      <c r="F2069" s="12">
        <v>4.64</v>
      </c>
      <c r="G2069" s="11">
        <v>7220.0</v>
      </c>
      <c r="H2069" s="11">
        <v>1555.0</v>
      </c>
    </row>
    <row r="2070">
      <c r="A2070" s="10">
        <v>44438.0</v>
      </c>
      <c r="B2070" s="11">
        <v>2138.0</v>
      </c>
      <c r="C2070" s="12">
        <v>0.4912</v>
      </c>
      <c r="D2070" s="2">
        <v>0.0020949074074074073</v>
      </c>
      <c r="E2070" s="12">
        <v>1.11</v>
      </c>
      <c r="F2070" s="12">
        <v>5.65</v>
      </c>
      <c r="G2070" s="11">
        <v>13413.0</v>
      </c>
      <c r="H2070" s="11">
        <v>2374.0</v>
      </c>
    </row>
    <row r="2071">
      <c r="A2071" s="10">
        <v>44439.0</v>
      </c>
      <c r="B2071" s="11">
        <v>2291.0</v>
      </c>
      <c r="C2071" s="12">
        <v>0.5166</v>
      </c>
      <c r="D2071" s="2">
        <v>0.0021296296296296298</v>
      </c>
      <c r="E2071" s="12">
        <v>1.08</v>
      </c>
      <c r="F2071" s="12">
        <v>4.3</v>
      </c>
      <c r="G2071" s="11">
        <v>10622.0</v>
      </c>
      <c r="H2071" s="11">
        <v>2472.0</v>
      </c>
    </row>
    <row r="2072">
      <c r="A2072" s="10">
        <v>44440.0</v>
      </c>
      <c r="B2072" s="11">
        <v>2305.0</v>
      </c>
      <c r="C2072" s="12">
        <v>0.3665</v>
      </c>
      <c r="D2072" s="2">
        <v>0.0028819444444444444</v>
      </c>
      <c r="E2072" s="12">
        <v>1.08</v>
      </c>
      <c r="F2072" s="12">
        <v>6.01</v>
      </c>
      <c r="G2072" s="11">
        <v>15024.0</v>
      </c>
      <c r="H2072" s="11">
        <v>2499.0</v>
      </c>
    </row>
    <row r="2073">
      <c r="A2073" s="10">
        <v>44441.0</v>
      </c>
      <c r="B2073" s="11">
        <v>2416.0</v>
      </c>
      <c r="C2073" s="12">
        <v>0.4224</v>
      </c>
      <c r="D2073" s="2">
        <v>0.0018171296296296297</v>
      </c>
      <c r="E2073" s="12">
        <v>1.07</v>
      </c>
      <c r="F2073" s="12">
        <v>5.21</v>
      </c>
      <c r="G2073" s="11">
        <v>13524.0</v>
      </c>
      <c r="H2073" s="11">
        <v>2597.0</v>
      </c>
    </row>
    <row r="2074">
      <c r="A2074" s="10">
        <v>44442.0</v>
      </c>
      <c r="B2074" s="11">
        <v>1902.0</v>
      </c>
      <c r="C2074" s="12">
        <v>0.5278</v>
      </c>
      <c r="D2074" s="2">
        <v>0.001851851851851852</v>
      </c>
      <c r="E2074" s="12">
        <v>1.05</v>
      </c>
      <c r="F2074" s="12">
        <v>5.68</v>
      </c>
      <c r="G2074" s="11">
        <v>11358.0</v>
      </c>
      <c r="H2074" s="11">
        <v>1999.0</v>
      </c>
    </row>
    <row r="2075">
      <c r="A2075" s="10">
        <v>44443.0</v>
      </c>
      <c r="B2075" s="11">
        <v>1264.0</v>
      </c>
      <c r="C2075" s="12">
        <v>0.5099</v>
      </c>
      <c r="D2075" s="2">
        <v>0.0013541666666666667</v>
      </c>
      <c r="E2075" s="12">
        <v>1.08</v>
      </c>
      <c r="F2075" s="12">
        <v>3.39</v>
      </c>
      <c r="G2075" s="11">
        <v>4610.0</v>
      </c>
      <c r="H2075" s="11">
        <v>1361.0</v>
      </c>
    </row>
    <row r="2076">
      <c r="A2076" s="10">
        <v>44444.0</v>
      </c>
      <c r="B2076" s="11">
        <v>1541.0</v>
      </c>
      <c r="C2076" s="12">
        <v>0.5557</v>
      </c>
      <c r="D2076" s="2">
        <v>0.001400462962962963</v>
      </c>
      <c r="E2076" s="12">
        <v>1.05</v>
      </c>
      <c r="F2076" s="12">
        <v>3.37</v>
      </c>
      <c r="G2076" s="11">
        <v>5471.0</v>
      </c>
      <c r="H2076" s="11">
        <v>1625.0</v>
      </c>
    </row>
    <row r="2077">
      <c r="A2077" s="10">
        <v>44445.0</v>
      </c>
      <c r="B2077" s="11">
        <v>1833.0</v>
      </c>
      <c r="C2077" s="12">
        <v>0.5453</v>
      </c>
      <c r="D2077" s="2">
        <v>0.0011342592592592593</v>
      </c>
      <c r="E2077" s="12">
        <v>1.08</v>
      </c>
      <c r="F2077" s="12">
        <v>3.33</v>
      </c>
      <c r="G2077" s="11">
        <v>6609.0</v>
      </c>
      <c r="H2077" s="11">
        <v>1986.0</v>
      </c>
    </row>
    <row r="2078">
      <c r="A2078" s="10">
        <v>44446.0</v>
      </c>
      <c r="B2078" s="11">
        <v>2458.0</v>
      </c>
      <c r="C2078" s="12">
        <v>0.5161</v>
      </c>
      <c r="D2078" s="2">
        <v>0.0021527777777777778</v>
      </c>
      <c r="E2078" s="12">
        <v>1.06</v>
      </c>
      <c r="F2078" s="12">
        <v>4.39</v>
      </c>
      <c r="G2078" s="11">
        <v>11455.0</v>
      </c>
      <c r="H2078" s="11">
        <v>2610.0</v>
      </c>
    </row>
    <row r="2079">
      <c r="A2079" s="10">
        <v>44447.0</v>
      </c>
      <c r="B2079" s="11">
        <v>2291.0</v>
      </c>
      <c r="C2079" s="12">
        <v>0.4142</v>
      </c>
      <c r="D2079" s="2">
        <v>0.002337962962962963</v>
      </c>
      <c r="E2079" s="12">
        <v>1.1</v>
      </c>
      <c r="F2079" s="12">
        <v>4.92</v>
      </c>
      <c r="G2079" s="11">
        <v>12358.0</v>
      </c>
      <c r="H2079" s="11">
        <v>2513.0</v>
      </c>
    </row>
    <row r="2080">
      <c r="A2080" s="10">
        <v>44448.0</v>
      </c>
      <c r="B2080" s="11">
        <v>2472.0</v>
      </c>
      <c r="C2080" s="12">
        <v>0.4484</v>
      </c>
      <c r="D2080" s="2">
        <v>0.001875</v>
      </c>
      <c r="E2080" s="12">
        <v>1.09</v>
      </c>
      <c r="F2080" s="12">
        <v>4.33</v>
      </c>
      <c r="G2080" s="11">
        <v>11664.0</v>
      </c>
      <c r="H2080" s="11">
        <v>2694.0</v>
      </c>
    </row>
    <row r="2081">
      <c r="A2081" s="10">
        <v>44449.0</v>
      </c>
      <c r="B2081" s="11">
        <v>2041.0</v>
      </c>
      <c r="C2081" s="12">
        <v>0.5247</v>
      </c>
      <c r="D2081" s="2">
        <v>0.0023032407407407407</v>
      </c>
      <c r="E2081" s="12">
        <v>1.1</v>
      </c>
      <c r="F2081" s="12">
        <v>5.66</v>
      </c>
      <c r="G2081" s="11">
        <v>12733.0</v>
      </c>
      <c r="H2081" s="11">
        <v>2249.0</v>
      </c>
    </row>
    <row r="2082">
      <c r="A2082" s="10">
        <v>44450.0</v>
      </c>
      <c r="B2082" s="11">
        <v>1389.0</v>
      </c>
      <c r="C2082" s="12">
        <v>0.5713</v>
      </c>
      <c r="D2082" s="2">
        <v>0.0015277777777777779</v>
      </c>
      <c r="E2082" s="12">
        <v>1.05</v>
      </c>
      <c r="F2082" s="12">
        <v>4.76</v>
      </c>
      <c r="G2082" s="11">
        <v>6943.0</v>
      </c>
      <c r="H2082" s="11">
        <v>1458.0</v>
      </c>
    </row>
    <row r="2083">
      <c r="A2083" s="10">
        <v>44451.0</v>
      </c>
      <c r="B2083" s="11">
        <v>1402.0</v>
      </c>
      <c r="C2083" s="12">
        <v>0.5131</v>
      </c>
      <c r="D2083" s="2">
        <v>0.0022453703703703702</v>
      </c>
      <c r="E2083" s="12">
        <v>1.12</v>
      </c>
      <c r="F2083" s="12">
        <v>4.27</v>
      </c>
      <c r="G2083" s="11">
        <v>6693.0</v>
      </c>
      <c r="H2083" s="11">
        <v>1569.0</v>
      </c>
    </row>
    <row r="2084">
      <c r="A2084" s="10">
        <v>44452.0</v>
      </c>
      <c r="B2084" s="11">
        <v>2361.0</v>
      </c>
      <c r="C2084" s="12">
        <v>0.5305</v>
      </c>
      <c r="D2084" s="2">
        <v>0.001736111111111111</v>
      </c>
      <c r="E2084" s="12">
        <v>1.15</v>
      </c>
      <c r="F2084" s="12">
        <v>3.91</v>
      </c>
      <c r="G2084" s="11">
        <v>10636.0</v>
      </c>
      <c r="H2084" s="11">
        <v>2722.0</v>
      </c>
    </row>
    <row r="2085">
      <c r="A2085" s="10">
        <v>44453.0</v>
      </c>
      <c r="B2085" s="11">
        <v>2624.0</v>
      </c>
      <c r="C2085" s="12">
        <v>0.4802</v>
      </c>
      <c r="D2085" s="2">
        <v>0.0020486111111111113</v>
      </c>
      <c r="E2085" s="12">
        <v>1.07</v>
      </c>
      <c r="F2085" s="12">
        <v>4.85</v>
      </c>
      <c r="G2085" s="11">
        <v>13608.0</v>
      </c>
      <c r="H2085" s="11">
        <v>2805.0</v>
      </c>
    </row>
    <row r="2086">
      <c r="A2086" s="10">
        <v>44454.0</v>
      </c>
      <c r="B2086" s="11">
        <v>2847.0</v>
      </c>
      <c r="C2086" s="12">
        <v>0.4866</v>
      </c>
      <c r="D2086" s="2">
        <v>0.0016898148148148148</v>
      </c>
      <c r="E2086" s="12">
        <v>1.1</v>
      </c>
      <c r="F2086" s="12">
        <v>4.41</v>
      </c>
      <c r="G2086" s="11">
        <v>13844.0</v>
      </c>
      <c r="H2086" s="11">
        <v>3138.0</v>
      </c>
    </row>
    <row r="2087">
      <c r="A2087" s="10">
        <v>44455.0</v>
      </c>
      <c r="B2087" s="11">
        <v>2485.0</v>
      </c>
      <c r="C2087" s="12">
        <v>0.456</v>
      </c>
      <c r="D2087" s="2">
        <v>0.0018287037037037037</v>
      </c>
      <c r="E2087" s="12">
        <v>1.08</v>
      </c>
      <c r="F2087" s="12">
        <v>5.13</v>
      </c>
      <c r="G2087" s="11">
        <v>13760.0</v>
      </c>
      <c r="H2087" s="11">
        <v>2680.0</v>
      </c>
    </row>
    <row r="2088">
      <c r="A2088" s="10">
        <v>44456.0</v>
      </c>
      <c r="B2088" s="11">
        <v>2291.0</v>
      </c>
      <c r="C2088" s="12">
        <v>0.5537</v>
      </c>
      <c r="D2088" s="2">
        <v>0.0016550925925925926</v>
      </c>
      <c r="E2088" s="12">
        <v>1.07</v>
      </c>
      <c r="F2088" s="12">
        <v>3.63</v>
      </c>
      <c r="G2088" s="11">
        <v>8914.0</v>
      </c>
      <c r="H2088" s="11">
        <v>2458.0</v>
      </c>
    </row>
    <row r="2089">
      <c r="A2089" s="10">
        <v>44457.0</v>
      </c>
      <c r="B2089" s="11">
        <v>1375.0</v>
      </c>
      <c r="C2089" s="12">
        <v>0.5374</v>
      </c>
      <c r="D2089" s="2">
        <v>0.001400462962962963</v>
      </c>
      <c r="E2089" s="12">
        <v>1.07</v>
      </c>
      <c r="F2089" s="12">
        <v>3.86</v>
      </c>
      <c r="G2089" s="11">
        <v>5679.0</v>
      </c>
      <c r="H2089" s="11">
        <v>1472.0</v>
      </c>
    </row>
    <row r="2090">
      <c r="A2090" s="10">
        <v>44458.0</v>
      </c>
      <c r="B2090" s="11">
        <v>1444.0</v>
      </c>
      <c r="C2090" s="12">
        <v>0.5003</v>
      </c>
      <c r="D2090" s="2">
        <v>0.002337962962962963</v>
      </c>
      <c r="E2090" s="12">
        <v>1.08</v>
      </c>
      <c r="F2090" s="12">
        <v>4.3</v>
      </c>
      <c r="G2090" s="11">
        <v>6679.0</v>
      </c>
      <c r="H2090" s="11">
        <v>1555.0</v>
      </c>
    </row>
    <row r="2091">
      <c r="A2091" s="10">
        <v>44459.0</v>
      </c>
      <c r="B2091" s="11">
        <v>2583.0</v>
      </c>
      <c r="C2091" s="12">
        <v>0.4394</v>
      </c>
      <c r="D2091" s="2">
        <v>0.0024421296296296296</v>
      </c>
      <c r="E2091" s="12">
        <v>1.06</v>
      </c>
      <c r="F2091" s="12">
        <v>5.28</v>
      </c>
      <c r="G2091" s="11">
        <v>14524.0</v>
      </c>
      <c r="H2091" s="11">
        <v>2749.0</v>
      </c>
    </row>
    <row r="2092">
      <c r="A2092" s="10">
        <v>44460.0</v>
      </c>
      <c r="B2092" s="11">
        <v>2527.0</v>
      </c>
      <c r="C2092" s="12">
        <v>0.4394</v>
      </c>
      <c r="D2092" s="2">
        <v>0.0025</v>
      </c>
      <c r="E2092" s="12">
        <v>1.09</v>
      </c>
      <c r="F2092" s="12">
        <v>5.1</v>
      </c>
      <c r="G2092" s="11">
        <v>14010.0</v>
      </c>
      <c r="H2092" s="11">
        <v>2749.0</v>
      </c>
    </row>
    <row r="2093">
      <c r="A2093" s="10">
        <v>44461.0</v>
      </c>
      <c r="B2093" s="11">
        <v>2610.0</v>
      </c>
      <c r="C2093" s="12">
        <v>0.4524</v>
      </c>
      <c r="D2093" s="2">
        <v>0.002488425925925926</v>
      </c>
      <c r="E2093" s="12">
        <v>1.06</v>
      </c>
      <c r="F2093" s="12">
        <v>5.02</v>
      </c>
      <c r="G2093" s="11">
        <v>13858.0</v>
      </c>
      <c r="H2093" s="11">
        <v>2763.0</v>
      </c>
    </row>
    <row r="2094">
      <c r="A2094" s="10">
        <v>44462.0</v>
      </c>
      <c r="B2094" s="11">
        <v>2458.0</v>
      </c>
      <c r="C2094" s="12">
        <v>0.3601</v>
      </c>
      <c r="D2094" s="2">
        <v>0.003310185185185185</v>
      </c>
      <c r="E2094" s="12">
        <v>1.13</v>
      </c>
      <c r="F2094" s="12">
        <v>6.33</v>
      </c>
      <c r="G2094" s="11">
        <v>17579.0</v>
      </c>
      <c r="H2094" s="11">
        <v>2777.0</v>
      </c>
    </row>
    <row r="2095">
      <c r="A2095" s="10">
        <v>44463.0</v>
      </c>
      <c r="B2095" s="11">
        <v>2055.0</v>
      </c>
      <c r="C2095" s="12">
        <v>0.4182</v>
      </c>
      <c r="D2095" s="2">
        <v>0.003472222222222222</v>
      </c>
      <c r="E2095" s="12">
        <v>1.11</v>
      </c>
      <c r="F2095" s="12">
        <v>5.22</v>
      </c>
      <c r="G2095" s="11">
        <v>11969.0</v>
      </c>
      <c r="H2095" s="11">
        <v>2291.0</v>
      </c>
    </row>
    <row r="2096">
      <c r="A2096" s="10">
        <v>44464.0</v>
      </c>
      <c r="B2096" s="11">
        <v>1222.0</v>
      </c>
      <c r="C2096" s="12">
        <v>0.5531</v>
      </c>
      <c r="D2096" s="2">
        <v>0.0017824074074074075</v>
      </c>
      <c r="E2096" s="12">
        <v>1.17</v>
      </c>
      <c r="F2096" s="12">
        <v>3.52</v>
      </c>
      <c r="G2096" s="11">
        <v>5040.0</v>
      </c>
      <c r="H2096" s="11">
        <v>1430.0</v>
      </c>
    </row>
    <row r="2097">
      <c r="A2097" s="10">
        <v>44465.0</v>
      </c>
      <c r="B2097" s="11">
        <v>1583.0</v>
      </c>
      <c r="C2097" s="12">
        <v>0.5234</v>
      </c>
      <c r="D2097" s="2">
        <v>0.0021759259259259258</v>
      </c>
      <c r="E2097" s="12">
        <v>1.11</v>
      </c>
      <c r="F2097" s="12">
        <v>3.59</v>
      </c>
      <c r="G2097" s="11">
        <v>6290.0</v>
      </c>
      <c r="H2097" s="11">
        <v>1750.0</v>
      </c>
    </row>
    <row r="2098">
      <c r="A2098" s="10">
        <v>44466.0</v>
      </c>
      <c r="B2098" s="11">
        <v>3360.0</v>
      </c>
      <c r="C2098" s="12">
        <v>0.5073</v>
      </c>
      <c r="D2098" s="2">
        <v>0.0016550925925925926</v>
      </c>
      <c r="E2098" s="12">
        <v>1.12</v>
      </c>
      <c r="F2098" s="12">
        <v>4.43</v>
      </c>
      <c r="G2098" s="11">
        <v>16607.0</v>
      </c>
      <c r="H2098" s="11">
        <v>3749.0</v>
      </c>
    </row>
    <row r="2099">
      <c r="A2099" s="10">
        <v>44467.0</v>
      </c>
      <c r="B2099" s="11">
        <v>2930.0</v>
      </c>
      <c r="C2099" s="12">
        <v>0.3613</v>
      </c>
      <c r="D2099" s="2">
        <v>0.0032523148148148147</v>
      </c>
      <c r="E2099" s="12">
        <v>1.13</v>
      </c>
      <c r="F2099" s="12">
        <v>6.13</v>
      </c>
      <c r="G2099" s="11">
        <v>20245.0</v>
      </c>
      <c r="H2099" s="11">
        <v>3305.0</v>
      </c>
    </row>
    <row r="2100">
      <c r="A2100" s="10">
        <v>44468.0</v>
      </c>
      <c r="B2100" s="11">
        <v>2833.0</v>
      </c>
      <c r="C2100" s="12">
        <v>0.4148</v>
      </c>
      <c r="D2100" s="2">
        <v>0.0021527777777777778</v>
      </c>
      <c r="E2100" s="12">
        <v>1.12</v>
      </c>
      <c r="F2100" s="12">
        <v>4.85</v>
      </c>
      <c r="G2100" s="11">
        <v>15427.0</v>
      </c>
      <c r="H2100" s="11">
        <v>3180.0</v>
      </c>
    </row>
    <row r="2101">
      <c r="A2101" s="10">
        <v>44469.0</v>
      </c>
      <c r="B2101" s="11">
        <v>2666.0</v>
      </c>
      <c r="C2101" s="12">
        <v>0.3902</v>
      </c>
      <c r="D2101" s="2">
        <v>0.003125</v>
      </c>
      <c r="E2101" s="12">
        <v>1.07</v>
      </c>
      <c r="F2101" s="12">
        <v>7.16</v>
      </c>
      <c r="G2101" s="11">
        <v>20398.0</v>
      </c>
      <c r="H2101" s="11">
        <v>2847.0</v>
      </c>
    </row>
    <row r="2102">
      <c r="A2102" s="10">
        <v>44470.0</v>
      </c>
      <c r="B2102" s="11">
        <v>2166.0</v>
      </c>
      <c r="C2102" s="12">
        <v>0.4153</v>
      </c>
      <c r="D2102" s="2">
        <v>0.0029861111111111113</v>
      </c>
      <c r="E2102" s="12">
        <v>1.1</v>
      </c>
      <c r="F2102" s="12">
        <v>6.14</v>
      </c>
      <c r="G2102" s="11">
        <v>14566.0</v>
      </c>
      <c r="H2102" s="11">
        <v>2374.0</v>
      </c>
    </row>
    <row r="2103">
      <c r="A2103" s="10">
        <v>44471.0</v>
      </c>
      <c r="B2103" s="11">
        <v>1541.0</v>
      </c>
      <c r="C2103" s="12">
        <v>0.5736</v>
      </c>
      <c r="D2103" s="2">
        <v>0.0017708333333333332</v>
      </c>
      <c r="E2103" s="12">
        <v>1.04</v>
      </c>
      <c r="F2103" s="12">
        <v>3.95</v>
      </c>
      <c r="G2103" s="11">
        <v>6304.0</v>
      </c>
      <c r="H2103" s="11">
        <v>1597.0</v>
      </c>
    </row>
    <row r="2104">
      <c r="A2104" s="10">
        <v>44472.0</v>
      </c>
      <c r="B2104" s="11">
        <v>1500.0</v>
      </c>
      <c r="C2104" s="12">
        <v>0.4829</v>
      </c>
      <c r="D2104" s="2">
        <v>0.002025462962962963</v>
      </c>
      <c r="E2104" s="12">
        <v>1.09</v>
      </c>
      <c r="F2104" s="12">
        <v>4.58</v>
      </c>
      <c r="G2104" s="11">
        <v>7498.0</v>
      </c>
      <c r="H2104" s="11">
        <v>1638.0</v>
      </c>
    </row>
    <row r="2105">
      <c r="A2105" s="10">
        <v>44473.0</v>
      </c>
      <c r="B2105" s="11">
        <v>2499.0</v>
      </c>
      <c r="C2105" s="12">
        <v>0.435</v>
      </c>
      <c r="D2105" s="2">
        <v>0.002824074074074074</v>
      </c>
      <c r="E2105" s="12">
        <v>1.11</v>
      </c>
      <c r="F2105" s="12">
        <v>5.91</v>
      </c>
      <c r="G2105" s="11">
        <v>16413.0</v>
      </c>
      <c r="H2105" s="11">
        <v>2777.0</v>
      </c>
    </row>
    <row r="2106">
      <c r="A2106" s="10">
        <v>44474.0</v>
      </c>
      <c r="B2106" s="11">
        <v>2985.0</v>
      </c>
      <c r="C2106" s="12">
        <v>0.4647</v>
      </c>
      <c r="D2106" s="2">
        <v>0.002210648148148148</v>
      </c>
      <c r="E2106" s="12">
        <v>1.12</v>
      </c>
      <c r="F2106" s="12">
        <v>5.32</v>
      </c>
      <c r="G2106" s="11">
        <v>17801.0</v>
      </c>
      <c r="H2106" s="11">
        <v>3346.0</v>
      </c>
    </row>
    <row r="2107">
      <c r="A2107" s="10">
        <v>44475.0</v>
      </c>
      <c r="B2107" s="11">
        <v>2860.0</v>
      </c>
      <c r="C2107" s="12">
        <v>0.4605</v>
      </c>
      <c r="D2107" s="2">
        <v>0.002673611111111111</v>
      </c>
      <c r="E2107" s="12">
        <v>1.17</v>
      </c>
      <c r="F2107" s="12">
        <v>5.43</v>
      </c>
      <c r="G2107" s="11">
        <v>18176.0</v>
      </c>
      <c r="H2107" s="11">
        <v>3346.0</v>
      </c>
    </row>
    <row r="2108">
      <c r="A2108" s="10">
        <v>44476.0</v>
      </c>
      <c r="B2108" s="11">
        <v>2930.0</v>
      </c>
      <c r="C2108" s="12">
        <v>0.4625</v>
      </c>
      <c r="D2108" s="2">
        <v>0.0017592592592592592</v>
      </c>
      <c r="E2108" s="12">
        <v>1.14</v>
      </c>
      <c r="F2108" s="12">
        <v>3.88</v>
      </c>
      <c r="G2108" s="11">
        <v>12927.0</v>
      </c>
      <c r="H2108" s="11">
        <v>3332.0</v>
      </c>
    </row>
    <row r="2109">
      <c r="A2109" s="10">
        <v>44477.0</v>
      </c>
      <c r="B2109" s="11">
        <v>2458.0</v>
      </c>
      <c r="C2109" s="12">
        <v>0.4386</v>
      </c>
      <c r="D2109" s="2">
        <v>0.0025578703703703705</v>
      </c>
      <c r="E2109" s="12">
        <v>1.11</v>
      </c>
      <c r="F2109" s="12">
        <v>4.82</v>
      </c>
      <c r="G2109" s="11">
        <v>13108.0</v>
      </c>
      <c r="H2109" s="11">
        <v>2722.0</v>
      </c>
    </row>
    <row r="2110">
      <c r="A2110" s="10">
        <v>44478.0</v>
      </c>
      <c r="B2110" s="11">
        <v>1402.0</v>
      </c>
      <c r="C2110" s="12">
        <v>0.5547</v>
      </c>
      <c r="D2110" s="2">
        <v>0.001736111111111111</v>
      </c>
      <c r="E2110" s="12">
        <v>1.09</v>
      </c>
      <c r="F2110" s="12">
        <v>3.8</v>
      </c>
      <c r="G2110" s="11">
        <v>5804.0</v>
      </c>
      <c r="H2110" s="11">
        <v>1527.0</v>
      </c>
    </row>
    <row r="2111">
      <c r="A2111" s="10">
        <v>44479.0</v>
      </c>
      <c r="B2111" s="11">
        <v>1486.0</v>
      </c>
      <c r="C2111" s="12">
        <v>0.5723</v>
      </c>
      <c r="D2111" s="2">
        <v>0.001851851851851852</v>
      </c>
      <c r="E2111" s="12">
        <v>1.09</v>
      </c>
      <c r="F2111" s="12">
        <v>4.13</v>
      </c>
      <c r="G2111" s="11">
        <v>6707.0</v>
      </c>
      <c r="H2111" s="11">
        <v>1625.0</v>
      </c>
    </row>
    <row r="2112">
      <c r="A2112" s="10">
        <v>44480.0</v>
      </c>
      <c r="B2112" s="11">
        <v>2583.0</v>
      </c>
      <c r="C2112" s="12">
        <v>0.4557</v>
      </c>
      <c r="D2112" s="2">
        <v>0.0019560185185185184</v>
      </c>
      <c r="E2112" s="12">
        <v>1.1</v>
      </c>
      <c r="F2112" s="12">
        <v>5.41</v>
      </c>
      <c r="G2112" s="11">
        <v>15329.0</v>
      </c>
      <c r="H2112" s="11">
        <v>2833.0</v>
      </c>
    </row>
    <row r="2113">
      <c r="A2113" s="10">
        <v>44481.0</v>
      </c>
      <c r="B2113" s="11">
        <v>2819.0</v>
      </c>
      <c r="C2113" s="12">
        <v>0.446</v>
      </c>
      <c r="D2113" s="2">
        <v>0.0024652777777777776</v>
      </c>
      <c r="E2113" s="12">
        <v>1.09</v>
      </c>
      <c r="F2113" s="12">
        <v>4.81</v>
      </c>
      <c r="G2113" s="11">
        <v>14816.0</v>
      </c>
      <c r="H2113" s="11">
        <v>3083.0</v>
      </c>
    </row>
    <row r="2114">
      <c r="A2114" s="10">
        <v>44482.0</v>
      </c>
      <c r="B2114" s="11">
        <v>2819.0</v>
      </c>
      <c r="C2114" s="12">
        <v>0.4911</v>
      </c>
      <c r="D2114" s="2">
        <v>0.0016319444444444445</v>
      </c>
      <c r="E2114" s="12">
        <v>1.09</v>
      </c>
      <c r="F2114" s="12">
        <v>3.67</v>
      </c>
      <c r="G2114" s="11">
        <v>11330.0</v>
      </c>
      <c r="H2114" s="11">
        <v>3083.0</v>
      </c>
    </row>
    <row r="2115">
      <c r="A2115" s="10">
        <v>44483.0</v>
      </c>
      <c r="B2115" s="11">
        <v>2638.0</v>
      </c>
      <c r="C2115" s="12">
        <v>0.4752</v>
      </c>
      <c r="D2115" s="2">
        <v>0.0018287037037037037</v>
      </c>
      <c r="E2115" s="12">
        <v>1.06</v>
      </c>
      <c r="F2115" s="12">
        <v>4.45</v>
      </c>
      <c r="G2115" s="11">
        <v>12483.0</v>
      </c>
      <c r="H2115" s="11">
        <v>2805.0</v>
      </c>
    </row>
    <row r="2116">
      <c r="A2116" s="10">
        <v>44484.0</v>
      </c>
      <c r="B2116" s="11">
        <v>2277.0</v>
      </c>
      <c r="C2116" s="12">
        <v>0.4514</v>
      </c>
      <c r="D2116" s="2">
        <v>0.002199074074074074</v>
      </c>
      <c r="E2116" s="12">
        <v>1.13</v>
      </c>
      <c r="F2116" s="12">
        <v>5.8</v>
      </c>
      <c r="G2116" s="11">
        <v>14982.0</v>
      </c>
      <c r="H2116" s="11">
        <v>2583.0</v>
      </c>
    </row>
    <row r="2117">
      <c r="A2117" s="10">
        <v>44485.0</v>
      </c>
      <c r="B2117" s="11">
        <v>1514.0</v>
      </c>
      <c r="C2117" s="12">
        <v>0.4502</v>
      </c>
      <c r="D2117" s="2">
        <v>0.0031944444444444446</v>
      </c>
      <c r="E2117" s="12">
        <v>1.1</v>
      </c>
      <c r="F2117" s="12">
        <v>4.27</v>
      </c>
      <c r="G2117" s="11">
        <v>7109.0</v>
      </c>
      <c r="H2117" s="11">
        <v>1666.0</v>
      </c>
    </row>
    <row r="2118">
      <c r="A2118" s="10">
        <v>44486.0</v>
      </c>
      <c r="B2118" s="11">
        <v>1444.0</v>
      </c>
      <c r="C2118" s="12">
        <v>0.4709</v>
      </c>
      <c r="D2118" s="2">
        <v>0.002037037037037037</v>
      </c>
      <c r="E2118" s="12">
        <v>1.14</v>
      </c>
      <c r="F2118" s="12">
        <v>4.57</v>
      </c>
      <c r="G2118" s="11">
        <v>7554.0</v>
      </c>
      <c r="H2118" s="11">
        <v>1652.0</v>
      </c>
    </row>
    <row r="2119">
      <c r="A2119" s="10">
        <v>44487.0</v>
      </c>
      <c r="B2119" s="11">
        <v>2777.0</v>
      </c>
      <c r="C2119" s="12">
        <v>0.4285</v>
      </c>
      <c r="D2119" s="2">
        <v>0.0032060185185185186</v>
      </c>
      <c r="E2119" s="12">
        <v>1.08</v>
      </c>
      <c r="F2119" s="12">
        <v>6.14</v>
      </c>
      <c r="G2119" s="11">
        <v>18495.0</v>
      </c>
      <c r="H2119" s="11">
        <v>3013.0</v>
      </c>
    </row>
    <row r="2120">
      <c r="A2120" s="10">
        <v>44488.0</v>
      </c>
      <c r="B2120" s="11">
        <v>3485.0</v>
      </c>
      <c r="C2120" s="12">
        <v>0.4064</v>
      </c>
      <c r="D2120" s="2">
        <v>0.0032523148148148147</v>
      </c>
      <c r="E2120" s="12">
        <v>1.13</v>
      </c>
      <c r="F2120" s="12">
        <v>7.88</v>
      </c>
      <c r="G2120" s="11">
        <v>30951.0</v>
      </c>
      <c r="H2120" s="11">
        <v>3930.0</v>
      </c>
    </row>
    <row r="2121">
      <c r="A2121" s="10">
        <v>44489.0</v>
      </c>
      <c r="B2121" s="11">
        <v>3013.0</v>
      </c>
      <c r="C2121" s="12">
        <v>0.4245</v>
      </c>
      <c r="D2121" s="2">
        <v>0.002824074074074074</v>
      </c>
      <c r="E2121" s="12">
        <v>1.13</v>
      </c>
      <c r="F2121" s="12">
        <v>7.14</v>
      </c>
      <c r="G2121" s="11">
        <v>24286.0</v>
      </c>
      <c r="H2121" s="11">
        <v>3402.0</v>
      </c>
    </row>
    <row r="2122">
      <c r="A2122" s="10">
        <v>44490.0</v>
      </c>
      <c r="B2122" s="11">
        <v>2777.0</v>
      </c>
      <c r="C2122" s="12">
        <v>0.5161</v>
      </c>
      <c r="D2122" s="2">
        <v>0.0025578703703703705</v>
      </c>
      <c r="E2122" s="12">
        <v>1.08</v>
      </c>
      <c r="F2122" s="12">
        <v>5.4</v>
      </c>
      <c r="G2122" s="11">
        <v>16274.0</v>
      </c>
      <c r="H2122" s="11">
        <v>3013.0</v>
      </c>
    </row>
    <row r="2123">
      <c r="A2123" s="10">
        <v>44491.0</v>
      </c>
      <c r="B2123" s="11">
        <v>1916.0</v>
      </c>
      <c r="C2123" s="12">
        <v>0.4837</v>
      </c>
      <c r="D2123" s="2">
        <v>0.003587962962962963</v>
      </c>
      <c r="E2123" s="12">
        <v>1.12</v>
      </c>
      <c r="F2123" s="12">
        <v>6.01</v>
      </c>
      <c r="G2123" s="11">
        <v>12941.0</v>
      </c>
      <c r="H2123" s="11">
        <v>2152.0</v>
      </c>
    </row>
    <row r="2124">
      <c r="A2124" s="10">
        <v>44492.0</v>
      </c>
      <c r="B2124" s="11">
        <v>1416.0</v>
      </c>
      <c r="C2124" s="12">
        <v>0.5262</v>
      </c>
      <c r="D2124" s="2">
        <v>0.0020833333333333333</v>
      </c>
      <c r="E2124" s="12">
        <v>1.12</v>
      </c>
      <c r="F2124" s="12">
        <v>3.62</v>
      </c>
      <c r="G2124" s="11">
        <v>5735.0</v>
      </c>
      <c r="H2124" s="11">
        <v>1583.0</v>
      </c>
    </row>
    <row r="2125">
      <c r="A2125" s="10">
        <v>44493.0</v>
      </c>
      <c r="B2125" s="11">
        <v>1500.0</v>
      </c>
      <c r="C2125" s="12">
        <v>0.4579</v>
      </c>
      <c r="D2125" s="2">
        <v>0.002037037037037037</v>
      </c>
      <c r="E2125" s="12">
        <v>1.09</v>
      </c>
      <c r="F2125" s="12">
        <v>5.19</v>
      </c>
      <c r="G2125" s="11">
        <v>8498.0</v>
      </c>
      <c r="H2125" s="11">
        <v>1638.0</v>
      </c>
    </row>
    <row r="2126">
      <c r="A2126" s="10">
        <v>44494.0</v>
      </c>
      <c r="B2126" s="11">
        <v>2902.0</v>
      </c>
      <c r="C2126" s="12">
        <v>0.5045</v>
      </c>
      <c r="D2126" s="2">
        <v>0.0022569444444444442</v>
      </c>
      <c r="E2126" s="12">
        <v>1.11</v>
      </c>
      <c r="F2126" s="12">
        <v>5.64</v>
      </c>
      <c r="G2126" s="11">
        <v>18176.0</v>
      </c>
      <c r="H2126" s="11">
        <v>3221.0</v>
      </c>
    </row>
    <row r="2127">
      <c r="A2127" s="10">
        <v>44495.0</v>
      </c>
      <c r="B2127" s="11">
        <v>3360.0</v>
      </c>
      <c r="C2127" s="12">
        <v>0.4795</v>
      </c>
      <c r="D2127" s="2">
        <v>0.002824074074074074</v>
      </c>
      <c r="E2127" s="12">
        <v>1.11</v>
      </c>
      <c r="F2127" s="12">
        <v>5.75</v>
      </c>
      <c r="G2127" s="11">
        <v>21481.0</v>
      </c>
      <c r="H2127" s="11">
        <v>3735.0</v>
      </c>
    </row>
    <row r="2128">
      <c r="A2128" s="10">
        <v>44496.0</v>
      </c>
      <c r="B2128" s="11">
        <v>2874.0</v>
      </c>
      <c r="C2128" s="12">
        <v>0.4492</v>
      </c>
      <c r="D2128" s="2">
        <v>0.002037037037037037</v>
      </c>
      <c r="E2128" s="12">
        <v>1.1</v>
      </c>
      <c r="F2128" s="12">
        <v>4.25</v>
      </c>
      <c r="G2128" s="11">
        <v>13386.0</v>
      </c>
      <c r="H2128" s="11">
        <v>3152.0</v>
      </c>
    </row>
    <row r="2129">
      <c r="A2129" s="10">
        <v>44497.0</v>
      </c>
      <c r="B2129" s="11">
        <v>2847.0</v>
      </c>
      <c r="C2129" s="12">
        <v>0.4351</v>
      </c>
      <c r="D2129" s="2">
        <v>0.0030787037037037037</v>
      </c>
      <c r="E2129" s="12">
        <v>1.09</v>
      </c>
      <c r="F2129" s="12">
        <v>5.2</v>
      </c>
      <c r="G2129" s="11">
        <v>16107.0</v>
      </c>
      <c r="H2129" s="11">
        <v>3096.0</v>
      </c>
    </row>
    <row r="2130">
      <c r="A2130" s="10">
        <v>44498.0</v>
      </c>
      <c r="B2130" s="11">
        <v>2249.0</v>
      </c>
      <c r="C2130" s="12">
        <v>0.3958</v>
      </c>
      <c r="D2130" s="2">
        <v>0.0032175925925925926</v>
      </c>
      <c r="E2130" s="12">
        <v>1.15</v>
      </c>
      <c r="F2130" s="12">
        <v>5.89</v>
      </c>
      <c r="G2130" s="11">
        <v>15288.0</v>
      </c>
      <c r="H2130" s="11">
        <v>2597.0</v>
      </c>
    </row>
    <row r="2131">
      <c r="A2131" s="10">
        <v>44499.0</v>
      </c>
      <c r="B2131" s="11">
        <v>1402.0</v>
      </c>
      <c r="C2131" s="12">
        <v>0.5627</v>
      </c>
      <c r="D2131" s="2">
        <v>0.0022569444444444442</v>
      </c>
      <c r="E2131" s="12">
        <v>1.11</v>
      </c>
      <c r="F2131" s="12">
        <v>4.63</v>
      </c>
      <c r="G2131" s="11">
        <v>7193.0</v>
      </c>
      <c r="H2131" s="11">
        <v>1555.0</v>
      </c>
    </row>
    <row r="2132">
      <c r="A2132" s="10">
        <v>44500.0</v>
      </c>
      <c r="B2132" s="11">
        <v>1347.0</v>
      </c>
      <c r="C2132" s="12">
        <v>0.4867</v>
      </c>
      <c r="D2132" s="2">
        <v>0.0028703703703703703</v>
      </c>
      <c r="E2132" s="12">
        <v>1.14</v>
      </c>
      <c r="F2132" s="12">
        <v>4.71</v>
      </c>
      <c r="G2132" s="11">
        <v>7262.0</v>
      </c>
      <c r="H2132" s="11">
        <v>1541.0</v>
      </c>
    </row>
    <row r="2133">
      <c r="A2133" s="10">
        <v>44501.0</v>
      </c>
      <c r="B2133" s="11">
        <v>2527.0</v>
      </c>
      <c r="C2133" s="12">
        <v>0.3702</v>
      </c>
      <c r="D2133" s="2">
        <v>0.003298611111111111</v>
      </c>
      <c r="E2133" s="12">
        <v>1.14</v>
      </c>
      <c r="F2133" s="12">
        <v>6.29</v>
      </c>
      <c r="G2133" s="11">
        <v>18162.0</v>
      </c>
      <c r="H2133" s="11">
        <v>2888.0</v>
      </c>
    </row>
    <row r="2134">
      <c r="A2134" s="10">
        <v>44502.0</v>
      </c>
      <c r="B2134" s="11">
        <v>2694.0</v>
      </c>
      <c r="C2134" s="12">
        <v>0.4195</v>
      </c>
      <c r="D2134" s="2">
        <v>0.0022800925925925927</v>
      </c>
      <c r="E2134" s="12">
        <v>1.12</v>
      </c>
      <c r="F2134" s="12">
        <v>5.1</v>
      </c>
      <c r="G2134" s="11">
        <v>15371.0</v>
      </c>
      <c r="H2134" s="11">
        <v>3013.0</v>
      </c>
    </row>
    <row r="2135">
      <c r="A2135" s="10">
        <v>44503.0</v>
      </c>
      <c r="B2135" s="11">
        <v>3416.0</v>
      </c>
      <c r="C2135" s="12">
        <v>0.4225</v>
      </c>
      <c r="D2135" s="2">
        <v>0.0022569444444444442</v>
      </c>
      <c r="E2135" s="12">
        <v>1.13</v>
      </c>
      <c r="F2135" s="12">
        <v>5.18</v>
      </c>
      <c r="G2135" s="11">
        <v>19926.0</v>
      </c>
      <c r="H2135" s="11">
        <v>3846.0</v>
      </c>
    </row>
    <row r="2136">
      <c r="A2136" s="10">
        <v>44504.0</v>
      </c>
      <c r="B2136" s="11">
        <v>3166.0</v>
      </c>
      <c r="C2136" s="12">
        <v>0.3789</v>
      </c>
      <c r="D2136" s="2">
        <v>0.002777777777777778</v>
      </c>
      <c r="E2136" s="12">
        <v>1.09</v>
      </c>
      <c r="F2136" s="12">
        <v>5.96</v>
      </c>
      <c r="G2136" s="11">
        <v>20536.0</v>
      </c>
      <c r="H2136" s="11">
        <v>3444.0</v>
      </c>
    </row>
    <row r="2137">
      <c r="A2137" s="10">
        <v>44505.0</v>
      </c>
      <c r="B2137" s="11">
        <v>2555.0</v>
      </c>
      <c r="C2137" s="12">
        <v>0.4252</v>
      </c>
      <c r="D2137" s="2">
        <v>0.0019097222222222222</v>
      </c>
      <c r="E2137" s="12">
        <v>1.12</v>
      </c>
      <c r="F2137" s="12">
        <v>4.69</v>
      </c>
      <c r="G2137" s="11">
        <v>13469.0</v>
      </c>
      <c r="H2137" s="11">
        <v>2874.0</v>
      </c>
    </row>
    <row r="2138">
      <c r="A2138" s="10">
        <v>44506.0</v>
      </c>
      <c r="B2138" s="11">
        <v>1486.0</v>
      </c>
      <c r="C2138" s="12">
        <v>0.5573</v>
      </c>
      <c r="D2138" s="2">
        <v>0.001712962962962963</v>
      </c>
      <c r="E2138" s="12">
        <v>1.14</v>
      </c>
      <c r="F2138" s="12">
        <v>4.48</v>
      </c>
      <c r="G2138" s="11">
        <v>7581.0</v>
      </c>
      <c r="H2138" s="11">
        <v>1694.0</v>
      </c>
    </row>
    <row r="2139">
      <c r="A2139" s="10">
        <v>44507.0</v>
      </c>
      <c r="B2139" s="11">
        <v>1833.0</v>
      </c>
      <c r="C2139" s="12">
        <v>0.4898</v>
      </c>
      <c r="D2139" s="2">
        <v>0.001574074074074074</v>
      </c>
      <c r="E2139" s="12">
        <v>1.1</v>
      </c>
      <c r="F2139" s="12">
        <v>4.33</v>
      </c>
      <c r="G2139" s="11">
        <v>8720.0</v>
      </c>
      <c r="H2139" s="11">
        <v>2013.0</v>
      </c>
    </row>
    <row r="2140">
      <c r="A2140" s="10">
        <v>44508.0</v>
      </c>
      <c r="B2140" s="11">
        <v>2985.0</v>
      </c>
      <c r="C2140" s="12">
        <v>0.3694</v>
      </c>
      <c r="D2140" s="2">
        <v>0.002638888888888889</v>
      </c>
      <c r="E2140" s="12">
        <v>1.16</v>
      </c>
      <c r="F2140" s="12">
        <v>5.9</v>
      </c>
      <c r="G2140" s="11">
        <v>20412.0</v>
      </c>
      <c r="H2140" s="11">
        <v>3457.0</v>
      </c>
    </row>
    <row r="2141">
      <c r="A2141" s="10">
        <v>44509.0</v>
      </c>
      <c r="B2141" s="11">
        <v>2944.0</v>
      </c>
      <c r="C2141" s="12">
        <v>0.4138</v>
      </c>
      <c r="D2141" s="2">
        <v>0.0030787037037037037</v>
      </c>
      <c r="E2141" s="12">
        <v>1.15</v>
      </c>
      <c r="F2141" s="12">
        <v>5.76</v>
      </c>
      <c r="G2141" s="11">
        <v>19509.0</v>
      </c>
      <c r="H2141" s="11">
        <v>3388.0</v>
      </c>
    </row>
    <row r="2142">
      <c r="A2142" s="10">
        <v>44510.0</v>
      </c>
      <c r="B2142" s="11">
        <v>2763.0</v>
      </c>
      <c r="C2142" s="12">
        <v>0.4414</v>
      </c>
      <c r="D2142" s="2">
        <v>0.0028935185185185184</v>
      </c>
      <c r="E2142" s="12">
        <v>1.16</v>
      </c>
      <c r="F2142" s="12">
        <v>6.44</v>
      </c>
      <c r="G2142" s="11">
        <v>20675.0</v>
      </c>
      <c r="H2142" s="11">
        <v>3208.0</v>
      </c>
    </row>
    <row r="2143">
      <c r="A2143" s="10">
        <v>44511.0</v>
      </c>
      <c r="B2143" s="11">
        <v>3041.0</v>
      </c>
      <c r="C2143" s="12">
        <v>0.4146</v>
      </c>
      <c r="D2143" s="2">
        <v>0.002395833333333333</v>
      </c>
      <c r="E2143" s="12">
        <v>1.07</v>
      </c>
      <c r="F2143" s="12">
        <v>4.67</v>
      </c>
      <c r="G2143" s="11">
        <v>15163.0</v>
      </c>
      <c r="H2143" s="11">
        <v>3249.0</v>
      </c>
    </row>
    <row r="2144">
      <c r="A2144" s="10">
        <v>44512.0</v>
      </c>
      <c r="B2144" s="11">
        <v>2458.0</v>
      </c>
      <c r="C2144" s="12">
        <v>0.4271</v>
      </c>
      <c r="D2144" s="2">
        <v>0.0021296296296296298</v>
      </c>
      <c r="E2144" s="12">
        <v>1.12</v>
      </c>
      <c r="F2144" s="12">
        <v>5.11</v>
      </c>
      <c r="G2144" s="11">
        <v>14108.0</v>
      </c>
      <c r="H2144" s="11">
        <v>2763.0</v>
      </c>
    </row>
    <row r="2145">
      <c r="A2145" s="10">
        <v>44513.0</v>
      </c>
      <c r="B2145" s="11">
        <v>1694.0</v>
      </c>
      <c r="C2145" s="12">
        <v>0.5036</v>
      </c>
      <c r="D2145" s="2">
        <v>0.0017824074074074075</v>
      </c>
      <c r="E2145" s="12">
        <v>1.07</v>
      </c>
      <c r="F2145" s="12">
        <v>4.8</v>
      </c>
      <c r="G2145" s="11">
        <v>8734.0</v>
      </c>
      <c r="H2145" s="11">
        <v>1819.0</v>
      </c>
    </row>
    <row r="2146">
      <c r="A2146" s="10">
        <v>44514.0</v>
      </c>
      <c r="B2146" s="11">
        <v>1666.0</v>
      </c>
      <c r="C2146" s="12">
        <v>0.475</v>
      </c>
      <c r="D2146" s="2">
        <v>0.0036689814814814814</v>
      </c>
      <c r="E2146" s="12">
        <v>1.18</v>
      </c>
      <c r="F2146" s="12">
        <v>5.54</v>
      </c>
      <c r="G2146" s="11">
        <v>10844.0</v>
      </c>
      <c r="H2146" s="11">
        <v>1958.0</v>
      </c>
    </row>
    <row r="2147">
      <c r="A2147" s="10">
        <v>44515.0</v>
      </c>
      <c r="B2147" s="11">
        <v>2805.0</v>
      </c>
      <c r="C2147" s="12">
        <v>0.4086</v>
      </c>
      <c r="D2147" s="2">
        <v>0.003460648148148148</v>
      </c>
      <c r="E2147" s="12">
        <v>1.14</v>
      </c>
      <c r="F2147" s="12">
        <v>5.63</v>
      </c>
      <c r="G2147" s="11">
        <v>17995.0</v>
      </c>
      <c r="H2147" s="11">
        <v>3194.0</v>
      </c>
    </row>
    <row r="2148">
      <c r="A2148" s="10">
        <v>44516.0</v>
      </c>
      <c r="B2148" s="11">
        <v>2819.0</v>
      </c>
      <c r="C2148" s="12">
        <v>0.4248</v>
      </c>
      <c r="D2148" s="2">
        <v>0.002384259259259259</v>
      </c>
      <c r="E2148" s="12">
        <v>1.11</v>
      </c>
      <c r="F2148" s="12">
        <v>5.3</v>
      </c>
      <c r="G2148" s="11">
        <v>16621.0</v>
      </c>
      <c r="H2148" s="11">
        <v>3138.0</v>
      </c>
    </row>
    <row r="2149">
      <c r="A2149" s="10">
        <v>44517.0</v>
      </c>
      <c r="B2149" s="11">
        <v>3083.0</v>
      </c>
      <c r="C2149" s="12">
        <v>0.4571</v>
      </c>
      <c r="D2149" s="2">
        <v>0.002384259259259259</v>
      </c>
      <c r="E2149" s="12">
        <v>1.1</v>
      </c>
      <c r="F2149" s="12">
        <v>4.42</v>
      </c>
      <c r="G2149" s="11">
        <v>15024.0</v>
      </c>
      <c r="H2149" s="11">
        <v>3402.0</v>
      </c>
    </row>
    <row r="2150">
      <c r="A2150" s="10">
        <v>44518.0</v>
      </c>
      <c r="B2150" s="11">
        <v>2916.0</v>
      </c>
      <c r="C2150" s="12">
        <v>0.3967</v>
      </c>
      <c r="D2150" s="2">
        <v>0.003472222222222222</v>
      </c>
      <c r="E2150" s="12">
        <v>1.15</v>
      </c>
      <c r="F2150" s="12">
        <v>7.08</v>
      </c>
      <c r="G2150" s="11">
        <v>23786.0</v>
      </c>
      <c r="H2150" s="11">
        <v>3360.0</v>
      </c>
    </row>
    <row r="2151">
      <c r="A2151" s="10">
        <v>44519.0</v>
      </c>
      <c r="B2151" s="11">
        <v>2610.0</v>
      </c>
      <c r="C2151" s="12">
        <v>0.4778</v>
      </c>
      <c r="D2151" s="2">
        <v>0.0020949074074074073</v>
      </c>
      <c r="E2151" s="12">
        <v>1.08</v>
      </c>
      <c r="F2151" s="12">
        <v>4.85</v>
      </c>
      <c r="G2151" s="11">
        <v>13677.0</v>
      </c>
      <c r="H2151" s="11">
        <v>2819.0</v>
      </c>
    </row>
    <row r="2152">
      <c r="A2152" s="10">
        <v>44520.0</v>
      </c>
      <c r="B2152" s="11">
        <v>1722.0</v>
      </c>
      <c r="C2152" s="12">
        <v>0.4926</v>
      </c>
      <c r="D2152" s="2">
        <v>0.0014699074074074074</v>
      </c>
      <c r="E2152" s="12">
        <v>1.1</v>
      </c>
      <c r="F2152" s="12">
        <v>4.09</v>
      </c>
      <c r="G2152" s="11">
        <v>7720.0</v>
      </c>
      <c r="H2152" s="11">
        <v>1888.0</v>
      </c>
    </row>
    <row r="2153">
      <c r="A2153" s="10">
        <v>44521.0</v>
      </c>
      <c r="B2153" s="11">
        <v>1902.0</v>
      </c>
      <c r="C2153" s="12">
        <v>0.537</v>
      </c>
      <c r="D2153" s="2">
        <v>0.001863425925925926</v>
      </c>
      <c r="E2153" s="12">
        <v>1.09</v>
      </c>
      <c r="F2153" s="12">
        <v>4.25</v>
      </c>
      <c r="G2153" s="11">
        <v>8803.0</v>
      </c>
      <c r="H2153" s="11">
        <v>2069.0</v>
      </c>
    </row>
    <row r="2154">
      <c r="A2154" s="10">
        <v>44522.0</v>
      </c>
      <c r="B2154" s="11">
        <v>3208.0</v>
      </c>
      <c r="C2154" s="12">
        <v>0.4721</v>
      </c>
      <c r="D2154" s="2">
        <v>0.002349537037037037</v>
      </c>
      <c r="E2154" s="12">
        <v>1.16</v>
      </c>
      <c r="F2154" s="12">
        <v>5.58</v>
      </c>
      <c r="G2154" s="11">
        <v>20675.0</v>
      </c>
      <c r="H2154" s="11">
        <v>3707.0</v>
      </c>
    </row>
    <row r="2155">
      <c r="A2155" s="10">
        <v>44523.0</v>
      </c>
      <c r="B2155" s="11">
        <v>2930.0</v>
      </c>
      <c r="C2155" s="12">
        <v>0.4958</v>
      </c>
      <c r="D2155" s="2">
        <v>0.002013888888888889</v>
      </c>
      <c r="E2155" s="12">
        <v>1.11</v>
      </c>
      <c r="F2155" s="12">
        <v>4.65</v>
      </c>
      <c r="G2155" s="11">
        <v>15093.0</v>
      </c>
      <c r="H2155" s="11">
        <v>3249.0</v>
      </c>
    </row>
    <row r="2156">
      <c r="A2156" s="10">
        <v>44524.0</v>
      </c>
      <c r="B2156" s="11">
        <v>2666.0</v>
      </c>
      <c r="C2156" s="12">
        <v>0.4577</v>
      </c>
      <c r="D2156" s="2">
        <v>0.002962962962962963</v>
      </c>
      <c r="E2156" s="12">
        <v>1.17</v>
      </c>
      <c r="F2156" s="12">
        <v>5.42</v>
      </c>
      <c r="G2156" s="11">
        <v>16926.0</v>
      </c>
      <c r="H2156" s="11">
        <v>3124.0</v>
      </c>
    </row>
    <row r="2157">
      <c r="A2157" s="10">
        <v>44525.0</v>
      </c>
      <c r="B2157" s="11">
        <v>2305.0</v>
      </c>
      <c r="C2157" s="12">
        <v>0.5323</v>
      </c>
      <c r="D2157" s="2">
        <v>0.001736111111111111</v>
      </c>
      <c r="E2157" s="12">
        <v>1.12</v>
      </c>
      <c r="F2157" s="12">
        <v>4.2</v>
      </c>
      <c r="G2157" s="11">
        <v>10844.0</v>
      </c>
      <c r="H2157" s="11">
        <v>2583.0</v>
      </c>
    </row>
    <row r="2158">
      <c r="A2158" s="10">
        <v>44526.0</v>
      </c>
      <c r="B2158" s="11">
        <v>2444.0</v>
      </c>
      <c r="C2158" s="12">
        <v>0.5425</v>
      </c>
      <c r="D2158" s="2">
        <v>0.0020717592592592593</v>
      </c>
      <c r="E2158" s="12">
        <v>1.14</v>
      </c>
      <c r="F2158" s="12">
        <v>4.64</v>
      </c>
      <c r="G2158" s="11">
        <v>12955.0</v>
      </c>
      <c r="H2158" s="11">
        <v>2791.0</v>
      </c>
    </row>
    <row r="2159">
      <c r="A2159" s="10">
        <v>44527.0</v>
      </c>
      <c r="B2159" s="11">
        <v>1791.0</v>
      </c>
      <c r="C2159" s="12">
        <v>0.5895</v>
      </c>
      <c r="D2159" s="2">
        <v>0.0022569444444444442</v>
      </c>
      <c r="E2159" s="12">
        <v>1.04</v>
      </c>
      <c r="F2159" s="12">
        <v>4.45</v>
      </c>
      <c r="G2159" s="11">
        <v>8276.0</v>
      </c>
      <c r="H2159" s="11">
        <v>1861.0</v>
      </c>
    </row>
    <row r="2160">
      <c r="A2160" s="10">
        <v>44528.0</v>
      </c>
      <c r="B2160" s="11">
        <v>1875.0</v>
      </c>
      <c r="C2160" s="12">
        <v>0.5674</v>
      </c>
      <c r="D2160" s="2">
        <v>0.001585648148148148</v>
      </c>
      <c r="E2160" s="12">
        <v>1.1</v>
      </c>
      <c r="F2160" s="12">
        <v>3.43</v>
      </c>
      <c r="G2160" s="11">
        <v>7040.0</v>
      </c>
      <c r="H2160" s="11">
        <v>2055.0</v>
      </c>
    </row>
    <row r="2161">
      <c r="A2161" s="10">
        <v>44529.0</v>
      </c>
      <c r="B2161" s="11">
        <v>3305.0</v>
      </c>
      <c r="C2161" s="12">
        <v>0.4179</v>
      </c>
      <c r="D2161" s="2">
        <v>0.0025578703703703705</v>
      </c>
      <c r="E2161" s="12">
        <v>1.13</v>
      </c>
      <c r="F2161" s="12">
        <v>5.19</v>
      </c>
      <c r="G2161" s="11">
        <v>19315.0</v>
      </c>
      <c r="H2161" s="11">
        <v>3721.0</v>
      </c>
    </row>
    <row r="2162">
      <c r="A2162" s="10">
        <v>44530.0</v>
      </c>
      <c r="B2162" s="11">
        <v>3124.0</v>
      </c>
      <c r="C2162" s="12">
        <v>0.462</v>
      </c>
      <c r="D2162" s="2">
        <v>0.0021643518518518518</v>
      </c>
      <c r="E2162" s="12">
        <v>1.11</v>
      </c>
      <c r="F2162" s="12">
        <v>5.24</v>
      </c>
      <c r="G2162" s="11">
        <v>18107.0</v>
      </c>
      <c r="H2162" s="11">
        <v>3457.0</v>
      </c>
    </row>
    <row r="2163">
      <c r="A2163" s="10">
        <v>44531.0</v>
      </c>
      <c r="B2163" s="11">
        <v>3055.0</v>
      </c>
      <c r="C2163" s="12">
        <v>0.4155</v>
      </c>
      <c r="D2163" s="2">
        <v>0.002685185185185185</v>
      </c>
      <c r="E2163" s="12">
        <v>1.1</v>
      </c>
      <c r="F2163" s="12">
        <v>5.42</v>
      </c>
      <c r="G2163" s="11">
        <v>18273.0</v>
      </c>
      <c r="H2163" s="11">
        <v>3374.0</v>
      </c>
    </row>
    <row r="2164">
      <c r="A2164" s="10">
        <v>44532.0</v>
      </c>
      <c r="B2164" s="11">
        <v>3083.0</v>
      </c>
      <c r="C2164" s="12">
        <v>0.4511</v>
      </c>
      <c r="D2164" s="2">
        <v>0.002638888888888889</v>
      </c>
      <c r="E2164" s="12">
        <v>1.11</v>
      </c>
      <c r="F2164" s="12">
        <v>5.0</v>
      </c>
      <c r="G2164" s="11">
        <v>17093.0</v>
      </c>
      <c r="H2164" s="11">
        <v>3416.0</v>
      </c>
    </row>
    <row r="2165">
      <c r="A2165" s="10">
        <v>44533.0</v>
      </c>
      <c r="B2165" s="11">
        <v>8442.0</v>
      </c>
      <c r="C2165" s="12">
        <v>0.4397</v>
      </c>
      <c r="D2165" s="2">
        <v>0.0017824074074074075</v>
      </c>
      <c r="E2165" s="12">
        <v>1.08</v>
      </c>
      <c r="F2165" s="12">
        <v>4.44</v>
      </c>
      <c r="G2165" s="11">
        <v>40379.0</v>
      </c>
      <c r="H2165" s="11">
        <v>9095.0</v>
      </c>
    </row>
    <row r="2166">
      <c r="A2166" s="10">
        <v>44534.0</v>
      </c>
      <c r="B2166" s="11">
        <v>4818.0</v>
      </c>
      <c r="C2166" s="12">
        <v>0.5108</v>
      </c>
      <c r="D2166" s="2">
        <v>0.0012847222222222223</v>
      </c>
      <c r="E2166" s="12">
        <v>1.06</v>
      </c>
      <c r="F2166" s="12">
        <v>4.02</v>
      </c>
      <c r="G2166" s="11">
        <v>20523.0</v>
      </c>
      <c r="H2166" s="11">
        <v>5110.0</v>
      </c>
    </row>
    <row r="2167">
      <c r="A2167" s="10">
        <v>44535.0</v>
      </c>
      <c r="B2167" s="11">
        <v>3569.0</v>
      </c>
      <c r="C2167" s="12">
        <v>0.5254</v>
      </c>
      <c r="D2167" s="2">
        <v>0.0017013888888888888</v>
      </c>
      <c r="E2167" s="12">
        <v>1.07</v>
      </c>
      <c r="F2167" s="12">
        <v>3.91</v>
      </c>
      <c r="G2167" s="11">
        <v>14885.0</v>
      </c>
      <c r="H2167" s="11">
        <v>3805.0</v>
      </c>
    </row>
    <row r="2168">
      <c r="A2168" s="10">
        <v>44536.0</v>
      </c>
      <c r="B2168" s="11">
        <v>4318.0</v>
      </c>
      <c r="C2168" s="12">
        <v>0.4415</v>
      </c>
      <c r="D2168" s="2">
        <v>0.0025578703703703705</v>
      </c>
      <c r="E2168" s="12">
        <v>1.13</v>
      </c>
      <c r="F2168" s="12">
        <v>6.26</v>
      </c>
      <c r="G2168" s="11">
        <v>30506.0</v>
      </c>
      <c r="H2168" s="11">
        <v>4874.0</v>
      </c>
    </row>
    <row r="2169">
      <c r="A2169" s="10">
        <v>44537.0</v>
      </c>
      <c r="B2169" s="11">
        <v>3971.0</v>
      </c>
      <c r="C2169" s="12">
        <v>0.3796</v>
      </c>
      <c r="D2169" s="2">
        <v>0.002662037037037037</v>
      </c>
      <c r="E2169" s="12">
        <v>1.16</v>
      </c>
      <c r="F2169" s="12">
        <v>6.42</v>
      </c>
      <c r="G2169" s="11">
        <v>29590.0</v>
      </c>
      <c r="H2169" s="11">
        <v>4610.0</v>
      </c>
    </row>
    <row r="2170">
      <c r="A2170" s="10">
        <v>44538.0</v>
      </c>
      <c r="B2170" s="11">
        <v>4055.0</v>
      </c>
      <c r="C2170" s="12">
        <v>0.4056</v>
      </c>
      <c r="D2170" s="2">
        <v>0.003275462962962963</v>
      </c>
      <c r="E2170" s="12">
        <v>1.09</v>
      </c>
      <c r="F2170" s="12">
        <v>6.98</v>
      </c>
      <c r="G2170" s="11">
        <v>30839.0</v>
      </c>
      <c r="H2170" s="11">
        <v>4416.0</v>
      </c>
    </row>
    <row r="2171">
      <c r="A2171" s="10">
        <v>44539.0</v>
      </c>
      <c r="B2171" s="11">
        <v>3916.0</v>
      </c>
      <c r="C2171" s="12">
        <v>0.4246</v>
      </c>
      <c r="D2171" s="2">
        <v>0.0026041666666666665</v>
      </c>
      <c r="E2171" s="12">
        <v>1.13</v>
      </c>
      <c r="F2171" s="12">
        <v>5.53</v>
      </c>
      <c r="G2171" s="11">
        <v>24424.0</v>
      </c>
      <c r="H2171" s="11">
        <v>4416.0</v>
      </c>
    </row>
    <row r="2172">
      <c r="A2172" s="10">
        <v>44540.0</v>
      </c>
      <c r="B2172" s="11">
        <v>3360.0</v>
      </c>
      <c r="C2172" s="12">
        <v>0.3712</v>
      </c>
      <c r="D2172" s="2">
        <v>0.0032060185185185186</v>
      </c>
      <c r="E2172" s="12">
        <v>1.12</v>
      </c>
      <c r="F2172" s="12">
        <v>7.93</v>
      </c>
      <c r="G2172" s="11">
        <v>29951.0</v>
      </c>
      <c r="H2172" s="11">
        <v>3777.0</v>
      </c>
    </row>
    <row r="2173">
      <c r="A2173" s="10">
        <v>44541.0</v>
      </c>
      <c r="B2173" s="11">
        <v>2097.0</v>
      </c>
      <c r="C2173" s="12">
        <v>0.5528</v>
      </c>
      <c r="D2173" s="2">
        <v>0.0019097222222222222</v>
      </c>
      <c r="E2173" s="12">
        <v>1.07</v>
      </c>
      <c r="F2173" s="12">
        <v>4.79</v>
      </c>
      <c r="G2173" s="11">
        <v>10706.0</v>
      </c>
      <c r="H2173" s="11">
        <v>2236.0</v>
      </c>
    </row>
    <row r="2174">
      <c r="A2174" s="10">
        <v>44542.0</v>
      </c>
      <c r="B2174" s="11">
        <v>2041.0</v>
      </c>
      <c r="C2174" s="12">
        <v>0.5434</v>
      </c>
      <c r="D2174" s="2">
        <v>0.001412037037037037</v>
      </c>
      <c r="E2174" s="12">
        <v>1.1</v>
      </c>
      <c r="F2174" s="12">
        <v>3.69</v>
      </c>
      <c r="G2174" s="11">
        <v>8290.0</v>
      </c>
      <c r="H2174" s="11">
        <v>2249.0</v>
      </c>
    </row>
    <row r="2175">
      <c r="A2175" s="10">
        <v>44543.0</v>
      </c>
      <c r="B2175" s="11">
        <v>3194.0</v>
      </c>
      <c r="C2175" s="12">
        <v>0.4279</v>
      </c>
      <c r="D2175" s="2">
        <v>0.0029745370370370373</v>
      </c>
      <c r="E2175" s="12">
        <v>1.12</v>
      </c>
      <c r="F2175" s="12">
        <v>7.29</v>
      </c>
      <c r="G2175" s="11">
        <v>26021.0</v>
      </c>
      <c r="H2175" s="11">
        <v>3569.0</v>
      </c>
    </row>
    <row r="2176">
      <c r="A2176" s="10">
        <v>44544.0</v>
      </c>
      <c r="B2176" s="11">
        <v>3166.0</v>
      </c>
      <c r="C2176" s="12">
        <v>0.419</v>
      </c>
      <c r="D2176" s="2">
        <v>0.0024074074074074076</v>
      </c>
      <c r="E2176" s="12">
        <v>1.11</v>
      </c>
      <c r="F2176" s="12">
        <v>6.6</v>
      </c>
      <c r="G2176" s="11">
        <v>23189.0</v>
      </c>
      <c r="H2176" s="11">
        <v>3513.0</v>
      </c>
    </row>
    <row r="2177">
      <c r="A2177" s="10">
        <v>44545.0</v>
      </c>
      <c r="B2177" s="11">
        <v>3027.0</v>
      </c>
      <c r="C2177" s="12">
        <v>0.4332</v>
      </c>
      <c r="D2177" s="2">
        <v>0.0023032407407407407</v>
      </c>
      <c r="E2177" s="12">
        <v>1.13</v>
      </c>
      <c r="F2177" s="12">
        <v>5.52</v>
      </c>
      <c r="G2177" s="11">
        <v>18940.0</v>
      </c>
      <c r="H2177" s="11">
        <v>3430.0</v>
      </c>
    </row>
    <row r="2178">
      <c r="A2178" s="10">
        <v>44546.0</v>
      </c>
      <c r="B2178" s="11">
        <v>3180.0</v>
      </c>
      <c r="C2178" s="12">
        <v>0.4287</v>
      </c>
      <c r="D2178" s="2">
        <v>0.0025694444444444445</v>
      </c>
      <c r="E2178" s="12">
        <v>1.1</v>
      </c>
      <c r="F2178" s="12">
        <v>5.41</v>
      </c>
      <c r="G2178" s="11">
        <v>18926.0</v>
      </c>
      <c r="H2178" s="11">
        <v>3499.0</v>
      </c>
    </row>
    <row r="2179">
      <c r="A2179" s="10">
        <v>44547.0</v>
      </c>
      <c r="B2179" s="11">
        <v>2041.0</v>
      </c>
      <c r="C2179" s="12">
        <v>0.4753</v>
      </c>
      <c r="D2179" s="2">
        <v>0.0019212962962962964</v>
      </c>
      <c r="E2179" s="12">
        <v>1.1</v>
      </c>
      <c r="F2179" s="12">
        <v>5.19</v>
      </c>
      <c r="G2179" s="11">
        <v>11664.0</v>
      </c>
      <c r="H2179" s="11">
        <v>2249.0</v>
      </c>
    </row>
    <row r="2180">
      <c r="A2180" s="10">
        <v>44548.0</v>
      </c>
      <c r="B2180" s="11">
        <v>1500.0</v>
      </c>
      <c r="C2180" s="12">
        <v>0.4919</v>
      </c>
      <c r="D2180" s="2">
        <v>0.0019675925925925924</v>
      </c>
      <c r="E2180" s="12">
        <v>1.15</v>
      </c>
      <c r="F2180" s="12">
        <v>5.52</v>
      </c>
      <c r="G2180" s="11">
        <v>9511.0</v>
      </c>
      <c r="H2180" s="11">
        <v>1722.0</v>
      </c>
    </row>
    <row r="2181">
      <c r="A2181" s="10">
        <v>44549.0</v>
      </c>
      <c r="B2181" s="11">
        <v>1569.0</v>
      </c>
      <c r="C2181" s="12">
        <v>0.484</v>
      </c>
      <c r="D2181" s="2">
        <v>0.0018287037037037037</v>
      </c>
      <c r="E2181" s="12">
        <v>1.12</v>
      </c>
      <c r="F2181" s="12">
        <v>3.7</v>
      </c>
      <c r="G2181" s="11">
        <v>6471.0</v>
      </c>
      <c r="H2181" s="11">
        <v>1750.0</v>
      </c>
    </row>
    <row r="2182">
      <c r="A2182" s="10">
        <v>44550.0</v>
      </c>
      <c r="B2182" s="11">
        <v>2666.0</v>
      </c>
      <c r="C2182" s="12">
        <v>0.4095</v>
      </c>
      <c r="D2182" s="2">
        <v>0.0033796296296296296</v>
      </c>
      <c r="E2182" s="12">
        <v>1.09</v>
      </c>
      <c r="F2182" s="12">
        <v>7.72</v>
      </c>
      <c r="G2182" s="11">
        <v>22522.0</v>
      </c>
      <c r="H2182" s="11">
        <v>2916.0</v>
      </c>
    </row>
    <row r="2183">
      <c r="A2183" s="10">
        <v>44551.0</v>
      </c>
      <c r="B2183" s="11">
        <v>2444.0</v>
      </c>
      <c r="C2183" s="12">
        <v>0.4713</v>
      </c>
      <c r="D2183" s="2">
        <v>0.0022685185185185187</v>
      </c>
      <c r="E2183" s="12">
        <v>1.09</v>
      </c>
      <c r="F2183" s="12">
        <v>5.88</v>
      </c>
      <c r="G2183" s="11">
        <v>15593.0</v>
      </c>
      <c r="H2183" s="11">
        <v>2652.0</v>
      </c>
    </row>
    <row r="2184">
      <c r="A2184" s="10">
        <v>44552.0</v>
      </c>
      <c r="B2184" s="11">
        <v>2347.0</v>
      </c>
      <c r="C2184" s="12">
        <v>0.4175</v>
      </c>
      <c r="D2184" s="2">
        <v>0.0025</v>
      </c>
      <c r="E2184" s="12">
        <v>1.08</v>
      </c>
      <c r="F2184" s="12">
        <v>5.92</v>
      </c>
      <c r="G2184" s="11">
        <v>14968.0</v>
      </c>
      <c r="H2184" s="11">
        <v>2527.0</v>
      </c>
    </row>
    <row r="2185">
      <c r="A2185" s="10">
        <v>44553.0</v>
      </c>
      <c r="B2185" s="11">
        <v>1986.0</v>
      </c>
      <c r="C2185" s="12">
        <v>0.5098</v>
      </c>
      <c r="D2185" s="2">
        <v>0.002662037037037037</v>
      </c>
      <c r="E2185" s="12">
        <v>1.06</v>
      </c>
      <c r="F2185" s="12">
        <v>5.14</v>
      </c>
      <c r="G2185" s="11">
        <v>10775.0</v>
      </c>
      <c r="H2185" s="11">
        <v>2097.0</v>
      </c>
    </row>
    <row r="2186">
      <c r="A2186" s="10">
        <v>44554.0</v>
      </c>
      <c r="B2186" s="11">
        <v>1152.0</v>
      </c>
      <c r="C2186" s="12">
        <v>0.4834</v>
      </c>
      <c r="D2186" s="2">
        <v>0.0011689814814814816</v>
      </c>
      <c r="E2186" s="12">
        <v>1.1</v>
      </c>
      <c r="F2186" s="12">
        <v>3.42</v>
      </c>
      <c r="G2186" s="11">
        <v>4318.0</v>
      </c>
      <c r="H2186" s="11">
        <v>1264.0</v>
      </c>
    </row>
    <row r="2187">
      <c r="A2187" s="10">
        <v>44555.0</v>
      </c>
      <c r="B2187" s="11">
        <v>1180.0</v>
      </c>
      <c r="C2187" s="12">
        <v>0.4789</v>
      </c>
      <c r="D2187" s="2">
        <v>0.0015509259259259259</v>
      </c>
      <c r="E2187" s="12">
        <v>1.11</v>
      </c>
      <c r="F2187" s="12">
        <v>3.22</v>
      </c>
      <c r="G2187" s="11">
        <v>4207.0</v>
      </c>
      <c r="H2187" s="11">
        <v>1305.0</v>
      </c>
    </row>
    <row r="2188">
      <c r="A2188" s="10">
        <v>44556.0</v>
      </c>
      <c r="B2188" s="11">
        <v>1305.0</v>
      </c>
      <c r="C2188" s="12">
        <v>0.4853</v>
      </c>
      <c r="D2188" s="2">
        <v>0.0011921296296296296</v>
      </c>
      <c r="E2188" s="12">
        <v>1.1</v>
      </c>
      <c r="F2188" s="12">
        <v>4.09</v>
      </c>
      <c r="G2188" s="11">
        <v>5846.0</v>
      </c>
      <c r="H2188" s="11">
        <v>1430.0</v>
      </c>
    </row>
    <row r="2189">
      <c r="A2189" s="10">
        <v>44557.0</v>
      </c>
      <c r="B2189" s="11">
        <v>1472.0</v>
      </c>
      <c r="C2189" s="12">
        <v>0.5427</v>
      </c>
      <c r="D2189" s="2">
        <v>0.001979166666666667</v>
      </c>
      <c r="E2189" s="12">
        <v>1.11</v>
      </c>
      <c r="F2189" s="12">
        <v>3.46</v>
      </c>
      <c r="G2189" s="11">
        <v>5665.0</v>
      </c>
      <c r="H2189" s="11">
        <v>1638.0</v>
      </c>
    </row>
    <row r="2190">
      <c r="A2190" s="10">
        <v>44558.0</v>
      </c>
      <c r="B2190" s="11">
        <v>1958.0</v>
      </c>
      <c r="C2190" s="12">
        <v>0.4743</v>
      </c>
      <c r="D2190" s="2">
        <v>0.0016782407407407408</v>
      </c>
      <c r="E2190" s="12">
        <v>1.09</v>
      </c>
      <c r="F2190" s="12">
        <v>3.44</v>
      </c>
      <c r="G2190" s="11">
        <v>7359.0</v>
      </c>
      <c r="H2190" s="11">
        <v>2138.0</v>
      </c>
    </row>
    <row r="2191">
      <c r="A2191" s="10">
        <v>44559.0</v>
      </c>
      <c r="B2191" s="11">
        <v>1861.0</v>
      </c>
      <c r="C2191" s="12">
        <v>0.4734</v>
      </c>
      <c r="D2191" s="2">
        <v>0.0021875</v>
      </c>
      <c r="E2191" s="12">
        <v>1.12</v>
      </c>
      <c r="F2191" s="12">
        <v>6.15</v>
      </c>
      <c r="G2191" s="11">
        <v>12816.0</v>
      </c>
      <c r="H2191" s="11">
        <v>2083.0</v>
      </c>
    </row>
    <row r="2192">
      <c r="A2192" s="10">
        <v>44560.0</v>
      </c>
      <c r="B2192" s="11">
        <v>1527.0</v>
      </c>
      <c r="C2192" s="12">
        <v>0.4418</v>
      </c>
      <c r="D2192" s="2">
        <v>0.0020949074074074073</v>
      </c>
      <c r="E2192" s="12">
        <v>1.09</v>
      </c>
      <c r="F2192" s="12">
        <v>5.98</v>
      </c>
      <c r="G2192" s="11">
        <v>9956.0</v>
      </c>
      <c r="H2192" s="11">
        <v>1666.0</v>
      </c>
    </row>
    <row r="2193">
      <c r="A2193" s="10">
        <v>44561.0</v>
      </c>
      <c r="B2193" s="11">
        <v>1041.0</v>
      </c>
      <c r="C2193" s="12">
        <v>0.5697</v>
      </c>
      <c r="D2193" s="2">
        <v>0.0014236111111111112</v>
      </c>
      <c r="E2193" s="12">
        <v>1.05</v>
      </c>
      <c r="F2193" s="12">
        <v>3.9</v>
      </c>
      <c r="G2193" s="11">
        <v>4277.0</v>
      </c>
      <c r="H2193" s="11">
        <v>1097.0</v>
      </c>
    </row>
    <row r="2194">
      <c r="A2194" s="10">
        <v>44562.0</v>
      </c>
      <c r="B2194" s="11">
        <v>1139.0</v>
      </c>
      <c r="C2194" s="12">
        <v>0.4883</v>
      </c>
      <c r="D2194" s="2">
        <v>8.912037037037037E-4</v>
      </c>
      <c r="E2194" s="12">
        <v>1.05</v>
      </c>
      <c r="F2194" s="12">
        <v>2.74</v>
      </c>
      <c r="G2194" s="11">
        <v>3277.0</v>
      </c>
      <c r="H2194" s="11">
        <v>1194.0</v>
      </c>
    </row>
    <row r="2195">
      <c r="A2195" s="10">
        <v>44563.0</v>
      </c>
      <c r="B2195" s="11">
        <v>1333.0</v>
      </c>
      <c r="C2195" s="12">
        <v>0.5147</v>
      </c>
      <c r="D2195" s="2">
        <v>0.001574074074074074</v>
      </c>
      <c r="E2195" s="12">
        <v>1.07</v>
      </c>
      <c r="F2195" s="12">
        <v>4.53</v>
      </c>
      <c r="G2195" s="11">
        <v>6484.0</v>
      </c>
      <c r="H2195" s="11">
        <v>1430.0</v>
      </c>
    </row>
    <row r="2196">
      <c r="A2196" s="10">
        <v>44564.0</v>
      </c>
      <c r="B2196" s="11">
        <v>1666.0</v>
      </c>
      <c r="C2196" s="12">
        <v>0.4556</v>
      </c>
      <c r="D2196" s="2">
        <v>0.0021527777777777778</v>
      </c>
      <c r="E2196" s="12">
        <v>1.04</v>
      </c>
      <c r="F2196" s="12">
        <v>5.02</v>
      </c>
      <c r="G2196" s="11">
        <v>8720.0</v>
      </c>
      <c r="H2196" s="11">
        <v>1736.0</v>
      </c>
    </row>
    <row r="2197">
      <c r="A2197" s="10">
        <v>44565.0</v>
      </c>
      <c r="B2197" s="11">
        <v>2347.0</v>
      </c>
      <c r="C2197" s="12">
        <v>0.3756</v>
      </c>
      <c r="D2197" s="2">
        <v>0.0026041666666666665</v>
      </c>
      <c r="E2197" s="12">
        <v>1.07</v>
      </c>
      <c r="F2197" s="12">
        <v>5.42</v>
      </c>
      <c r="G2197" s="11">
        <v>13622.0</v>
      </c>
      <c r="H2197" s="11">
        <v>2513.0</v>
      </c>
    </row>
    <row r="2198">
      <c r="A2198" s="10">
        <v>44566.0</v>
      </c>
      <c r="B2198" s="11">
        <v>2305.0</v>
      </c>
      <c r="C2198" s="12">
        <v>0.4867</v>
      </c>
      <c r="D2198" s="2">
        <v>0.0019675925925925924</v>
      </c>
      <c r="E2198" s="12">
        <v>1.13</v>
      </c>
      <c r="F2198" s="12">
        <v>5.08</v>
      </c>
      <c r="G2198" s="11">
        <v>13191.0</v>
      </c>
      <c r="H2198" s="11">
        <v>2597.0</v>
      </c>
    </row>
    <row r="2199">
      <c r="A2199" s="10">
        <v>44567.0</v>
      </c>
      <c r="B2199" s="11">
        <v>1930.0</v>
      </c>
      <c r="C2199" s="12">
        <v>0.3913</v>
      </c>
      <c r="D2199" s="2">
        <v>0.002662037037037037</v>
      </c>
      <c r="E2199" s="12">
        <v>1.16</v>
      </c>
      <c r="F2199" s="12">
        <v>7.05</v>
      </c>
      <c r="G2199" s="11">
        <v>15760.0</v>
      </c>
      <c r="H2199" s="11">
        <v>2236.0</v>
      </c>
    </row>
    <row r="2200">
      <c r="A2200" s="10">
        <v>44568.0</v>
      </c>
      <c r="B2200" s="11">
        <v>1930.0</v>
      </c>
      <c r="C2200" s="12">
        <v>0.4968</v>
      </c>
      <c r="D2200" s="2">
        <v>0.0022453703703703702</v>
      </c>
      <c r="E2200" s="12">
        <v>1.13</v>
      </c>
      <c r="F2200" s="12">
        <v>5.03</v>
      </c>
      <c r="G2200" s="11">
        <v>10969.0</v>
      </c>
      <c r="H2200" s="11">
        <v>2180.0</v>
      </c>
    </row>
    <row r="2201">
      <c r="A2201" s="10">
        <v>44569.0</v>
      </c>
      <c r="B2201" s="11">
        <v>1541.0</v>
      </c>
      <c r="C2201" s="12">
        <v>0.5258</v>
      </c>
      <c r="D2201" s="2">
        <v>0.0020486111111111113</v>
      </c>
      <c r="E2201" s="12">
        <v>1.05</v>
      </c>
      <c r="F2201" s="12">
        <v>3.78</v>
      </c>
      <c r="G2201" s="11">
        <v>6082.0</v>
      </c>
      <c r="H2201" s="11">
        <v>1611.0</v>
      </c>
    </row>
    <row r="2202">
      <c r="A2202" s="10">
        <v>44570.0</v>
      </c>
      <c r="B2202" s="11">
        <v>1694.0</v>
      </c>
      <c r="C2202" s="12">
        <v>0.5082</v>
      </c>
      <c r="D2202" s="2">
        <v>0.0013773148148148147</v>
      </c>
      <c r="E2202" s="12">
        <v>1.05</v>
      </c>
      <c r="F2202" s="12">
        <v>3.24</v>
      </c>
      <c r="G2202" s="11">
        <v>5749.0</v>
      </c>
      <c r="H2202" s="11">
        <v>1777.0</v>
      </c>
    </row>
    <row r="2203">
      <c r="A2203" s="10">
        <v>44571.0</v>
      </c>
      <c r="B2203" s="11">
        <v>2444.0</v>
      </c>
      <c r="C2203" s="12">
        <v>0.5328</v>
      </c>
      <c r="D2203" s="2">
        <v>0.0020949074074074073</v>
      </c>
      <c r="E2203" s="12">
        <v>1.13</v>
      </c>
      <c r="F2203" s="12">
        <v>4.57</v>
      </c>
      <c r="G2203" s="11">
        <v>12636.0</v>
      </c>
      <c r="H2203" s="11">
        <v>2763.0</v>
      </c>
    </row>
    <row r="2204">
      <c r="A2204" s="10">
        <v>44572.0</v>
      </c>
      <c r="B2204" s="11">
        <v>2499.0</v>
      </c>
      <c r="C2204" s="12">
        <v>0.5122</v>
      </c>
      <c r="D2204" s="2">
        <v>0.002534722222222222</v>
      </c>
      <c r="E2204" s="12">
        <v>1.13</v>
      </c>
      <c r="F2204" s="12">
        <v>5.27</v>
      </c>
      <c r="G2204" s="11">
        <v>14843.0</v>
      </c>
      <c r="H2204" s="11">
        <v>2819.0</v>
      </c>
    </row>
    <row r="2205">
      <c r="A2205" s="10">
        <v>44573.0</v>
      </c>
      <c r="B2205" s="11">
        <v>2513.0</v>
      </c>
      <c r="C2205" s="12">
        <v>0.4508</v>
      </c>
      <c r="D2205" s="2">
        <v>0.0021296296296296298</v>
      </c>
      <c r="E2205" s="12">
        <v>1.13</v>
      </c>
      <c r="F2205" s="12">
        <v>5.05</v>
      </c>
      <c r="G2205" s="11">
        <v>14316.0</v>
      </c>
      <c r="H2205" s="11">
        <v>2833.0</v>
      </c>
    </row>
    <row r="2206">
      <c r="A2206" s="10">
        <v>44574.0</v>
      </c>
      <c r="B2206" s="11">
        <v>2555.0</v>
      </c>
      <c r="C2206" s="12">
        <v>0.4394</v>
      </c>
      <c r="D2206" s="2">
        <v>0.0027430555555555554</v>
      </c>
      <c r="E2206" s="12">
        <v>1.08</v>
      </c>
      <c r="F2206" s="12">
        <v>5.18</v>
      </c>
      <c r="G2206" s="11">
        <v>14233.0</v>
      </c>
      <c r="H2206" s="11">
        <v>2749.0</v>
      </c>
    </row>
    <row r="2207">
      <c r="A2207" s="10">
        <v>44575.0</v>
      </c>
      <c r="B2207" s="11">
        <v>2013.0</v>
      </c>
      <c r="C2207" s="12">
        <v>0.467</v>
      </c>
      <c r="D2207" s="2">
        <v>0.002685185185185185</v>
      </c>
      <c r="E2207" s="12">
        <v>1.15</v>
      </c>
      <c r="F2207" s="12">
        <v>5.08</v>
      </c>
      <c r="G2207" s="11">
        <v>11775.0</v>
      </c>
      <c r="H2207" s="11">
        <v>2319.0</v>
      </c>
    </row>
    <row r="2208">
      <c r="A2208" s="10">
        <v>44576.0</v>
      </c>
      <c r="B2208" s="11">
        <v>1583.0</v>
      </c>
      <c r="C2208" s="12">
        <v>0.5168</v>
      </c>
      <c r="D2208" s="2">
        <v>0.0014236111111111112</v>
      </c>
      <c r="E2208" s="12">
        <v>1.05</v>
      </c>
      <c r="F2208" s="12">
        <v>4.35</v>
      </c>
      <c r="G2208" s="11">
        <v>7248.0</v>
      </c>
      <c r="H2208" s="11">
        <v>1666.0</v>
      </c>
    </row>
    <row r="2209">
      <c r="A2209" s="10">
        <v>44577.0</v>
      </c>
      <c r="B2209" s="11">
        <v>1430.0</v>
      </c>
      <c r="C2209" s="12">
        <v>0.5963</v>
      </c>
      <c r="D2209" s="2">
        <v>0.0019212962962962964</v>
      </c>
      <c r="E2209" s="12">
        <v>1.11</v>
      </c>
      <c r="F2209" s="12">
        <v>3.68</v>
      </c>
      <c r="G2209" s="11">
        <v>5832.0</v>
      </c>
      <c r="H2209" s="11">
        <v>1583.0</v>
      </c>
    </row>
    <row r="2210">
      <c r="A2210" s="10">
        <v>44578.0</v>
      </c>
      <c r="B2210" s="11">
        <v>1958.0</v>
      </c>
      <c r="C2210" s="12">
        <v>0.4685</v>
      </c>
      <c r="D2210" s="2">
        <v>0.0018865740740740742</v>
      </c>
      <c r="E2210" s="12">
        <v>1.13</v>
      </c>
      <c r="F2210" s="12">
        <v>3.69</v>
      </c>
      <c r="G2210" s="11">
        <v>8192.0</v>
      </c>
      <c r="H2210" s="11">
        <v>2222.0</v>
      </c>
    </row>
    <row r="2211">
      <c r="A2211" s="10">
        <v>44579.0</v>
      </c>
      <c r="B2211" s="11">
        <v>2569.0</v>
      </c>
      <c r="C2211" s="12">
        <v>0.4851</v>
      </c>
      <c r="D2211" s="2">
        <v>0.0017592592592592592</v>
      </c>
      <c r="E2211" s="12">
        <v>1.08</v>
      </c>
      <c r="F2211" s="12">
        <v>3.95</v>
      </c>
      <c r="G2211" s="11">
        <v>10956.0</v>
      </c>
      <c r="H2211" s="11">
        <v>2777.0</v>
      </c>
    </row>
    <row r="2212">
      <c r="A2212" s="10">
        <v>44580.0</v>
      </c>
      <c r="B2212" s="11">
        <v>2583.0</v>
      </c>
      <c r="C2212" s="12">
        <v>0.4547</v>
      </c>
      <c r="D2212" s="2">
        <v>0.0018287037037037037</v>
      </c>
      <c r="E2212" s="12">
        <v>1.06</v>
      </c>
      <c r="F2212" s="12">
        <v>4.08</v>
      </c>
      <c r="G2212" s="11">
        <v>11219.0</v>
      </c>
      <c r="H2212" s="11">
        <v>2749.0</v>
      </c>
    </row>
    <row r="2213">
      <c r="A2213" s="10">
        <v>44581.0</v>
      </c>
      <c r="B2213" s="11">
        <v>2819.0</v>
      </c>
      <c r="C2213" s="12">
        <v>0.4823</v>
      </c>
      <c r="D2213" s="2">
        <v>0.001724537037037037</v>
      </c>
      <c r="E2213" s="12">
        <v>1.12</v>
      </c>
      <c r="F2213" s="12">
        <v>3.41</v>
      </c>
      <c r="G2213" s="11">
        <v>10803.0</v>
      </c>
      <c r="H2213" s="11">
        <v>3166.0</v>
      </c>
    </row>
    <row r="2214">
      <c r="A2214" s="10">
        <v>44582.0</v>
      </c>
      <c r="B2214" s="11">
        <v>2194.0</v>
      </c>
      <c r="C2214" s="12">
        <v>0.4477</v>
      </c>
      <c r="D2214" s="2">
        <v>0.0021527777777777778</v>
      </c>
      <c r="E2214" s="12">
        <v>1.09</v>
      </c>
      <c r="F2214" s="12">
        <v>4.73</v>
      </c>
      <c r="G2214" s="11">
        <v>11303.0</v>
      </c>
      <c r="H2214" s="11">
        <v>2388.0</v>
      </c>
    </row>
    <row r="2215">
      <c r="A2215" s="10">
        <v>44583.0</v>
      </c>
      <c r="B2215" s="11">
        <v>1500.0</v>
      </c>
      <c r="C2215" s="12">
        <v>0.5248</v>
      </c>
      <c r="D2215" s="2">
        <v>0.0014930555555555556</v>
      </c>
      <c r="E2215" s="12">
        <v>1.13</v>
      </c>
      <c r="F2215" s="12">
        <v>5.2</v>
      </c>
      <c r="G2215" s="11">
        <v>8803.0</v>
      </c>
      <c r="H2215" s="11">
        <v>1694.0</v>
      </c>
    </row>
    <row r="2216">
      <c r="A2216" s="10">
        <v>44584.0</v>
      </c>
      <c r="B2216" s="11">
        <v>1708.0</v>
      </c>
      <c r="C2216" s="12">
        <v>0.5385</v>
      </c>
      <c r="D2216" s="2">
        <v>0.001851851851851852</v>
      </c>
      <c r="E2216" s="12">
        <v>1.06</v>
      </c>
      <c r="F2216" s="12">
        <v>4.68</v>
      </c>
      <c r="G2216" s="11">
        <v>8456.0</v>
      </c>
      <c r="H2216" s="11">
        <v>1805.0</v>
      </c>
    </row>
    <row r="2217">
      <c r="A2217" s="10">
        <v>44585.0</v>
      </c>
      <c r="B2217" s="11">
        <v>2513.0</v>
      </c>
      <c r="C2217" s="12">
        <v>0.4778</v>
      </c>
      <c r="D2217" s="2">
        <v>0.0024421296296296296</v>
      </c>
      <c r="E2217" s="12">
        <v>1.12</v>
      </c>
      <c r="F2217" s="12">
        <v>5.17</v>
      </c>
      <c r="G2217" s="11">
        <v>14580.0</v>
      </c>
      <c r="H2217" s="11">
        <v>2819.0</v>
      </c>
    </row>
    <row r="2218">
      <c r="A2218" s="10">
        <v>44586.0</v>
      </c>
      <c r="B2218" s="11">
        <v>2902.0</v>
      </c>
      <c r="C2218" s="12">
        <v>0.4396</v>
      </c>
      <c r="D2218" s="2">
        <v>0.0025810185185185185</v>
      </c>
      <c r="E2218" s="12">
        <v>1.11</v>
      </c>
      <c r="F2218" s="12">
        <v>4.87</v>
      </c>
      <c r="G2218" s="11">
        <v>15677.0</v>
      </c>
      <c r="H2218" s="11">
        <v>3221.0</v>
      </c>
    </row>
    <row r="2219">
      <c r="A2219" s="10">
        <v>44587.0</v>
      </c>
      <c r="B2219" s="11">
        <v>2680.0</v>
      </c>
      <c r="C2219" s="12">
        <v>0.4534</v>
      </c>
      <c r="D2219" s="2">
        <v>0.002361111111111111</v>
      </c>
      <c r="E2219" s="12">
        <v>1.11</v>
      </c>
      <c r="F2219" s="12">
        <v>4.61</v>
      </c>
      <c r="G2219" s="11">
        <v>13705.0</v>
      </c>
      <c r="H2219" s="11">
        <v>2971.0</v>
      </c>
    </row>
    <row r="2220">
      <c r="A2220" s="10">
        <v>44588.0</v>
      </c>
      <c r="B2220" s="11">
        <v>2763.0</v>
      </c>
      <c r="C2220" s="12">
        <v>0.444</v>
      </c>
      <c r="D2220" s="2">
        <v>0.0021296296296296298</v>
      </c>
      <c r="E2220" s="12">
        <v>1.17</v>
      </c>
      <c r="F2220" s="12">
        <v>3.75</v>
      </c>
      <c r="G2220" s="11">
        <v>12080.0</v>
      </c>
      <c r="H2220" s="11">
        <v>3221.0</v>
      </c>
    </row>
    <row r="2221">
      <c r="A2221" s="10">
        <v>44589.0</v>
      </c>
      <c r="B2221" s="11">
        <v>2472.0</v>
      </c>
      <c r="C2221" s="12">
        <v>0.4951</v>
      </c>
      <c r="D2221" s="2">
        <v>0.001979166666666667</v>
      </c>
      <c r="E2221" s="12">
        <v>1.11</v>
      </c>
      <c r="F2221" s="12">
        <v>5.23</v>
      </c>
      <c r="G2221" s="11">
        <v>14371.0</v>
      </c>
      <c r="H2221" s="11">
        <v>2749.0</v>
      </c>
    </row>
    <row r="2222">
      <c r="A2222" s="10">
        <v>44590.0</v>
      </c>
      <c r="B2222" s="11">
        <v>1652.0</v>
      </c>
      <c r="C2222" s="12">
        <v>0.5042</v>
      </c>
      <c r="D2222" s="2">
        <v>0.0018402777777777777</v>
      </c>
      <c r="E2222" s="12">
        <v>1.08</v>
      </c>
      <c r="F2222" s="12">
        <v>4.01</v>
      </c>
      <c r="G2222" s="11">
        <v>7179.0</v>
      </c>
      <c r="H2222" s="11">
        <v>1791.0</v>
      </c>
    </row>
    <row r="2223">
      <c r="A2223" s="10">
        <v>44591.0</v>
      </c>
      <c r="B2223" s="11">
        <v>1486.0</v>
      </c>
      <c r="C2223" s="12">
        <v>0.5312</v>
      </c>
      <c r="D2223" s="2">
        <v>0.002395833333333333</v>
      </c>
      <c r="E2223" s="12">
        <v>1.2</v>
      </c>
      <c r="F2223" s="12">
        <v>4.52</v>
      </c>
      <c r="G2223" s="11">
        <v>8026.0</v>
      </c>
      <c r="H2223" s="11">
        <v>1777.0</v>
      </c>
    </row>
    <row r="2224">
      <c r="A2224" s="10">
        <v>44592.0</v>
      </c>
      <c r="B2224" s="11">
        <v>2402.0</v>
      </c>
      <c r="C2224" s="12">
        <v>0.4696</v>
      </c>
      <c r="D2224" s="2">
        <v>0.0024189814814814816</v>
      </c>
      <c r="E2224" s="12">
        <v>1.14</v>
      </c>
      <c r="F2224" s="12">
        <v>4.77</v>
      </c>
      <c r="G2224" s="11">
        <v>13108.0</v>
      </c>
      <c r="H2224" s="11">
        <v>2749.0</v>
      </c>
    </row>
    <row r="2225">
      <c r="A2225" s="10">
        <v>44593.0</v>
      </c>
      <c r="B2225" s="11">
        <v>2680.0</v>
      </c>
      <c r="C2225" s="12">
        <v>0.4597</v>
      </c>
      <c r="D2225" s="2">
        <v>0.0022453703703703702</v>
      </c>
      <c r="E2225" s="12">
        <v>1.09</v>
      </c>
      <c r="F2225" s="12">
        <v>5.15</v>
      </c>
      <c r="G2225" s="11">
        <v>15080.0</v>
      </c>
      <c r="H2225" s="11">
        <v>2930.0</v>
      </c>
    </row>
    <row r="2226">
      <c r="A2226" s="10">
        <v>44594.0</v>
      </c>
      <c r="B2226" s="11">
        <v>2833.0</v>
      </c>
      <c r="C2226" s="12">
        <v>0.4823</v>
      </c>
      <c r="D2226" s="2">
        <v>0.0022569444444444442</v>
      </c>
      <c r="E2226" s="12">
        <v>1.12</v>
      </c>
      <c r="F2226" s="12">
        <v>5.38</v>
      </c>
      <c r="G2226" s="11">
        <v>17037.0</v>
      </c>
      <c r="H2226" s="11">
        <v>3166.0</v>
      </c>
    </row>
    <row r="2227">
      <c r="A2227" s="10">
        <v>44595.0</v>
      </c>
      <c r="B2227" s="11">
        <v>2735.0</v>
      </c>
      <c r="C2227" s="12">
        <v>0.4404</v>
      </c>
      <c r="D2227" s="2">
        <v>0.0020601851851851853</v>
      </c>
      <c r="E2227" s="12">
        <v>1.11</v>
      </c>
      <c r="F2227" s="12">
        <v>4.52</v>
      </c>
      <c r="G2227" s="11">
        <v>13677.0</v>
      </c>
      <c r="H2227" s="11">
        <v>3027.0</v>
      </c>
    </row>
    <row r="2228">
      <c r="A2228" s="10">
        <v>44596.0</v>
      </c>
      <c r="B2228" s="11">
        <v>2555.0</v>
      </c>
      <c r="C2228" s="12">
        <v>0.4103</v>
      </c>
      <c r="D2228" s="2">
        <v>0.002199074074074074</v>
      </c>
      <c r="E2228" s="12">
        <v>1.15</v>
      </c>
      <c r="F2228" s="12">
        <v>5.56</v>
      </c>
      <c r="G2228" s="11">
        <v>16357.0</v>
      </c>
      <c r="H2228" s="11">
        <v>2944.0</v>
      </c>
    </row>
    <row r="2229">
      <c r="A2229" s="10">
        <v>44597.0</v>
      </c>
      <c r="B2229" s="11">
        <v>1708.0</v>
      </c>
      <c r="C2229" s="12">
        <v>0.5651</v>
      </c>
      <c r="D2229" s="2">
        <v>0.0013773148148148147</v>
      </c>
      <c r="E2229" s="12">
        <v>1.06</v>
      </c>
      <c r="F2229" s="12">
        <v>3.68</v>
      </c>
      <c r="G2229" s="11">
        <v>6693.0</v>
      </c>
      <c r="H2229" s="11">
        <v>1819.0</v>
      </c>
    </row>
    <row r="2230">
      <c r="A2230" s="10">
        <v>44598.0</v>
      </c>
      <c r="B2230" s="11">
        <v>1819.0</v>
      </c>
      <c r="C2230" s="12">
        <v>0.5176</v>
      </c>
      <c r="D2230" s="2">
        <v>0.002488425925925926</v>
      </c>
      <c r="E2230" s="12">
        <v>1.09</v>
      </c>
      <c r="F2230" s="12">
        <v>3.63</v>
      </c>
      <c r="G2230" s="11">
        <v>7207.0</v>
      </c>
      <c r="H2230" s="11">
        <v>1986.0</v>
      </c>
    </row>
    <row r="2231">
      <c r="A2231" s="10">
        <v>44599.0</v>
      </c>
      <c r="B2231" s="11">
        <v>2791.0</v>
      </c>
      <c r="C2231" s="12">
        <v>0.4751</v>
      </c>
      <c r="D2231" s="2">
        <v>0.0014467592592592592</v>
      </c>
      <c r="E2231" s="12">
        <v>1.1</v>
      </c>
      <c r="F2231" s="12">
        <v>4.38</v>
      </c>
      <c r="G2231" s="11">
        <v>13441.0</v>
      </c>
      <c r="H2231" s="11">
        <v>3069.0</v>
      </c>
    </row>
    <row r="2232">
      <c r="A2232" s="10">
        <v>44600.0</v>
      </c>
      <c r="B2232" s="11">
        <v>2888.0</v>
      </c>
      <c r="C2232" s="12">
        <v>0.5455</v>
      </c>
      <c r="D2232" s="2">
        <v>0.0030439814814814813</v>
      </c>
      <c r="E2232" s="12">
        <v>1.16</v>
      </c>
      <c r="F2232" s="12">
        <v>5.25</v>
      </c>
      <c r="G2232" s="11">
        <v>17634.0</v>
      </c>
      <c r="H2232" s="11">
        <v>3360.0</v>
      </c>
    </row>
    <row r="2233">
      <c r="A2233" s="10">
        <v>44601.0</v>
      </c>
      <c r="B2233" s="11">
        <v>3249.0</v>
      </c>
      <c r="C2233" s="12">
        <v>0.4654</v>
      </c>
      <c r="D2233" s="2">
        <v>0.0023263888888888887</v>
      </c>
      <c r="E2233" s="12">
        <v>1.11</v>
      </c>
      <c r="F2233" s="12">
        <v>5.4</v>
      </c>
      <c r="G2233" s="11">
        <v>19509.0</v>
      </c>
      <c r="H2233" s="11">
        <v>3610.0</v>
      </c>
    </row>
    <row r="2234">
      <c r="A2234" s="10">
        <v>44602.0</v>
      </c>
      <c r="B2234" s="11">
        <v>2985.0</v>
      </c>
      <c r="C2234" s="12">
        <v>0.4998</v>
      </c>
      <c r="D2234" s="2">
        <v>0.0024189814814814816</v>
      </c>
      <c r="E2234" s="12">
        <v>1.11</v>
      </c>
      <c r="F2234" s="12">
        <v>4.42</v>
      </c>
      <c r="G2234" s="11">
        <v>14594.0</v>
      </c>
      <c r="H2234" s="11">
        <v>3305.0</v>
      </c>
    </row>
    <row r="2235">
      <c r="A2235" s="10">
        <v>44603.0</v>
      </c>
      <c r="B2235" s="11">
        <v>2749.0</v>
      </c>
      <c r="C2235" s="12">
        <v>0.579</v>
      </c>
      <c r="D2235" s="2">
        <v>0.0011689814814814816</v>
      </c>
      <c r="E2235" s="12">
        <v>1.12</v>
      </c>
      <c r="F2235" s="12">
        <v>3.27</v>
      </c>
      <c r="G2235" s="11">
        <v>10039.0</v>
      </c>
      <c r="H2235" s="11">
        <v>3069.0</v>
      </c>
    </row>
    <row r="2236">
      <c r="A2236" s="10">
        <v>44604.0</v>
      </c>
      <c r="B2236" s="11">
        <v>1666.0</v>
      </c>
      <c r="C2236" s="12">
        <v>0.504</v>
      </c>
      <c r="D2236" s="2">
        <v>0.002476851851851852</v>
      </c>
      <c r="E2236" s="12">
        <v>1.04</v>
      </c>
      <c r="F2236" s="12">
        <v>4.33</v>
      </c>
      <c r="G2236" s="11">
        <v>7512.0</v>
      </c>
      <c r="H2236" s="11">
        <v>1736.0</v>
      </c>
    </row>
    <row r="2237">
      <c r="A2237" s="10">
        <v>44605.0</v>
      </c>
      <c r="B2237" s="11">
        <v>1722.0</v>
      </c>
      <c r="C2237" s="12">
        <v>0.5913</v>
      </c>
      <c r="D2237" s="2">
        <v>0.0014814814814814814</v>
      </c>
      <c r="E2237" s="12">
        <v>1.15</v>
      </c>
      <c r="F2237" s="12">
        <v>3.31</v>
      </c>
      <c r="G2237" s="11">
        <v>6526.0</v>
      </c>
      <c r="H2237" s="11">
        <v>1972.0</v>
      </c>
    </row>
    <row r="2238">
      <c r="A2238" s="10">
        <v>44606.0</v>
      </c>
      <c r="B2238" s="11">
        <v>2569.0</v>
      </c>
      <c r="C2238" s="12">
        <v>0.5049</v>
      </c>
      <c r="D2238" s="2">
        <v>0.0016319444444444445</v>
      </c>
      <c r="E2238" s="12">
        <v>1.08</v>
      </c>
      <c r="F2238" s="12">
        <v>4.19</v>
      </c>
      <c r="G2238" s="11">
        <v>11636.0</v>
      </c>
      <c r="H2238" s="11">
        <v>2777.0</v>
      </c>
    </row>
    <row r="2239">
      <c r="A2239" s="10">
        <v>44607.0</v>
      </c>
      <c r="B2239" s="11">
        <v>2763.0</v>
      </c>
      <c r="C2239" s="12">
        <v>0.4868</v>
      </c>
      <c r="D2239" s="2">
        <v>0.002511574074074074</v>
      </c>
      <c r="E2239" s="12">
        <v>1.13</v>
      </c>
      <c r="F2239" s="12">
        <v>5.51</v>
      </c>
      <c r="G2239" s="11">
        <v>17135.0</v>
      </c>
      <c r="H2239" s="11">
        <v>3110.0</v>
      </c>
    </row>
    <row r="2240">
      <c r="A2240" s="10">
        <v>44608.0</v>
      </c>
      <c r="B2240" s="11">
        <v>3235.0</v>
      </c>
      <c r="C2240" s="12">
        <v>0.459</v>
      </c>
      <c r="D2240" s="2">
        <v>0.002395833333333333</v>
      </c>
      <c r="E2240" s="12">
        <v>1.1</v>
      </c>
      <c r="F2240" s="12">
        <v>4.9</v>
      </c>
      <c r="G2240" s="11">
        <v>17482.0</v>
      </c>
      <c r="H2240" s="11">
        <v>3569.0</v>
      </c>
    </row>
    <row r="2241">
      <c r="A2241" s="10">
        <v>44609.0</v>
      </c>
      <c r="B2241" s="11">
        <v>2888.0</v>
      </c>
      <c r="C2241" s="12">
        <v>0.4409</v>
      </c>
      <c r="D2241" s="2">
        <v>0.0027430555555555554</v>
      </c>
      <c r="E2241" s="12">
        <v>1.06</v>
      </c>
      <c r="F2241" s="12">
        <v>4.8</v>
      </c>
      <c r="G2241" s="11">
        <v>14677.0</v>
      </c>
      <c r="H2241" s="11">
        <v>3055.0</v>
      </c>
    </row>
    <row r="2242">
      <c r="A2242" s="10">
        <v>44610.0</v>
      </c>
      <c r="B2242" s="11">
        <v>2152.0</v>
      </c>
      <c r="C2242" s="12">
        <v>0.4567</v>
      </c>
      <c r="D2242" s="2">
        <v>0.002002314814814815</v>
      </c>
      <c r="E2242" s="12">
        <v>1.12</v>
      </c>
      <c r="F2242" s="12">
        <v>4.5</v>
      </c>
      <c r="G2242" s="11">
        <v>10803.0</v>
      </c>
      <c r="H2242" s="11">
        <v>2402.0</v>
      </c>
    </row>
    <row r="2243">
      <c r="A2243" s="10">
        <v>44611.0</v>
      </c>
      <c r="B2243" s="11">
        <v>1347.0</v>
      </c>
      <c r="C2243" s="12">
        <v>0.5872</v>
      </c>
      <c r="D2243" s="2">
        <v>0.001979166666666667</v>
      </c>
      <c r="E2243" s="12">
        <v>1.12</v>
      </c>
      <c r="F2243" s="12">
        <v>4.68</v>
      </c>
      <c r="G2243" s="11">
        <v>7082.0</v>
      </c>
      <c r="H2243" s="11">
        <v>1514.0</v>
      </c>
    </row>
    <row r="2244">
      <c r="A2244" s="10">
        <v>44612.0</v>
      </c>
      <c r="B2244" s="11">
        <v>1333.0</v>
      </c>
      <c r="C2244" s="12">
        <v>0.5807</v>
      </c>
      <c r="D2244" s="2">
        <v>0.0016666666666666668</v>
      </c>
      <c r="E2244" s="12">
        <v>1.17</v>
      </c>
      <c r="F2244" s="12">
        <v>4.28</v>
      </c>
      <c r="G2244" s="11">
        <v>6651.0</v>
      </c>
      <c r="H2244" s="11">
        <v>1555.0</v>
      </c>
    </row>
    <row r="2245">
      <c r="A2245" s="10">
        <v>44613.0</v>
      </c>
      <c r="B2245" s="11">
        <v>1986.0</v>
      </c>
      <c r="C2245" s="12">
        <v>0.5065</v>
      </c>
      <c r="D2245" s="2">
        <v>0.0022453703703703702</v>
      </c>
      <c r="E2245" s="12">
        <v>1.09</v>
      </c>
      <c r="F2245" s="12">
        <v>4.31</v>
      </c>
      <c r="G2245" s="11">
        <v>9331.0</v>
      </c>
      <c r="H2245" s="11">
        <v>2166.0</v>
      </c>
    </row>
    <row r="2246">
      <c r="A2246" s="10">
        <v>44614.0</v>
      </c>
      <c r="B2246" s="11">
        <v>2541.0</v>
      </c>
      <c r="C2246" s="12">
        <v>0.4729</v>
      </c>
      <c r="D2246" s="2">
        <v>0.0020949074074074073</v>
      </c>
      <c r="E2246" s="12">
        <v>1.11</v>
      </c>
      <c r="F2246" s="12">
        <v>4.72</v>
      </c>
      <c r="G2246" s="11">
        <v>13302.0</v>
      </c>
      <c r="H2246" s="11">
        <v>2819.0</v>
      </c>
    </row>
    <row r="2247">
      <c r="A2247" s="10">
        <v>44615.0</v>
      </c>
      <c r="B2247" s="11">
        <v>2444.0</v>
      </c>
      <c r="C2247" s="12">
        <v>0.4397</v>
      </c>
      <c r="D2247" s="2">
        <v>0.0020486111111111113</v>
      </c>
      <c r="E2247" s="12">
        <v>1.09</v>
      </c>
      <c r="F2247" s="12">
        <v>4.82</v>
      </c>
      <c r="G2247" s="11">
        <v>12788.0</v>
      </c>
      <c r="H2247" s="11">
        <v>2652.0</v>
      </c>
    </row>
    <row r="2248">
      <c r="A2248" s="10">
        <v>44616.0</v>
      </c>
      <c r="B2248" s="11">
        <v>2402.0</v>
      </c>
      <c r="C2248" s="12">
        <v>0.4139</v>
      </c>
      <c r="D2248" s="2">
        <v>0.0022685185185185187</v>
      </c>
      <c r="E2248" s="12">
        <v>1.08</v>
      </c>
      <c r="F2248" s="12">
        <v>4.91</v>
      </c>
      <c r="G2248" s="11">
        <v>12691.0</v>
      </c>
      <c r="H2248" s="11">
        <v>2583.0</v>
      </c>
    </row>
    <row r="2249">
      <c r="A2249" s="10">
        <v>44617.0</v>
      </c>
      <c r="B2249" s="11">
        <v>2097.0</v>
      </c>
      <c r="C2249" s="12">
        <v>0.473</v>
      </c>
      <c r="D2249" s="2">
        <v>0.0024305555555555556</v>
      </c>
      <c r="E2249" s="12">
        <v>1.11</v>
      </c>
      <c r="F2249" s="12">
        <v>5.19</v>
      </c>
      <c r="G2249" s="11">
        <v>12025.0</v>
      </c>
      <c r="H2249" s="11">
        <v>2319.0</v>
      </c>
    </row>
    <row r="2250">
      <c r="A2250" s="10">
        <v>44618.0</v>
      </c>
      <c r="B2250" s="11">
        <v>1486.0</v>
      </c>
      <c r="C2250" s="12">
        <v>0.5309</v>
      </c>
      <c r="D2250" s="2">
        <v>0.0013657407407407407</v>
      </c>
      <c r="E2250" s="12">
        <v>1.06</v>
      </c>
      <c r="F2250" s="12">
        <v>3.73</v>
      </c>
      <c r="G2250" s="11">
        <v>5860.0</v>
      </c>
      <c r="H2250" s="11">
        <v>1569.0</v>
      </c>
    </row>
    <row r="2251">
      <c r="A2251" s="10">
        <v>44619.0</v>
      </c>
      <c r="B2251" s="11">
        <v>1416.0</v>
      </c>
      <c r="C2251" s="12">
        <v>0.4868</v>
      </c>
      <c r="D2251" s="2">
        <v>0.0016666666666666668</v>
      </c>
      <c r="E2251" s="12">
        <v>1.15</v>
      </c>
      <c r="F2251" s="12">
        <v>3.85</v>
      </c>
      <c r="G2251" s="11">
        <v>6262.0</v>
      </c>
      <c r="H2251" s="11">
        <v>1625.0</v>
      </c>
    </row>
    <row r="2252">
      <c r="A2252" s="10">
        <v>44620.0</v>
      </c>
      <c r="B2252" s="11">
        <v>2305.0</v>
      </c>
      <c r="C2252" s="12">
        <v>0.4406</v>
      </c>
      <c r="D2252" s="2">
        <v>0.0025578703703703705</v>
      </c>
      <c r="E2252" s="12">
        <v>1.07</v>
      </c>
      <c r="F2252" s="12">
        <v>5.32</v>
      </c>
      <c r="G2252" s="11">
        <v>13080.0</v>
      </c>
      <c r="H2252" s="11">
        <v>2458.0</v>
      </c>
    </row>
    <row r="2253">
      <c r="A2253" s="10">
        <v>44621.0</v>
      </c>
      <c r="B2253" s="11">
        <v>2416.0</v>
      </c>
      <c r="C2253" s="12">
        <v>0.5126</v>
      </c>
      <c r="D2253" s="2">
        <v>0.0016087962962962963</v>
      </c>
      <c r="E2253" s="12">
        <v>1.13</v>
      </c>
      <c r="F2253" s="12">
        <v>4.31</v>
      </c>
      <c r="G2253" s="11">
        <v>11789.0</v>
      </c>
      <c r="H2253" s="11">
        <v>2735.0</v>
      </c>
    </row>
    <row r="2254">
      <c r="A2254" s="10">
        <v>44622.0</v>
      </c>
      <c r="B2254" s="11">
        <v>2749.0</v>
      </c>
      <c r="C2254" s="12">
        <v>0.4857</v>
      </c>
      <c r="D2254" s="2">
        <v>0.001736111111111111</v>
      </c>
      <c r="E2254" s="12">
        <v>1.07</v>
      </c>
      <c r="F2254" s="12">
        <v>4.5</v>
      </c>
      <c r="G2254" s="11">
        <v>13261.0</v>
      </c>
      <c r="H2254" s="11">
        <v>2944.0</v>
      </c>
    </row>
    <row r="2255">
      <c r="A2255" s="10">
        <v>44623.0</v>
      </c>
      <c r="B2255" s="11">
        <v>2583.0</v>
      </c>
      <c r="C2255" s="12">
        <v>0.4335</v>
      </c>
      <c r="D2255" s="2">
        <v>0.0022453703703703702</v>
      </c>
      <c r="E2255" s="12">
        <v>1.09</v>
      </c>
      <c r="F2255" s="12">
        <v>4.41</v>
      </c>
      <c r="G2255" s="11">
        <v>12427.0</v>
      </c>
      <c r="H2255" s="11">
        <v>2819.0</v>
      </c>
    </row>
    <row r="2256">
      <c r="A2256" s="10">
        <v>44624.0</v>
      </c>
      <c r="B2256" s="11">
        <v>2124.0</v>
      </c>
      <c r="C2256" s="12">
        <v>0.4295</v>
      </c>
      <c r="D2256" s="2">
        <v>0.002662037037037037</v>
      </c>
      <c r="E2256" s="12">
        <v>1.07</v>
      </c>
      <c r="F2256" s="12">
        <v>5.68</v>
      </c>
      <c r="G2256" s="11">
        <v>12844.0</v>
      </c>
      <c r="H2256" s="11">
        <v>2263.0</v>
      </c>
    </row>
    <row r="2257">
      <c r="A2257" s="10">
        <v>44625.0</v>
      </c>
      <c r="B2257" s="11">
        <v>1541.0</v>
      </c>
      <c r="C2257" s="12">
        <v>0.504</v>
      </c>
      <c r="D2257" s="2">
        <v>0.002199074074074074</v>
      </c>
      <c r="E2257" s="12">
        <v>1.13</v>
      </c>
      <c r="F2257" s="12">
        <v>4.65</v>
      </c>
      <c r="G2257" s="11">
        <v>8067.0</v>
      </c>
      <c r="H2257" s="11">
        <v>1736.0</v>
      </c>
    </row>
    <row r="2258">
      <c r="A2258" s="10">
        <v>44626.0</v>
      </c>
      <c r="B2258" s="11">
        <v>1472.0</v>
      </c>
      <c r="C2258" s="12">
        <v>0.4669</v>
      </c>
      <c r="D2258" s="2">
        <v>0.002916666666666667</v>
      </c>
      <c r="E2258" s="12">
        <v>1.15</v>
      </c>
      <c r="F2258" s="12">
        <v>4.8</v>
      </c>
      <c r="G2258" s="11">
        <v>8137.0</v>
      </c>
      <c r="H2258" s="11">
        <v>1694.0</v>
      </c>
    </row>
    <row r="2259">
      <c r="A2259" s="10">
        <v>44627.0</v>
      </c>
      <c r="B2259" s="11">
        <v>2499.0</v>
      </c>
      <c r="C2259" s="12">
        <v>0.4778</v>
      </c>
      <c r="D2259" s="2">
        <v>0.002476851851851852</v>
      </c>
      <c r="E2259" s="12">
        <v>1.13</v>
      </c>
      <c r="F2259" s="12">
        <v>4.46</v>
      </c>
      <c r="G2259" s="11">
        <v>12580.0</v>
      </c>
      <c r="H2259" s="11">
        <v>2819.0</v>
      </c>
    </row>
    <row r="2260">
      <c r="A2260" s="10">
        <v>44628.0</v>
      </c>
      <c r="B2260" s="11">
        <v>2708.0</v>
      </c>
      <c r="C2260" s="12">
        <v>0.4614</v>
      </c>
      <c r="D2260" s="2">
        <v>0.0024652777777777776</v>
      </c>
      <c r="E2260" s="12">
        <v>1.13</v>
      </c>
      <c r="F2260" s="12">
        <v>4.69</v>
      </c>
      <c r="G2260" s="11">
        <v>14399.0</v>
      </c>
      <c r="H2260" s="11">
        <v>3069.0</v>
      </c>
    </row>
    <row r="2261">
      <c r="A2261" s="10">
        <v>44629.0</v>
      </c>
      <c r="B2261" s="11">
        <v>2833.0</v>
      </c>
      <c r="C2261" s="12">
        <v>0.4554</v>
      </c>
      <c r="D2261" s="2">
        <v>0.0024305555555555556</v>
      </c>
      <c r="E2261" s="12">
        <v>1.15</v>
      </c>
      <c r="F2261" s="12">
        <v>4.4</v>
      </c>
      <c r="G2261" s="11">
        <v>14371.0</v>
      </c>
      <c r="H2261" s="11">
        <v>3263.0</v>
      </c>
    </row>
    <row r="2262">
      <c r="A2262" s="10">
        <v>44630.0</v>
      </c>
      <c r="B2262" s="11">
        <v>2624.0</v>
      </c>
      <c r="C2262" s="12">
        <v>0.4762</v>
      </c>
      <c r="D2262" s="2">
        <v>0.0017592592592592592</v>
      </c>
      <c r="E2262" s="12">
        <v>1.12</v>
      </c>
      <c r="F2262" s="12">
        <v>4.12</v>
      </c>
      <c r="G2262" s="11">
        <v>12136.0</v>
      </c>
      <c r="H2262" s="11">
        <v>2944.0</v>
      </c>
    </row>
    <row r="2263">
      <c r="A2263" s="10">
        <v>44631.0</v>
      </c>
      <c r="B2263" s="11">
        <v>1875.0</v>
      </c>
      <c r="C2263" s="12">
        <v>0.4964</v>
      </c>
      <c r="D2263" s="2">
        <v>0.0027430555555555554</v>
      </c>
      <c r="E2263" s="12">
        <v>1.12</v>
      </c>
      <c r="F2263" s="12">
        <v>4.43</v>
      </c>
      <c r="G2263" s="11">
        <v>9289.0</v>
      </c>
      <c r="H2263" s="11">
        <v>2097.0</v>
      </c>
    </row>
    <row r="2264">
      <c r="A2264" s="10">
        <v>44632.0</v>
      </c>
      <c r="B2264" s="11">
        <v>1291.0</v>
      </c>
      <c r="C2264" s="12">
        <v>0.5531</v>
      </c>
      <c r="D2264" s="2">
        <v>0.0016898148148148148</v>
      </c>
      <c r="E2264" s="12">
        <v>1.11</v>
      </c>
      <c r="F2264" s="12">
        <v>4.23</v>
      </c>
      <c r="G2264" s="11">
        <v>6054.0</v>
      </c>
      <c r="H2264" s="11">
        <v>1430.0</v>
      </c>
    </row>
    <row r="2265">
      <c r="A2265" s="10">
        <v>44633.0</v>
      </c>
      <c r="B2265" s="11">
        <v>1514.0</v>
      </c>
      <c r="C2265" s="12">
        <v>0.4953</v>
      </c>
      <c r="D2265" s="2">
        <v>0.0013310185185185185</v>
      </c>
      <c r="E2265" s="12">
        <v>1.05</v>
      </c>
      <c r="F2265" s="12">
        <v>4.69</v>
      </c>
      <c r="G2265" s="11">
        <v>7484.0</v>
      </c>
      <c r="H2265" s="11">
        <v>1597.0</v>
      </c>
    </row>
    <row r="2266">
      <c r="A2266" s="10">
        <v>44634.0</v>
      </c>
      <c r="B2266" s="11">
        <v>2305.0</v>
      </c>
      <c r="C2266" s="12">
        <v>0.3999</v>
      </c>
      <c r="D2266" s="2">
        <v>0.0031134259259259257</v>
      </c>
      <c r="E2266" s="12">
        <v>1.17</v>
      </c>
      <c r="F2266" s="12">
        <v>6.31</v>
      </c>
      <c r="G2266" s="11">
        <v>17093.0</v>
      </c>
      <c r="H2266" s="11">
        <v>2708.0</v>
      </c>
    </row>
    <row r="2267">
      <c r="A2267" s="10">
        <v>44635.0</v>
      </c>
      <c r="B2267" s="11">
        <v>2458.0</v>
      </c>
      <c r="C2267" s="12">
        <v>0.4265</v>
      </c>
      <c r="D2267" s="2">
        <v>0.001990740740740741</v>
      </c>
      <c r="E2267" s="12">
        <v>1.07</v>
      </c>
      <c r="F2267" s="12">
        <v>5.8</v>
      </c>
      <c r="G2267" s="11">
        <v>15288.0</v>
      </c>
      <c r="H2267" s="11">
        <v>2638.0</v>
      </c>
    </row>
    <row r="2268">
      <c r="A2268" s="10">
        <v>44636.0</v>
      </c>
      <c r="B2268" s="11">
        <v>2680.0</v>
      </c>
      <c r="C2268" s="12">
        <v>0.4715</v>
      </c>
      <c r="D2268" s="2">
        <v>0.0022569444444444442</v>
      </c>
      <c r="E2268" s="12">
        <v>1.09</v>
      </c>
      <c r="F2268" s="12">
        <v>4.78</v>
      </c>
      <c r="G2268" s="11">
        <v>13941.0</v>
      </c>
      <c r="H2268" s="11">
        <v>2916.0</v>
      </c>
    </row>
    <row r="2269">
      <c r="A2269" s="10">
        <v>44637.0</v>
      </c>
      <c r="B2269" s="11">
        <v>2749.0</v>
      </c>
      <c r="C2269" s="12">
        <v>0.3869</v>
      </c>
      <c r="D2269" s="2">
        <v>0.002951388888888889</v>
      </c>
      <c r="E2269" s="12">
        <v>1.07</v>
      </c>
      <c r="F2269" s="12">
        <v>5.38</v>
      </c>
      <c r="G2269" s="11">
        <v>15829.0</v>
      </c>
      <c r="H2269" s="11">
        <v>2944.0</v>
      </c>
    </row>
    <row r="2270">
      <c r="A2270" s="10">
        <v>44638.0</v>
      </c>
      <c r="B2270" s="11">
        <v>2194.0</v>
      </c>
      <c r="C2270" s="12">
        <v>0.4173</v>
      </c>
      <c r="D2270" s="2">
        <v>0.0022916666666666667</v>
      </c>
      <c r="E2270" s="12">
        <v>1.11</v>
      </c>
      <c r="F2270" s="12">
        <v>5.95</v>
      </c>
      <c r="G2270" s="11">
        <v>14469.0</v>
      </c>
      <c r="H2270" s="11">
        <v>2430.0</v>
      </c>
    </row>
    <row r="2271">
      <c r="A2271" s="10">
        <v>44639.0</v>
      </c>
      <c r="B2271" s="11">
        <v>1458.0</v>
      </c>
      <c r="C2271" s="12">
        <v>0.4709</v>
      </c>
      <c r="D2271" s="2">
        <v>0.002766203703703704</v>
      </c>
      <c r="E2271" s="12">
        <v>1.13</v>
      </c>
      <c r="F2271" s="12">
        <v>5.07</v>
      </c>
      <c r="G2271" s="11">
        <v>8373.0</v>
      </c>
      <c r="H2271" s="11">
        <v>1652.0</v>
      </c>
    </row>
    <row r="2272">
      <c r="A2272" s="10">
        <v>44640.0</v>
      </c>
      <c r="B2272" s="11">
        <v>1500.0</v>
      </c>
      <c r="C2272" s="12">
        <v>0.4631</v>
      </c>
      <c r="D2272" s="2">
        <v>0.002511574074074074</v>
      </c>
      <c r="E2272" s="12">
        <v>1.14</v>
      </c>
      <c r="F2272" s="12">
        <v>5.28</v>
      </c>
      <c r="G2272" s="11">
        <v>9025.0</v>
      </c>
      <c r="H2272" s="11">
        <v>1708.0</v>
      </c>
    </row>
    <row r="2273">
      <c r="A2273" s="10">
        <v>44641.0</v>
      </c>
      <c r="B2273" s="11">
        <v>2777.0</v>
      </c>
      <c r="C2273" s="12">
        <v>0.4727</v>
      </c>
      <c r="D2273" s="2">
        <v>0.0021643518518518518</v>
      </c>
      <c r="E2273" s="12">
        <v>1.1</v>
      </c>
      <c r="F2273" s="12">
        <v>4.43</v>
      </c>
      <c r="G2273" s="11">
        <v>13524.0</v>
      </c>
      <c r="H2273" s="11">
        <v>3055.0</v>
      </c>
    </row>
    <row r="2274">
      <c r="A2274" s="10">
        <v>44642.0</v>
      </c>
      <c r="B2274" s="11">
        <v>2791.0</v>
      </c>
      <c r="C2274" s="12">
        <v>0.3591</v>
      </c>
      <c r="D2274" s="2">
        <v>0.002037037037037037</v>
      </c>
      <c r="E2274" s="12">
        <v>1.09</v>
      </c>
      <c r="F2274" s="12">
        <v>4.22</v>
      </c>
      <c r="G2274" s="11">
        <v>12900.0</v>
      </c>
      <c r="H2274" s="11">
        <v>3055.0</v>
      </c>
    </row>
    <row r="2275">
      <c r="A2275" s="10">
        <v>44643.0</v>
      </c>
      <c r="B2275" s="11">
        <v>2847.0</v>
      </c>
      <c r="C2275" s="12">
        <v>0.4723</v>
      </c>
      <c r="D2275" s="2">
        <v>0.002349537037037037</v>
      </c>
      <c r="E2275" s="12">
        <v>1.15</v>
      </c>
      <c r="F2275" s="12">
        <v>4.4</v>
      </c>
      <c r="G2275" s="11">
        <v>14344.0</v>
      </c>
      <c r="H2275" s="11">
        <v>3263.0</v>
      </c>
    </row>
    <row r="2276">
      <c r="A2276" s="10">
        <v>44644.0</v>
      </c>
      <c r="B2276" s="11">
        <v>3582.0</v>
      </c>
      <c r="C2276" s="12">
        <v>0.4332</v>
      </c>
      <c r="D2276" s="2">
        <v>0.0023148148148148147</v>
      </c>
      <c r="E2276" s="12">
        <v>1.07</v>
      </c>
      <c r="F2276" s="12">
        <v>5.77</v>
      </c>
      <c r="G2276" s="11">
        <v>22203.0</v>
      </c>
      <c r="H2276" s="11">
        <v>3846.0</v>
      </c>
    </row>
    <row r="2277">
      <c r="A2277" s="10">
        <v>44645.0</v>
      </c>
      <c r="B2277" s="11">
        <v>2541.0</v>
      </c>
      <c r="C2277" s="12">
        <v>0.4313</v>
      </c>
      <c r="D2277" s="2">
        <v>0.003159722222222222</v>
      </c>
      <c r="E2277" s="12">
        <v>1.11</v>
      </c>
      <c r="F2277" s="12">
        <v>5.45</v>
      </c>
      <c r="G2277" s="11">
        <v>15454.0</v>
      </c>
      <c r="H2277" s="11">
        <v>2833.0</v>
      </c>
    </row>
    <row r="2278">
      <c r="A2278" s="10">
        <v>44646.0</v>
      </c>
      <c r="B2278" s="11">
        <v>1444.0</v>
      </c>
      <c r="C2278" s="12">
        <v>0.5714</v>
      </c>
      <c r="D2278" s="2">
        <v>0.0028125</v>
      </c>
      <c r="E2278" s="12">
        <v>1.14</v>
      </c>
      <c r="F2278" s="12">
        <v>4.98</v>
      </c>
      <c r="G2278" s="11">
        <v>8234.0</v>
      </c>
      <c r="H2278" s="11">
        <v>1652.0</v>
      </c>
    </row>
    <row r="2279">
      <c r="A2279" s="10">
        <v>44647.0</v>
      </c>
      <c r="B2279" s="11">
        <v>1847.0</v>
      </c>
      <c r="C2279" s="12">
        <v>0.5216</v>
      </c>
      <c r="D2279" s="2">
        <v>0.0018402777777777777</v>
      </c>
      <c r="E2279" s="12">
        <v>1.05</v>
      </c>
      <c r="F2279" s="12">
        <v>3.84</v>
      </c>
      <c r="G2279" s="11">
        <v>7456.0</v>
      </c>
      <c r="H2279" s="11">
        <v>1944.0</v>
      </c>
    </row>
    <row r="2280">
      <c r="A2280" s="10">
        <v>44648.0</v>
      </c>
      <c r="B2280" s="11">
        <v>2708.0</v>
      </c>
      <c r="C2280" s="12">
        <v>0.4748</v>
      </c>
      <c r="D2280" s="2">
        <v>0.002037037037037037</v>
      </c>
      <c r="E2280" s="12">
        <v>1.12</v>
      </c>
      <c r="F2280" s="12">
        <v>4.37</v>
      </c>
      <c r="G2280" s="11">
        <v>13288.0</v>
      </c>
      <c r="H2280" s="11">
        <v>3041.0</v>
      </c>
    </row>
    <row r="2281">
      <c r="A2281" s="10">
        <v>44649.0</v>
      </c>
      <c r="B2281" s="11">
        <v>2624.0</v>
      </c>
      <c r="C2281" s="12">
        <v>0.4878</v>
      </c>
      <c r="D2281" s="2">
        <v>0.001990740740740741</v>
      </c>
      <c r="E2281" s="12">
        <v>1.1</v>
      </c>
      <c r="F2281" s="12">
        <v>5.06</v>
      </c>
      <c r="G2281" s="11">
        <v>14552.0</v>
      </c>
      <c r="H2281" s="11">
        <v>2874.0</v>
      </c>
    </row>
    <row r="2282">
      <c r="A2282" s="10">
        <v>44650.0</v>
      </c>
      <c r="B2282" s="11">
        <v>2610.0</v>
      </c>
      <c r="C2282" s="12">
        <v>0.4492</v>
      </c>
      <c r="D2282" s="2">
        <v>0.002384259259259259</v>
      </c>
      <c r="E2282" s="12">
        <v>1.1</v>
      </c>
      <c r="F2282" s="12">
        <v>5.49</v>
      </c>
      <c r="G2282" s="11">
        <v>15788.0</v>
      </c>
      <c r="H2282" s="11">
        <v>2874.0</v>
      </c>
    </row>
    <row r="2283">
      <c r="A2283" s="10">
        <v>44651.0</v>
      </c>
      <c r="B2283" s="11">
        <v>2749.0</v>
      </c>
      <c r="C2283" s="12">
        <v>0.4298</v>
      </c>
      <c r="D2283" s="2">
        <v>0.0021643518518518518</v>
      </c>
      <c r="E2283" s="12">
        <v>1.12</v>
      </c>
      <c r="F2283" s="12">
        <v>4.73</v>
      </c>
      <c r="G2283" s="11">
        <v>14510.0</v>
      </c>
      <c r="H2283" s="11">
        <v>3069.0</v>
      </c>
    </row>
    <row r="2284">
      <c r="A2284" s="10">
        <v>44652.0</v>
      </c>
      <c r="B2284" s="11">
        <v>2152.0</v>
      </c>
      <c r="C2284" s="12">
        <v>0.4081</v>
      </c>
      <c r="D2284" s="2">
        <v>0.001863425925925926</v>
      </c>
      <c r="E2284" s="12">
        <v>1.12</v>
      </c>
      <c r="F2284" s="12">
        <v>4.08</v>
      </c>
      <c r="G2284" s="11">
        <v>9859.0</v>
      </c>
      <c r="H2284" s="11">
        <v>2416.0</v>
      </c>
    </row>
    <row r="2285">
      <c r="A2285" s="10">
        <v>44653.0</v>
      </c>
      <c r="B2285" s="11">
        <v>1486.0</v>
      </c>
      <c r="C2285" s="12">
        <v>0.4997</v>
      </c>
      <c r="D2285" s="2">
        <v>0.0021180555555555558</v>
      </c>
      <c r="E2285" s="12">
        <v>1.07</v>
      </c>
      <c r="F2285" s="12">
        <v>4.98</v>
      </c>
      <c r="G2285" s="11">
        <v>7887.0</v>
      </c>
      <c r="H2285" s="11">
        <v>1583.0</v>
      </c>
    </row>
    <row r="2286">
      <c r="A2286" s="10">
        <v>44654.0</v>
      </c>
      <c r="B2286" s="11">
        <v>1597.0</v>
      </c>
      <c r="C2286" s="12">
        <v>0.5394</v>
      </c>
      <c r="D2286" s="2">
        <v>0.0024652777777777776</v>
      </c>
      <c r="E2286" s="12">
        <v>1.1</v>
      </c>
      <c r="F2286" s="12">
        <v>4.79</v>
      </c>
      <c r="G2286" s="11">
        <v>8387.0</v>
      </c>
      <c r="H2286" s="11">
        <v>1750.0</v>
      </c>
    </row>
    <row r="2287">
      <c r="A2287" s="10">
        <v>44655.0</v>
      </c>
      <c r="B2287" s="11">
        <v>2777.0</v>
      </c>
      <c r="C2287" s="12">
        <v>0.4267</v>
      </c>
      <c r="D2287" s="2">
        <v>0.00318287037037037</v>
      </c>
      <c r="E2287" s="12">
        <v>1.12</v>
      </c>
      <c r="F2287" s="12">
        <v>6.19</v>
      </c>
      <c r="G2287" s="11">
        <v>19342.0</v>
      </c>
      <c r="H2287" s="11">
        <v>3124.0</v>
      </c>
    </row>
    <row r="2288">
      <c r="A2288" s="10">
        <v>44656.0</v>
      </c>
      <c r="B2288" s="11">
        <v>2666.0</v>
      </c>
      <c r="C2288" s="12">
        <v>0.448</v>
      </c>
      <c r="D2288" s="2">
        <v>0.002395833333333333</v>
      </c>
      <c r="E2288" s="12">
        <v>1.15</v>
      </c>
      <c r="F2288" s="12">
        <v>5.15</v>
      </c>
      <c r="G2288" s="11">
        <v>15815.0</v>
      </c>
      <c r="H2288" s="11">
        <v>3069.0</v>
      </c>
    </row>
    <row r="2289">
      <c r="A2289" s="10">
        <v>44657.0</v>
      </c>
      <c r="B2289" s="11">
        <v>6707.0</v>
      </c>
      <c r="C2289" s="12">
        <v>0.3785</v>
      </c>
      <c r="D2289" s="2">
        <v>0.0020717592592592593</v>
      </c>
      <c r="E2289" s="12">
        <v>1.08</v>
      </c>
      <c r="F2289" s="12">
        <v>4.87</v>
      </c>
      <c r="G2289" s="11">
        <v>35366.0</v>
      </c>
      <c r="H2289" s="11">
        <v>7262.0</v>
      </c>
    </row>
    <row r="2290">
      <c r="A2290" s="10">
        <v>44658.0</v>
      </c>
      <c r="B2290" s="11">
        <v>4957.0</v>
      </c>
      <c r="C2290" s="12">
        <v>0.4652</v>
      </c>
      <c r="D2290" s="2">
        <v>0.0017592592592592592</v>
      </c>
      <c r="E2290" s="12">
        <v>1.13</v>
      </c>
      <c r="F2290" s="12">
        <v>4.54</v>
      </c>
      <c r="G2290" s="11">
        <v>25466.0</v>
      </c>
      <c r="H2290" s="11">
        <v>5610.0</v>
      </c>
    </row>
    <row r="2291">
      <c r="A2291" s="10">
        <v>44659.0</v>
      </c>
      <c r="B2291" s="11">
        <v>3332.0</v>
      </c>
      <c r="C2291" s="12">
        <v>0.461</v>
      </c>
      <c r="D2291" s="2">
        <v>0.0019444444444444444</v>
      </c>
      <c r="E2291" s="12">
        <v>1.12</v>
      </c>
      <c r="F2291" s="12">
        <v>5.13</v>
      </c>
      <c r="G2291" s="11">
        <v>19148.0</v>
      </c>
      <c r="H2291" s="11">
        <v>3735.0</v>
      </c>
    </row>
    <row r="2292">
      <c r="A2292" s="10">
        <v>44660.0</v>
      </c>
      <c r="B2292" s="11">
        <v>2305.0</v>
      </c>
      <c r="C2292" s="12">
        <v>0.5162</v>
      </c>
      <c r="D2292" s="2">
        <v>0.0016435185185185185</v>
      </c>
      <c r="E2292" s="12">
        <v>1.11</v>
      </c>
      <c r="F2292" s="12">
        <v>3.29</v>
      </c>
      <c r="G2292" s="11">
        <v>8415.0</v>
      </c>
      <c r="H2292" s="11">
        <v>2555.0</v>
      </c>
    </row>
    <row r="2293">
      <c r="A2293" s="10">
        <v>44661.0</v>
      </c>
      <c r="B2293" s="11">
        <v>2124.0</v>
      </c>
      <c r="C2293" s="12">
        <v>0.4939</v>
      </c>
      <c r="D2293" s="2">
        <v>0.0019212962962962964</v>
      </c>
      <c r="E2293" s="12">
        <v>1.11</v>
      </c>
      <c r="F2293" s="12">
        <v>4.12</v>
      </c>
      <c r="G2293" s="11">
        <v>9734.0</v>
      </c>
      <c r="H2293" s="11">
        <v>2361.0</v>
      </c>
    </row>
    <row r="2294">
      <c r="A2294" s="10">
        <v>44662.0</v>
      </c>
      <c r="B2294" s="11">
        <v>3263.0</v>
      </c>
      <c r="C2294" s="12">
        <v>0.4886</v>
      </c>
      <c r="D2294" s="2">
        <v>0.001979166666666667</v>
      </c>
      <c r="E2294" s="12">
        <v>1.1</v>
      </c>
      <c r="F2294" s="12">
        <v>4.71</v>
      </c>
      <c r="G2294" s="11">
        <v>16871.0</v>
      </c>
      <c r="H2294" s="11">
        <v>3582.0</v>
      </c>
    </row>
    <row r="2295">
      <c r="A2295" s="10">
        <v>44663.0</v>
      </c>
      <c r="B2295" s="11">
        <v>3138.0</v>
      </c>
      <c r="C2295" s="12">
        <v>0.4023</v>
      </c>
      <c r="D2295" s="2">
        <v>0.002025462962962963</v>
      </c>
      <c r="E2295" s="12">
        <v>1.11</v>
      </c>
      <c r="F2295" s="12">
        <v>4.27</v>
      </c>
      <c r="G2295" s="11">
        <v>14885.0</v>
      </c>
      <c r="H2295" s="11">
        <v>3485.0</v>
      </c>
    </row>
    <row r="2296">
      <c r="A2296" s="10">
        <v>44664.0</v>
      </c>
      <c r="B2296" s="11">
        <v>3027.0</v>
      </c>
      <c r="C2296" s="12">
        <v>0.3982</v>
      </c>
      <c r="D2296" s="2">
        <v>0.0020833333333333333</v>
      </c>
      <c r="E2296" s="12">
        <v>1.08</v>
      </c>
      <c r="F2296" s="12">
        <v>5.09</v>
      </c>
      <c r="G2296" s="11">
        <v>16676.0</v>
      </c>
      <c r="H2296" s="11">
        <v>3277.0</v>
      </c>
    </row>
    <row r="2297">
      <c r="A2297" s="10">
        <v>44665.0</v>
      </c>
      <c r="B2297" s="11">
        <v>2888.0</v>
      </c>
      <c r="C2297" s="12">
        <v>0.466</v>
      </c>
      <c r="D2297" s="2">
        <v>0.0024305555555555556</v>
      </c>
      <c r="E2297" s="12">
        <v>1.12</v>
      </c>
      <c r="F2297" s="12">
        <v>5.2</v>
      </c>
      <c r="G2297" s="11">
        <v>16885.0</v>
      </c>
      <c r="H2297" s="11">
        <v>3249.0</v>
      </c>
    </row>
    <row r="2298">
      <c r="A2298" s="10">
        <v>44666.0</v>
      </c>
      <c r="B2298" s="11">
        <v>2569.0</v>
      </c>
      <c r="C2298" s="12">
        <v>0.4122</v>
      </c>
      <c r="D2298" s="2">
        <v>0.002002314814814815</v>
      </c>
      <c r="E2298" s="12">
        <v>1.08</v>
      </c>
      <c r="F2298" s="12">
        <v>6.33</v>
      </c>
      <c r="G2298" s="11">
        <v>17496.0</v>
      </c>
      <c r="H2298" s="11">
        <v>2763.0</v>
      </c>
    </row>
    <row r="2299">
      <c r="A2299" s="10">
        <v>44667.0</v>
      </c>
      <c r="B2299" s="11">
        <v>1763.0</v>
      </c>
      <c r="C2299" s="12">
        <v>0.5371</v>
      </c>
      <c r="D2299" s="2">
        <v>0.001724537037037037</v>
      </c>
      <c r="E2299" s="12">
        <v>1.07</v>
      </c>
      <c r="F2299" s="12">
        <v>4.03</v>
      </c>
      <c r="G2299" s="11">
        <v>7609.0</v>
      </c>
      <c r="H2299" s="11">
        <v>1888.0</v>
      </c>
    </row>
    <row r="2300">
      <c r="A2300" s="10">
        <v>44668.0</v>
      </c>
      <c r="B2300" s="11">
        <v>1611.0</v>
      </c>
      <c r="C2300" s="12">
        <v>0.5807</v>
      </c>
      <c r="D2300" s="2">
        <v>0.0014236111111111112</v>
      </c>
      <c r="E2300" s="12">
        <v>1.07</v>
      </c>
      <c r="F2300" s="12">
        <v>3.5</v>
      </c>
      <c r="G2300" s="11">
        <v>6026.0</v>
      </c>
      <c r="H2300" s="11">
        <v>1722.0</v>
      </c>
    </row>
    <row r="2301">
      <c r="A2301" s="10">
        <v>44669.0</v>
      </c>
      <c r="B2301" s="11">
        <v>2888.0</v>
      </c>
      <c r="C2301" s="12">
        <v>0.4349</v>
      </c>
      <c r="D2301" s="2">
        <v>0.002650462962962963</v>
      </c>
      <c r="E2301" s="12">
        <v>1.11</v>
      </c>
      <c r="F2301" s="12">
        <v>5.82</v>
      </c>
      <c r="G2301" s="11">
        <v>18579.0</v>
      </c>
      <c r="H2301" s="11">
        <v>3194.0</v>
      </c>
    </row>
    <row r="2302">
      <c r="A2302" s="10">
        <v>44670.0</v>
      </c>
      <c r="B2302" s="11">
        <v>3221.0</v>
      </c>
      <c r="C2302" s="12">
        <v>0.4346</v>
      </c>
      <c r="D2302" s="2">
        <v>0.0024189814814814816</v>
      </c>
      <c r="E2302" s="12">
        <v>1.12</v>
      </c>
      <c r="F2302" s="12">
        <v>4.45</v>
      </c>
      <c r="G2302" s="11">
        <v>16051.0</v>
      </c>
      <c r="H2302" s="11">
        <v>3610.0</v>
      </c>
    </row>
    <row r="2303">
      <c r="A2303" s="10">
        <v>44671.0</v>
      </c>
      <c r="B2303" s="11">
        <v>3166.0</v>
      </c>
      <c r="C2303" s="12">
        <v>0.4942</v>
      </c>
      <c r="D2303" s="2">
        <v>0.002488425925925926</v>
      </c>
      <c r="E2303" s="12">
        <v>1.14</v>
      </c>
      <c r="F2303" s="12">
        <v>5.62</v>
      </c>
      <c r="G2303" s="11">
        <v>20217.0</v>
      </c>
      <c r="H2303" s="11">
        <v>3596.0</v>
      </c>
    </row>
    <row r="2304">
      <c r="A2304" s="10">
        <v>44672.0</v>
      </c>
      <c r="B2304" s="11">
        <v>3152.0</v>
      </c>
      <c r="C2304" s="12">
        <v>0.4269</v>
      </c>
      <c r="D2304" s="2">
        <v>0.0028587962962962963</v>
      </c>
      <c r="E2304" s="12">
        <v>1.15</v>
      </c>
      <c r="F2304" s="12">
        <v>5.59</v>
      </c>
      <c r="G2304" s="11">
        <v>20162.0</v>
      </c>
      <c r="H2304" s="11">
        <v>3610.0</v>
      </c>
    </row>
    <row r="2305">
      <c r="A2305" s="10">
        <v>44673.0</v>
      </c>
      <c r="B2305" s="11">
        <v>2624.0</v>
      </c>
      <c r="C2305" s="12">
        <v>0.4854</v>
      </c>
      <c r="D2305" s="2">
        <v>0.002349537037037037</v>
      </c>
      <c r="E2305" s="12">
        <v>1.08</v>
      </c>
      <c r="F2305" s="12">
        <v>4.51</v>
      </c>
      <c r="G2305" s="11">
        <v>12775.0</v>
      </c>
      <c r="H2305" s="11">
        <v>2833.0</v>
      </c>
    </row>
    <row r="2306">
      <c r="A2306" s="10">
        <v>44674.0</v>
      </c>
      <c r="B2306" s="11">
        <v>1666.0</v>
      </c>
      <c r="C2306" s="12">
        <v>0.4651</v>
      </c>
      <c r="D2306" s="2">
        <v>0.0011921296296296296</v>
      </c>
      <c r="E2306" s="12">
        <v>1.08</v>
      </c>
      <c r="F2306" s="12">
        <v>3.47</v>
      </c>
      <c r="G2306" s="11">
        <v>6221.0</v>
      </c>
      <c r="H2306" s="11">
        <v>1791.0</v>
      </c>
    </row>
    <row r="2307">
      <c r="A2307" s="10">
        <v>44675.0</v>
      </c>
      <c r="B2307" s="11">
        <v>1833.0</v>
      </c>
      <c r="C2307" s="12">
        <v>0.6124</v>
      </c>
      <c r="D2307" s="2">
        <v>0.0013194444444444445</v>
      </c>
      <c r="E2307" s="12">
        <v>1.11</v>
      </c>
      <c r="F2307" s="12">
        <v>2.71</v>
      </c>
      <c r="G2307" s="11">
        <v>5540.0</v>
      </c>
      <c r="H2307" s="11">
        <v>2041.0</v>
      </c>
    </row>
    <row r="2308">
      <c r="A2308" s="10">
        <v>44676.0</v>
      </c>
      <c r="B2308" s="11">
        <v>3166.0</v>
      </c>
      <c r="C2308" s="12">
        <v>0.4128</v>
      </c>
      <c r="D2308" s="2">
        <v>0.002199074074074074</v>
      </c>
      <c r="E2308" s="12">
        <v>1.08</v>
      </c>
      <c r="F2308" s="12">
        <v>5.38</v>
      </c>
      <c r="G2308" s="11">
        <v>18468.0</v>
      </c>
      <c r="H2308" s="11">
        <v>3430.0</v>
      </c>
    </row>
    <row r="2309">
      <c r="A2309" s="10">
        <v>44677.0</v>
      </c>
      <c r="B2309" s="11">
        <v>3083.0</v>
      </c>
      <c r="C2309" s="12">
        <v>0.5461</v>
      </c>
      <c r="D2309" s="2">
        <v>0.0021759259259259258</v>
      </c>
      <c r="E2309" s="12">
        <v>1.12</v>
      </c>
      <c r="F2309" s="12">
        <v>3.93</v>
      </c>
      <c r="G2309" s="11">
        <v>13580.0</v>
      </c>
      <c r="H2309" s="11">
        <v>3457.0</v>
      </c>
    </row>
    <row r="2310">
      <c r="A2310" s="10">
        <v>44678.0</v>
      </c>
      <c r="B2310" s="11">
        <v>3138.0</v>
      </c>
      <c r="C2310" s="12">
        <v>0.4707</v>
      </c>
      <c r="D2310" s="2">
        <v>0.0022337962962962962</v>
      </c>
      <c r="E2310" s="12">
        <v>1.14</v>
      </c>
      <c r="F2310" s="12">
        <v>4.73</v>
      </c>
      <c r="G2310" s="11">
        <v>16899.0</v>
      </c>
      <c r="H2310" s="11">
        <v>3569.0</v>
      </c>
    </row>
    <row r="2311">
      <c r="A2311" s="10">
        <v>44679.0</v>
      </c>
      <c r="B2311" s="11">
        <v>3110.0</v>
      </c>
      <c r="C2311" s="12">
        <v>0.438</v>
      </c>
      <c r="D2311" s="2">
        <v>0.0029861111111111113</v>
      </c>
      <c r="E2311" s="12">
        <v>1.11</v>
      </c>
      <c r="F2311" s="12">
        <v>5.63</v>
      </c>
      <c r="G2311" s="11">
        <v>19467.0</v>
      </c>
      <c r="H2311" s="11">
        <v>3457.0</v>
      </c>
    </row>
    <row r="2312">
      <c r="A2312" s="10">
        <v>44680.0</v>
      </c>
      <c r="B2312" s="11">
        <v>2597.0</v>
      </c>
      <c r="C2312" s="12">
        <v>0.4528</v>
      </c>
      <c r="D2312" s="2">
        <v>0.002384259259259259</v>
      </c>
      <c r="E2312" s="12">
        <v>1.13</v>
      </c>
      <c r="F2312" s="12">
        <v>5.65</v>
      </c>
      <c r="G2312" s="11">
        <v>16621.0</v>
      </c>
      <c r="H2312" s="11">
        <v>2944.0</v>
      </c>
    </row>
    <row r="2313">
      <c r="A2313" s="10">
        <v>44681.0</v>
      </c>
      <c r="B2313" s="11">
        <v>1694.0</v>
      </c>
      <c r="C2313" s="12">
        <v>0.4748</v>
      </c>
      <c r="D2313" s="2">
        <v>0.002372685185185185</v>
      </c>
      <c r="E2313" s="12">
        <v>1.12</v>
      </c>
      <c r="F2313" s="12">
        <v>4.02</v>
      </c>
      <c r="G2313" s="11">
        <v>7637.0</v>
      </c>
      <c r="H2313" s="11">
        <v>1902.0</v>
      </c>
    </row>
    <row r="2314">
      <c r="A2314" s="10">
        <v>44682.0</v>
      </c>
      <c r="B2314" s="11">
        <v>1597.0</v>
      </c>
      <c r="C2314" s="12">
        <v>0.5434</v>
      </c>
      <c r="D2314" s="2">
        <v>0.0014930555555555556</v>
      </c>
      <c r="E2314" s="12">
        <v>1.1</v>
      </c>
      <c r="F2314" s="12">
        <v>4.69</v>
      </c>
      <c r="G2314" s="11">
        <v>8276.0</v>
      </c>
      <c r="H2314" s="11">
        <v>1763.0</v>
      </c>
    </row>
    <row r="2315">
      <c r="A2315" s="10">
        <v>44683.0</v>
      </c>
      <c r="B2315" s="11">
        <v>2652.0</v>
      </c>
      <c r="C2315" s="12">
        <v>0.5204</v>
      </c>
      <c r="D2315" s="2">
        <v>0.001863425925925926</v>
      </c>
      <c r="E2315" s="12">
        <v>1.16</v>
      </c>
      <c r="F2315" s="12">
        <v>4.28</v>
      </c>
      <c r="G2315" s="11">
        <v>13136.0</v>
      </c>
      <c r="H2315" s="11">
        <v>3069.0</v>
      </c>
    </row>
    <row r="2316">
      <c r="A2316" s="10">
        <v>44684.0</v>
      </c>
      <c r="B2316" s="11">
        <v>2916.0</v>
      </c>
      <c r="C2316" s="12">
        <v>0.3601</v>
      </c>
      <c r="D2316" s="2">
        <v>0.0022453703703703702</v>
      </c>
      <c r="E2316" s="12">
        <v>1.12</v>
      </c>
      <c r="F2316" s="12">
        <v>4.78</v>
      </c>
      <c r="G2316" s="11">
        <v>15677.0</v>
      </c>
      <c r="H2316" s="11">
        <v>3277.0</v>
      </c>
    </row>
    <row r="2317">
      <c r="A2317" s="10">
        <v>44685.0</v>
      </c>
      <c r="B2317" s="11">
        <v>3013.0</v>
      </c>
      <c r="C2317" s="12">
        <v>0.4702</v>
      </c>
      <c r="D2317" s="2">
        <v>0.002476851851851852</v>
      </c>
      <c r="E2317" s="12">
        <v>1.09</v>
      </c>
      <c r="F2317" s="12">
        <v>4.31</v>
      </c>
      <c r="G2317" s="11">
        <v>14108.0</v>
      </c>
      <c r="H2317" s="11">
        <v>3277.0</v>
      </c>
    </row>
    <row r="2318">
      <c r="A2318" s="10">
        <v>44686.0</v>
      </c>
      <c r="B2318" s="11">
        <v>2971.0</v>
      </c>
      <c r="C2318" s="12">
        <v>0.4396</v>
      </c>
      <c r="D2318" s="2">
        <v>0.002337962962962963</v>
      </c>
      <c r="E2318" s="12">
        <v>1.16</v>
      </c>
      <c r="F2318" s="12">
        <v>4.62</v>
      </c>
      <c r="G2318" s="11">
        <v>15927.0</v>
      </c>
      <c r="H2318" s="11">
        <v>3444.0</v>
      </c>
    </row>
    <row r="2319">
      <c r="A2319" s="10">
        <v>44687.0</v>
      </c>
      <c r="B2319" s="11">
        <v>3999.0</v>
      </c>
      <c r="C2319" s="12">
        <v>0.6194</v>
      </c>
      <c r="D2319" s="2">
        <v>0.0016435185185185185</v>
      </c>
      <c r="E2319" s="12">
        <v>1.08</v>
      </c>
      <c r="F2319" s="12">
        <v>4.29</v>
      </c>
      <c r="G2319" s="11">
        <v>18468.0</v>
      </c>
      <c r="H2319" s="11">
        <v>4304.0</v>
      </c>
    </row>
    <row r="2320">
      <c r="A2320" s="10">
        <v>44688.0</v>
      </c>
      <c r="B2320" s="11">
        <v>3332.0</v>
      </c>
      <c r="C2320" s="12">
        <v>0.7337</v>
      </c>
      <c r="D2320" s="2">
        <v>0.0012152777777777778</v>
      </c>
      <c r="E2320" s="12">
        <v>1.03</v>
      </c>
      <c r="F2320" s="12">
        <v>3.01</v>
      </c>
      <c r="G2320" s="11">
        <v>10372.0</v>
      </c>
      <c r="H2320" s="11">
        <v>3444.0</v>
      </c>
    </row>
    <row r="2321">
      <c r="A2321" s="10">
        <v>44689.0</v>
      </c>
      <c r="B2321" s="11">
        <v>2013.0</v>
      </c>
      <c r="C2321" s="12">
        <v>0.562</v>
      </c>
      <c r="D2321" s="2">
        <v>0.0020717592592592593</v>
      </c>
      <c r="E2321" s="12">
        <v>1.12</v>
      </c>
      <c r="F2321" s="12">
        <v>4.23</v>
      </c>
      <c r="G2321" s="11">
        <v>9511.0</v>
      </c>
      <c r="H2321" s="11">
        <v>2249.0</v>
      </c>
    </row>
    <row r="2322">
      <c r="A2322" s="10">
        <v>44690.0</v>
      </c>
      <c r="B2322" s="11">
        <v>3027.0</v>
      </c>
      <c r="C2322" s="12">
        <v>0.4564</v>
      </c>
      <c r="D2322" s="2">
        <v>0.0019328703703703704</v>
      </c>
      <c r="E2322" s="12">
        <v>1.11</v>
      </c>
      <c r="F2322" s="12">
        <v>4.61</v>
      </c>
      <c r="G2322" s="11">
        <v>15413.0</v>
      </c>
      <c r="H2322" s="11">
        <v>3346.0</v>
      </c>
    </row>
    <row r="2323">
      <c r="A2323" s="10">
        <v>44691.0</v>
      </c>
      <c r="B2323" s="11">
        <v>3388.0</v>
      </c>
      <c r="C2323" s="12">
        <v>0.4472</v>
      </c>
      <c r="D2323" s="2">
        <v>0.002361111111111111</v>
      </c>
      <c r="E2323" s="12">
        <v>1.09</v>
      </c>
      <c r="F2323" s="12">
        <v>5.36</v>
      </c>
      <c r="G2323" s="11">
        <v>19801.0</v>
      </c>
      <c r="H2323" s="11">
        <v>3694.0</v>
      </c>
    </row>
    <row r="2324">
      <c r="A2324" s="10">
        <v>44692.0</v>
      </c>
      <c r="B2324" s="11">
        <v>3832.0</v>
      </c>
      <c r="C2324" s="12">
        <v>0.5276</v>
      </c>
      <c r="D2324" s="2">
        <v>0.0021643518518518518</v>
      </c>
      <c r="E2324" s="12">
        <v>1.11</v>
      </c>
      <c r="F2324" s="12">
        <v>4.54</v>
      </c>
      <c r="G2324" s="11">
        <v>19370.0</v>
      </c>
      <c r="H2324" s="11">
        <v>4263.0</v>
      </c>
    </row>
    <row r="2325">
      <c r="A2325" s="10">
        <v>44693.0</v>
      </c>
      <c r="B2325" s="11">
        <v>3818.0</v>
      </c>
      <c r="C2325" s="12">
        <v>0.5472</v>
      </c>
      <c r="D2325" s="2">
        <v>0.0019212962962962964</v>
      </c>
      <c r="E2325" s="12">
        <v>1.08</v>
      </c>
      <c r="F2325" s="12">
        <v>3.96</v>
      </c>
      <c r="G2325" s="11">
        <v>16288.0</v>
      </c>
      <c r="H2325" s="11">
        <v>4110.0</v>
      </c>
    </row>
    <row r="2326">
      <c r="A2326" s="10">
        <v>44694.0</v>
      </c>
      <c r="B2326" s="11">
        <v>3249.0</v>
      </c>
      <c r="C2326" s="12">
        <v>0.5632</v>
      </c>
      <c r="D2326" s="2">
        <v>0.0017592592592592592</v>
      </c>
      <c r="E2326" s="12">
        <v>1.05</v>
      </c>
      <c r="F2326" s="12">
        <v>4.37</v>
      </c>
      <c r="G2326" s="11">
        <v>14871.0</v>
      </c>
      <c r="H2326" s="11">
        <v>3402.0</v>
      </c>
    </row>
    <row r="2327">
      <c r="A2327" s="10">
        <v>44695.0</v>
      </c>
      <c r="B2327" s="11">
        <v>2597.0</v>
      </c>
      <c r="C2327" s="12">
        <v>0.6431</v>
      </c>
      <c r="D2327" s="2">
        <v>0.0013078703703703703</v>
      </c>
      <c r="E2327" s="12">
        <v>1.06</v>
      </c>
      <c r="F2327" s="12">
        <v>3.13</v>
      </c>
      <c r="G2327" s="11">
        <v>8651.0</v>
      </c>
      <c r="H2327" s="11">
        <v>2763.0</v>
      </c>
    </row>
    <row r="2328">
      <c r="A2328" s="10">
        <v>44696.0</v>
      </c>
      <c r="B2328" s="11">
        <v>2513.0</v>
      </c>
      <c r="C2328" s="12">
        <v>0.6411</v>
      </c>
      <c r="D2328" s="2">
        <v>0.0013078703703703703</v>
      </c>
      <c r="E2328" s="12">
        <v>1.08</v>
      </c>
      <c r="F2328" s="12">
        <v>3.82</v>
      </c>
      <c r="G2328" s="11">
        <v>10358.0</v>
      </c>
      <c r="H2328" s="11">
        <v>2708.0</v>
      </c>
    </row>
    <row r="2329">
      <c r="A2329" s="10">
        <v>44697.0</v>
      </c>
      <c r="B2329" s="11">
        <v>3027.0</v>
      </c>
      <c r="C2329" s="12">
        <v>0.4714</v>
      </c>
      <c r="D2329" s="2">
        <v>0.0017476851851851852</v>
      </c>
      <c r="E2329" s="12">
        <v>1.12</v>
      </c>
      <c r="F2329" s="12">
        <v>4.07</v>
      </c>
      <c r="G2329" s="11">
        <v>13788.0</v>
      </c>
      <c r="H2329" s="11">
        <v>3388.0</v>
      </c>
    </row>
    <row r="2330">
      <c r="A2330" s="10">
        <v>44698.0</v>
      </c>
      <c r="B2330" s="11">
        <v>3069.0</v>
      </c>
      <c r="C2330" s="12">
        <v>0.4939</v>
      </c>
      <c r="D2330" s="2">
        <v>0.0032291666666666666</v>
      </c>
      <c r="E2330" s="12">
        <v>1.12</v>
      </c>
      <c r="F2330" s="12">
        <v>5.38</v>
      </c>
      <c r="G2330" s="11">
        <v>18440.0</v>
      </c>
      <c r="H2330" s="11">
        <v>3430.0</v>
      </c>
    </row>
    <row r="2331">
      <c r="A2331" s="10">
        <v>44699.0</v>
      </c>
      <c r="B2331" s="11">
        <v>2916.0</v>
      </c>
      <c r="C2331" s="12">
        <v>0.464</v>
      </c>
      <c r="D2331" s="2">
        <v>0.0018402777777777777</v>
      </c>
      <c r="E2331" s="12">
        <v>1.12</v>
      </c>
      <c r="F2331" s="12">
        <v>4.85</v>
      </c>
      <c r="G2331" s="11">
        <v>15829.0</v>
      </c>
      <c r="H2331" s="11">
        <v>3263.0</v>
      </c>
    </row>
    <row r="2332">
      <c r="A2332" s="10">
        <v>44700.0</v>
      </c>
      <c r="B2332" s="11">
        <v>3346.0</v>
      </c>
      <c r="C2332" s="12">
        <v>0.4233</v>
      </c>
      <c r="D2332" s="2">
        <v>0.0030555555555555557</v>
      </c>
      <c r="E2332" s="12">
        <v>1.11</v>
      </c>
      <c r="F2332" s="12">
        <v>5.62</v>
      </c>
      <c r="G2332" s="11">
        <v>20828.0</v>
      </c>
      <c r="H2332" s="11">
        <v>3707.0</v>
      </c>
    </row>
    <row r="2333">
      <c r="A2333" s="10">
        <v>44701.0</v>
      </c>
      <c r="B2333" s="11">
        <v>2541.0</v>
      </c>
      <c r="C2333" s="12">
        <v>0.44</v>
      </c>
      <c r="D2333" s="2">
        <v>0.002916666666666667</v>
      </c>
      <c r="E2333" s="12">
        <v>1.14</v>
      </c>
      <c r="F2333" s="12">
        <v>6.52</v>
      </c>
      <c r="G2333" s="11">
        <v>18926.0</v>
      </c>
      <c r="H2333" s="11">
        <v>2902.0</v>
      </c>
    </row>
    <row r="2334">
      <c r="A2334" s="10">
        <v>44702.0</v>
      </c>
      <c r="B2334" s="11">
        <v>1875.0</v>
      </c>
      <c r="C2334" s="12">
        <v>0.5474</v>
      </c>
      <c r="D2334" s="2">
        <v>0.0016435185185185185</v>
      </c>
      <c r="E2334" s="12">
        <v>1.1</v>
      </c>
      <c r="F2334" s="12">
        <v>4.38</v>
      </c>
      <c r="G2334" s="11">
        <v>8998.0</v>
      </c>
      <c r="H2334" s="11">
        <v>2055.0</v>
      </c>
    </row>
    <row r="2335">
      <c r="A2335" s="10">
        <v>44703.0</v>
      </c>
      <c r="B2335" s="11">
        <v>1986.0</v>
      </c>
      <c r="C2335" s="12">
        <v>0.4517</v>
      </c>
      <c r="D2335" s="2">
        <v>0.001851851851851852</v>
      </c>
      <c r="E2335" s="12">
        <v>1.08</v>
      </c>
      <c r="F2335" s="12">
        <v>4.98</v>
      </c>
      <c r="G2335" s="11">
        <v>10720.0</v>
      </c>
      <c r="H2335" s="11">
        <v>2152.0</v>
      </c>
    </row>
    <row r="2336">
      <c r="A2336" s="10">
        <v>44704.0</v>
      </c>
      <c r="B2336" s="11">
        <v>3138.0</v>
      </c>
      <c r="C2336" s="12">
        <v>0.5082</v>
      </c>
      <c r="D2336" s="2">
        <v>0.0014467592592592592</v>
      </c>
      <c r="E2336" s="12">
        <v>1.09</v>
      </c>
      <c r="F2336" s="12">
        <v>4.16</v>
      </c>
      <c r="G2336" s="11">
        <v>14205.0</v>
      </c>
      <c r="H2336" s="11">
        <v>3416.0</v>
      </c>
    </row>
    <row r="2337">
      <c r="A2337" s="10">
        <v>44705.0</v>
      </c>
      <c r="B2337" s="11">
        <v>3027.0</v>
      </c>
      <c r="C2337" s="12">
        <v>0.4332</v>
      </c>
      <c r="D2337" s="2">
        <v>0.002395833333333333</v>
      </c>
      <c r="E2337" s="12">
        <v>1.13</v>
      </c>
      <c r="F2337" s="12">
        <v>5.44</v>
      </c>
      <c r="G2337" s="11">
        <v>18676.0</v>
      </c>
      <c r="H2337" s="11">
        <v>3430.0</v>
      </c>
    </row>
    <row r="2338">
      <c r="A2338" s="10">
        <v>44706.0</v>
      </c>
      <c r="B2338" s="11">
        <v>3277.0</v>
      </c>
      <c r="C2338" s="12">
        <v>0.4576</v>
      </c>
      <c r="D2338" s="2">
        <v>0.0019328703703703704</v>
      </c>
      <c r="E2338" s="12">
        <v>1.1</v>
      </c>
      <c r="F2338" s="12">
        <v>4.5</v>
      </c>
      <c r="G2338" s="11">
        <v>16260.0</v>
      </c>
      <c r="H2338" s="11">
        <v>3610.0</v>
      </c>
    </row>
    <row r="2339">
      <c r="A2339" s="10">
        <v>44707.0</v>
      </c>
      <c r="B2339" s="11">
        <v>3055.0</v>
      </c>
      <c r="C2339" s="12">
        <v>0.4548</v>
      </c>
      <c r="D2339" s="2">
        <v>0.0022685185185185187</v>
      </c>
      <c r="E2339" s="12">
        <v>1.11</v>
      </c>
      <c r="F2339" s="12">
        <v>4.98</v>
      </c>
      <c r="G2339" s="11">
        <v>16857.0</v>
      </c>
      <c r="H2339" s="11">
        <v>3388.0</v>
      </c>
    </row>
    <row r="2340">
      <c r="A2340" s="10">
        <v>44708.0</v>
      </c>
      <c r="B2340" s="11">
        <v>2444.0</v>
      </c>
      <c r="C2340" s="12">
        <v>0.4951</v>
      </c>
      <c r="D2340" s="2">
        <v>0.0022222222222222222</v>
      </c>
      <c r="E2340" s="12">
        <v>1.12</v>
      </c>
      <c r="F2340" s="12">
        <v>5.77</v>
      </c>
      <c r="G2340" s="11">
        <v>15871.0</v>
      </c>
      <c r="H2340" s="11">
        <v>2749.0</v>
      </c>
    </row>
    <row r="2341">
      <c r="A2341" s="10">
        <v>44709.0</v>
      </c>
      <c r="B2341" s="11">
        <v>1694.0</v>
      </c>
      <c r="C2341" s="12">
        <v>0.6155</v>
      </c>
      <c r="D2341" s="2">
        <v>0.0014930555555555556</v>
      </c>
      <c r="E2341" s="12">
        <v>1.07</v>
      </c>
      <c r="F2341" s="12">
        <v>3.15</v>
      </c>
      <c r="G2341" s="11">
        <v>5679.0</v>
      </c>
      <c r="H2341" s="11">
        <v>1805.0</v>
      </c>
    </row>
    <row r="2342">
      <c r="A2342" s="10">
        <v>44710.0</v>
      </c>
      <c r="B2342" s="11">
        <v>1833.0</v>
      </c>
      <c r="C2342" s="12">
        <v>0.5787</v>
      </c>
      <c r="D2342" s="2">
        <v>0.002384259259259259</v>
      </c>
      <c r="E2342" s="12">
        <v>1.06</v>
      </c>
      <c r="F2342" s="12">
        <v>6.0</v>
      </c>
      <c r="G2342" s="11">
        <v>11664.0</v>
      </c>
      <c r="H2342" s="11">
        <v>1944.0</v>
      </c>
    </row>
    <row r="2343">
      <c r="A2343" s="10">
        <v>44711.0</v>
      </c>
      <c r="B2343" s="11">
        <v>2333.0</v>
      </c>
      <c r="C2343" s="12">
        <v>0.5416</v>
      </c>
      <c r="D2343" s="2">
        <v>0.001574074074074074</v>
      </c>
      <c r="E2343" s="12">
        <v>1.08</v>
      </c>
      <c r="F2343" s="12">
        <v>3.65</v>
      </c>
      <c r="G2343" s="11">
        <v>9164.0</v>
      </c>
      <c r="H2343" s="11">
        <v>2513.0</v>
      </c>
    </row>
    <row r="2344">
      <c r="A2344" s="10">
        <v>44712.0</v>
      </c>
      <c r="B2344" s="11">
        <v>2958.0</v>
      </c>
      <c r="C2344" s="12">
        <v>0.4958</v>
      </c>
      <c r="D2344" s="2">
        <v>0.002025462962962963</v>
      </c>
      <c r="E2344" s="12">
        <v>1.1</v>
      </c>
      <c r="F2344" s="12">
        <v>4.85</v>
      </c>
      <c r="G2344" s="11">
        <v>15760.0</v>
      </c>
      <c r="H2344" s="11">
        <v>3249.0</v>
      </c>
    </row>
    <row r="2345">
      <c r="A2345" s="10">
        <v>44713.0</v>
      </c>
      <c r="B2345" s="11">
        <v>2916.0</v>
      </c>
      <c r="C2345" s="12">
        <v>0.5042</v>
      </c>
      <c r="D2345" s="2">
        <v>0.0017824074074074075</v>
      </c>
      <c r="E2345" s="12">
        <v>1.14</v>
      </c>
      <c r="F2345" s="12">
        <v>4.22</v>
      </c>
      <c r="G2345" s="11">
        <v>14066.0</v>
      </c>
      <c r="H2345" s="11">
        <v>3332.0</v>
      </c>
    </row>
    <row r="2346">
      <c r="A2346" s="10">
        <v>44714.0</v>
      </c>
      <c r="B2346" s="11">
        <v>2874.0</v>
      </c>
      <c r="C2346" s="12">
        <v>0.4915</v>
      </c>
      <c r="D2346" s="2">
        <v>0.0021412037037037038</v>
      </c>
      <c r="E2346" s="12">
        <v>1.12</v>
      </c>
      <c r="F2346" s="12">
        <v>5.23</v>
      </c>
      <c r="G2346" s="11">
        <v>16857.0</v>
      </c>
      <c r="H2346" s="11">
        <v>3221.0</v>
      </c>
    </row>
    <row r="2347">
      <c r="A2347" s="10">
        <v>44715.0</v>
      </c>
      <c r="B2347" s="11">
        <v>2652.0</v>
      </c>
      <c r="C2347" s="12">
        <v>0.4141</v>
      </c>
      <c r="D2347" s="2">
        <v>0.0025</v>
      </c>
      <c r="E2347" s="12">
        <v>1.13</v>
      </c>
      <c r="F2347" s="12">
        <v>5.66</v>
      </c>
      <c r="G2347" s="11">
        <v>16885.0</v>
      </c>
      <c r="H2347" s="11">
        <v>2985.0</v>
      </c>
    </row>
    <row r="2348">
      <c r="A2348" s="10">
        <v>44716.0</v>
      </c>
      <c r="B2348" s="11">
        <v>1736.0</v>
      </c>
      <c r="C2348" s="12">
        <v>0.5184</v>
      </c>
      <c r="D2348" s="2">
        <v>0.001863425925925926</v>
      </c>
      <c r="E2348" s="12">
        <v>1.08</v>
      </c>
      <c r="F2348" s="12">
        <v>4.94</v>
      </c>
      <c r="G2348" s="11">
        <v>9262.0</v>
      </c>
      <c r="H2348" s="11">
        <v>1875.0</v>
      </c>
    </row>
    <row r="2349">
      <c r="A2349" s="10">
        <v>44717.0</v>
      </c>
      <c r="B2349" s="11">
        <v>1694.0</v>
      </c>
      <c r="C2349" s="12">
        <v>0.4421</v>
      </c>
      <c r="D2349" s="2">
        <v>0.002199074074074074</v>
      </c>
      <c r="E2349" s="12">
        <v>1.13</v>
      </c>
      <c r="F2349" s="12">
        <v>5.38</v>
      </c>
      <c r="G2349" s="11">
        <v>10303.0</v>
      </c>
      <c r="H2349" s="11">
        <v>1916.0</v>
      </c>
    </row>
    <row r="2350">
      <c r="A2350" s="10">
        <v>44718.0</v>
      </c>
      <c r="B2350" s="11">
        <v>3055.0</v>
      </c>
      <c r="C2350" s="12">
        <v>0.4051</v>
      </c>
      <c r="D2350" s="2">
        <v>0.0025810185185185185</v>
      </c>
      <c r="E2350" s="12">
        <v>1.1</v>
      </c>
      <c r="F2350" s="12">
        <v>5.63</v>
      </c>
      <c r="G2350" s="11">
        <v>18912.0</v>
      </c>
      <c r="H2350" s="11">
        <v>3360.0</v>
      </c>
    </row>
    <row r="2351">
      <c r="A2351" s="10">
        <v>44719.0</v>
      </c>
      <c r="B2351" s="11">
        <v>3402.0</v>
      </c>
      <c r="C2351" s="12">
        <v>0.5127</v>
      </c>
      <c r="D2351" s="2">
        <v>0.0021759259259259258</v>
      </c>
      <c r="E2351" s="12">
        <v>1.13</v>
      </c>
      <c r="F2351" s="12">
        <v>4.35</v>
      </c>
      <c r="G2351" s="11">
        <v>16732.0</v>
      </c>
      <c r="H2351" s="11">
        <v>3846.0</v>
      </c>
    </row>
    <row r="2352">
      <c r="A2352" s="10">
        <v>44720.0</v>
      </c>
      <c r="B2352" s="11">
        <v>3471.0</v>
      </c>
      <c r="C2352" s="12">
        <v>0.5338</v>
      </c>
      <c r="D2352" s="2">
        <v>0.0014930555555555556</v>
      </c>
      <c r="E2352" s="12">
        <v>1.06</v>
      </c>
      <c r="F2352" s="12">
        <v>4.13</v>
      </c>
      <c r="G2352" s="11">
        <v>15246.0</v>
      </c>
      <c r="H2352" s="11">
        <v>3694.0</v>
      </c>
    </row>
    <row r="2353">
      <c r="A2353" s="10">
        <v>44721.0</v>
      </c>
      <c r="B2353" s="11">
        <v>3305.0</v>
      </c>
      <c r="C2353" s="12">
        <v>0.4514</v>
      </c>
      <c r="D2353" s="2">
        <v>0.0023263888888888887</v>
      </c>
      <c r="E2353" s="12">
        <v>1.21</v>
      </c>
      <c r="F2353" s="12">
        <v>4.98</v>
      </c>
      <c r="G2353" s="11">
        <v>19898.0</v>
      </c>
      <c r="H2353" s="11">
        <v>3999.0</v>
      </c>
    </row>
    <row r="2354">
      <c r="A2354" s="10">
        <v>44722.0</v>
      </c>
      <c r="B2354" s="11">
        <v>2791.0</v>
      </c>
      <c r="C2354" s="12">
        <v>0.4051</v>
      </c>
      <c r="D2354" s="2">
        <v>0.0030208333333333333</v>
      </c>
      <c r="E2354" s="12">
        <v>1.13</v>
      </c>
      <c r="F2354" s="12">
        <v>6.02</v>
      </c>
      <c r="G2354" s="11">
        <v>18967.0</v>
      </c>
      <c r="H2354" s="11">
        <v>3152.0</v>
      </c>
    </row>
    <row r="2355">
      <c r="A2355" s="10">
        <v>44723.0</v>
      </c>
      <c r="B2355" s="11">
        <v>1652.0</v>
      </c>
      <c r="C2355" s="12">
        <v>0.4963</v>
      </c>
      <c r="D2355" s="2">
        <v>0.0017939814814814815</v>
      </c>
      <c r="E2355" s="12">
        <v>1.07</v>
      </c>
      <c r="F2355" s="12">
        <v>5.77</v>
      </c>
      <c r="G2355" s="11">
        <v>10164.0</v>
      </c>
      <c r="H2355" s="11">
        <v>1763.0</v>
      </c>
    </row>
    <row r="2356">
      <c r="A2356" s="10">
        <v>44724.0</v>
      </c>
      <c r="B2356" s="11">
        <v>1722.0</v>
      </c>
      <c r="C2356" s="12">
        <v>0.5035</v>
      </c>
      <c r="D2356" s="2">
        <v>0.0020601851851851853</v>
      </c>
      <c r="E2356" s="12">
        <v>1.09</v>
      </c>
      <c r="F2356" s="12">
        <v>4.53</v>
      </c>
      <c r="G2356" s="11">
        <v>8498.0</v>
      </c>
      <c r="H2356" s="11">
        <v>1875.0</v>
      </c>
    </row>
    <row r="2357">
      <c r="A2357" s="10">
        <v>44725.0</v>
      </c>
      <c r="B2357" s="11">
        <v>2958.0</v>
      </c>
      <c r="C2357" s="12">
        <v>0.4401</v>
      </c>
      <c r="D2357" s="2">
        <v>0.0019097222222222222</v>
      </c>
      <c r="E2357" s="12">
        <v>1.1</v>
      </c>
      <c r="F2357" s="12">
        <v>4.41</v>
      </c>
      <c r="G2357" s="11">
        <v>14330.0</v>
      </c>
      <c r="H2357" s="11">
        <v>3249.0</v>
      </c>
    </row>
    <row r="2358">
      <c r="A2358" s="10">
        <v>44726.0</v>
      </c>
      <c r="B2358" s="11">
        <v>3013.0</v>
      </c>
      <c r="C2358" s="12">
        <v>0.4872</v>
      </c>
      <c r="D2358" s="2">
        <v>0.0022800925925925927</v>
      </c>
      <c r="E2358" s="12">
        <v>1.08</v>
      </c>
      <c r="F2358" s="12">
        <v>4.6</v>
      </c>
      <c r="G2358" s="11">
        <v>14941.0</v>
      </c>
      <c r="H2358" s="11">
        <v>3249.0</v>
      </c>
    </row>
    <row r="2359">
      <c r="A2359" s="10">
        <v>44727.0</v>
      </c>
      <c r="B2359" s="11">
        <v>3138.0</v>
      </c>
      <c r="C2359" s="12">
        <v>0.4017</v>
      </c>
      <c r="D2359" s="2">
        <v>0.0022916666666666667</v>
      </c>
      <c r="E2359" s="12">
        <v>1.08</v>
      </c>
      <c r="F2359" s="12">
        <v>5.62</v>
      </c>
      <c r="G2359" s="11">
        <v>19051.0</v>
      </c>
      <c r="H2359" s="11">
        <v>3388.0</v>
      </c>
    </row>
    <row r="2360">
      <c r="A2360" s="10">
        <v>44728.0</v>
      </c>
      <c r="B2360" s="11">
        <v>3013.0</v>
      </c>
      <c r="C2360" s="12">
        <v>0.4747</v>
      </c>
      <c r="D2360" s="2">
        <v>0.002476851851851852</v>
      </c>
      <c r="E2360" s="12">
        <v>1.1</v>
      </c>
      <c r="F2360" s="12">
        <v>5.73</v>
      </c>
      <c r="G2360" s="11">
        <v>18940.0</v>
      </c>
      <c r="H2360" s="11">
        <v>3305.0</v>
      </c>
    </row>
    <row r="2361">
      <c r="A2361" s="10">
        <v>44729.0</v>
      </c>
      <c r="B2361" s="11">
        <v>2555.0</v>
      </c>
      <c r="C2361" s="12">
        <v>0.4736</v>
      </c>
      <c r="D2361" s="2">
        <v>0.0024421296296296296</v>
      </c>
      <c r="E2361" s="12">
        <v>1.12</v>
      </c>
      <c r="F2361" s="12">
        <v>5.79</v>
      </c>
      <c r="G2361" s="11">
        <v>16649.0</v>
      </c>
      <c r="H2361" s="11">
        <v>2874.0</v>
      </c>
    </row>
    <row r="2362">
      <c r="A2362" s="10">
        <v>44730.0</v>
      </c>
      <c r="B2362" s="11">
        <v>1569.0</v>
      </c>
      <c r="C2362" s="12">
        <v>0.5205</v>
      </c>
      <c r="D2362" s="2">
        <v>0.0021412037037037038</v>
      </c>
      <c r="E2362" s="12">
        <v>1.09</v>
      </c>
      <c r="F2362" s="12">
        <v>5.24</v>
      </c>
      <c r="G2362" s="11">
        <v>8942.0</v>
      </c>
      <c r="H2362" s="11">
        <v>1708.0</v>
      </c>
    </row>
    <row r="2363">
      <c r="A2363" s="10">
        <v>44731.0</v>
      </c>
      <c r="B2363" s="11">
        <v>1680.0</v>
      </c>
      <c r="C2363" s="12">
        <v>0.5652</v>
      </c>
      <c r="D2363" s="2">
        <v>0.002013888888888889</v>
      </c>
      <c r="E2363" s="12">
        <v>1.14</v>
      </c>
      <c r="F2363" s="12">
        <v>4.12</v>
      </c>
      <c r="G2363" s="11">
        <v>7887.0</v>
      </c>
      <c r="H2363" s="11">
        <v>1916.0</v>
      </c>
    </row>
    <row r="2364">
      <c r="A2364" s="10">
        <v>44732.0</v>
      </c>
      <c r="B2364" s="11">
        <v>2416.0</v>
      </c>
      <c r="C2364" s="12">
        <v>0.5686</v>
      </c>
      <c r="D2364" s="2">
        <v>0.0015277777777777779</v>
      </c>
      <c r="E2364" s="12">
        <v>1.09</v>
      </c>
      <c r="F2364" s="12">
        <v>3.02</v>
      </c>
      <c r="G2364" s="11">
        <v>7956.0</v>
      </c>
      <c r="H2364" s="11">
        <v>2638.0</v>
      </c>
    </row>
    <row r="2365">
      <c r="A2365" s="10">
        <v>44733.0</v>
      </c>
      <c r="B2365" s="11">
        <v>3013.0</v>
      </c>
      <c r="C2365" s="12">
        <v>0.5171</v>
      </c>
      <c r="D2365" s="2">
        <v>0.0019212962962962964</v>
      </c>
      <c r="E2365" s="12">
        <v>1.08</v>
      </c>
      <c r="F2365" s="12">
        <v>4.74</v>
      </c>
      <c r="G2365" s="11">
        <v>15385.0</v>
      </c>
      <c r="H2365" s="11">
        <v>3249.0</v>
      </c>
    </row>
    <row r="2366">
      <c r="A2366" s="10">
        <v>44734.0</v>
      </c>
      <c r="B2366" s="11">
        <v>2805.0</v>
      </c>
      <c r="C2366" s="12">
        <v>0.4531</v>
      </c>
      <c r="D2366" s="2">
        <v>0.0021643518518518518</v>
      </c>
      <c r="E2366" s="12">
        <v>1.16</v>
      </c>
      <c r="F2366" s="12">
        <v>5.37</v>
      </c>
      <c r="G2366" s="11">
        <v>17454.0</v>
      </c>
      <c r="H2366" s="11">
        <v>3249.0</v>
      </c>
    </row>
    <row r="2367">
      <c r="A2367" s="10">
        <v>44735.0</v>
      </c>
      <c r="B2367" s="11">
        <v>2819.0</v>
      </c>
      <c r="C2367" s="12">
        <v>0.4278</v>
      </c>
      <c r="D2367" s="2">
        <v>0.0020486111111111113</v>
      </c>
      <c r="E2367" s="12">
        <v>1.16</v>
      </c>
      <c r="F2367" s="12">
        <v>5.33</v>
      </c>
      <c r="G2367" s="11">
        <v>17468.0</v>
      </c>
      <c r="H2367" s="11">
        <v>3277.0</v>
      </c>
    </row>
    <row r="2368">
      <c r="A2368" s="10">
        <v>44736.0</v>
      </c>
      <c r="B2368" s="11">
        <v>2485.0</v>
      </c>
      <c r="C2368" s="12">
        <v>0.4949</v>
      </c>
      <c r="D2368" s="2">
        <v>0.0020486111111111113</v>
      </c>
      <c r="E2368" s="12">
        <v>1.14</v>
      </c>
      <c r="F2368" s="12">
        <v>5.27</v>
      </c>
      <c r="G2368" s="11">
        <v>14927.0</v>
      </c>
      <c r="H2368" s="11">
        <v>2833.0</v>
      </c>
    </row>
    <row r="2369">
      <c r="A2369" s="10">
        <v>44737.0</v>
      </c>
      <c r="B2369" s="11">
        <v>1666.0</v>
      </c>
      <c r="C2369" s="12">
        <v>0.5202</v>
      </c>
      <c r="D2369" s="2">
        <v>0.0014583333333333334</v>
      </c>
      <c r="E2369" s="12">
        <v>1.04</v>
      </c>
      <c r="F2369" s="12">
        <v>3.76</v>
      </c>
      <c r="G2369" s="11">
        <v>6526.0</v>
      </c>
      <c r="H2369" s="11">
        <v>1736.0</v>
      </c>
    </row>
    <row r="2370">
      <c r="A2370" s="10">
        <v>44738.0</v>
      </c>
      <c r="B2370" s="11">
        <v>1750.0</v>
      </c>
      <c r="C2370" s="12">
        <v>0.4702</v>
      </c>
      <c r="D2370" s="2">
        <v>0.0021759259259259258</v>
      </c>
      <c r="E2370" s="12">
        <v>1.06</v>
      </c>
      <c r="F2370" s="12">
        <v>4.33</v>
      </c>
      <c r="G2370" s="11">
        <v>8054.0</v>
      </c>
      <c r="H2370" s="11">
        <v>1861.0</v>
      </c>
    </row>
    <row r="2371">
      <c r="A2371" s="10">
        <v>44739.0</v>
      </c>
      <c r="B2371" s="11">
        <v>2888.0</v>
      </c>
      <c r="C2371" s="12">
        <v>0.478</v>
      </c>
      <c r="D2371" s="2">
        <v>0.0021527777777777778</v>
      </c>
      <c r="E2371" s="12">
        <v>1.09</v>
      </c>
      <c r="F2371" s="12">
        <v>4.71</v>
      </c>
      <c r="G2371" s="11">
        <v>14774.0</v>
      </c>
      <c r="H2371" s="11">
        <v>3138.0</v>
      </c>
    </row>
    <row r="2372">
      <c r="A2372" s="10">
        <v>44740.0</v>
      </c>
      <c r="B2372" s="11">
        <v>2930.0</v>
      </c>
      <c r="C2372" s="12">
        <v>0.4507</v>
      </c>
      <c r="D2372" s="2">
        <v>0.0018402777777777777</v>
      </c>
      <c r="E2372" s="12">
        <v>1.1</v>
      </c>
      <c r="F2372" s="12">
        <v>5.0</v>
      </c>
      <c r="G2372" s="11">
        <v>16190.0</v>
      </c>
      <c r="H2372" s="11">
        <v>3235.0</v>
      </c>
    </row>
    <row r="2373">
      <c r="A2373" s="10">
        <v>44741.0</v>
      </c>
      <c r="B2373" s="11">
        <v>2888.0</v>
      </c>
      <c r="C2373" s="12">
        <v>0.4092</v>
      </c>
      <c r="D2373" s="2">
        <v>0.0021759259259259258</v>
      </c>
      <c r="E2373" s="12">
        <v>1.06</v>
      </c>
      <c r="F2373" s="12">
        <v>6.0</v>
      </c>
      <c r="G2373" s="11">
        <v>18343.0</v>
      </c>
      <c r="H2373" s="11">
        <v>3055.0</v>
      </c>
    </row>
    <row r="2374">
      <c r="A2374" s="10">
        <v>44742.0</v>
      </c>
      <c r="B2374" s="11">
        <v>2722.0</v>
      </c>
      <c r="C2374" s="12">
        <v>0.4161</v>
      </c>
      <c r="D2374" s="2">
        <v>0.002800925925925926</v>
      </c>
      <c r="E2374" s="12">
        <v>1.13</v>
      </c>
      <c r="F2374" s="12">
        <v>5.9</v>
      </c>
      <c r="G2374" s="11">
        <v>18107.0</v>
      </c>
      <c r="H2374" s="11">
        <v>3069.0</v>
      </c>
    </row>
    <row r="2375">
      <c r="A2375" s="10">
        <v>44743.0</v>
      </c>
      <c r="B2375" s="11">
        <v>2430.0</v>
      </c>
      <c r="C2375" s="12">
        <v>0.5189</v>
      </c>
      <c r="D2375" s="2">
        <v>0.0021643518518518518</v>
      </c>
      <c r="E2375" s="12">
        <v>1.06</v>
      </c>
      <c r="F2375" s="12">
        <v>4.94</v>
      </c>
      <c r="G2375" s="11">
        <v>12691.0</v>
      </c>
      <c r="H2375" s="11">
        <v>2569.0</v>
      </c>
    </row>
    <row r="2376">
      <c r="A2376" s="10">
        <v>44744.0</v>
      </c>
      <c r="B2376" s="11">
        <v>1722.0</v>
      </c>
      <c r="C2376" s="12">
        <v>0.5222</v>
      </c>
      <c r="D2376" s="2">
        <v>0.0016550925925925926</v>
      </c>
      <c r="E2376" s="12">
        <v>1.1</v>
      </c>
      <c r="F2376" s="12">
        <v>4.37</v>
      </c>
      <c r="G2376" s="11">
        <v>8248.0</v>
      </c>
      <c r="H2376" s="11">
        <v>1888.0</v>
      </c>
    </row>
    <row r="2377">
      <c r="A2377" s="10">
        <v>44745.0</v>
      </c>
      <c r="B2377" s="11">
        <v>1861.0</v>
      </c>
      <c r="C2377" s="12">
        <v>0.5973</v>
      </c>
      <c r="D2377" s="2">
        <v>0.0019675925925925924</v>
      </c>
      <c r="E2377" s="12">
        <v>1.07</v>
      </c>
      <c r="F2377" s="12">
        <v>4.38</v>
      </c>
      <c r="G2377" s="11">
        <v>8762.0</v>
      </c>
      <c r="H2377" s="11">
        <v>1999.0</v>
      </c>
    </row>
    <row r="2378">
      <c r="A2378" s="10">
        <v>44746.0</v>
      </c>
      <c r="B2378" s="11">
        <v>2124.0</v>
      </c>
      <c r="C2378" s="12">
        <v>0.6026</v>
      </c>
      <c r="D2378" s="2">
        <v>0.0010879629629629629</v>
      </c>
      <c r="E2378" s="12">
        <v>1.09</v>
      </c>
      <c r="F2378" s="12">
        <v>3.0</v>
      </c>
      <c r="G2378" s="11">
        <v>6915.0</v>
      </c>
      <c r="H2378" s="11">
        <v>2305.0</v>
      </c>
    </row>
    <row r="2379">
      <c r="A2379" s="10">
        <v>44747.0</v>
      </c>
      <c r="B2379" s="11">
        <v>2374.0</v>
      </c>
      <c r="C2379" s="12">
        <v>0.4838</v>
      </c>
      <c r="D2379" s="2">
        <v>0.0023263888888888887</v>
      </c>
      <c r="E2379" s="12">
        <v>1.08</v>
      </c>
      <c r="F2379" s="12">
        <v>4.35</v>
      </c>
      <c r="G2379" s="11">
        <v>11108.0</v>
      </c>
      <c r="H2379" s="11">
        <v>2555.0</v>
      </c>
    </row>
    <row r="2380">
      <c r="A2380" s="10">
        <v>44748.0</v>
      </c>
      <c r="B2380" s="11">
        <v>2999.0</v>
      </c>
      <c r="C2380" s="12">
        <v>0.4626</v>
      </c>
      <c r="D2380" s="2">
        <v>0.0024189814814814816</v>
      </c>
      <c r="E2380" s="12">
        <v>1.05</v>
      </c>
      <c r="F2380" s="12">
        <v>5.14</v>
      </c>
      <c r="G2380" s="11">
        <v>16190.0</v>
      </c>
      <c r="H2380" s="11">
        <v>3152.0</v>
      </c>
    </row>
    <row r="2381">
      <c r="A2381" s="10">
        <v>44749.0</v>
      </c>
      <c r="B2381" s="11">
        <v>2569.0</v>
      </c>
      <c r="C2381" s="12">
        <v>0.4188</v>
      </c>
      <c r="D2381" s="2">
        <v>0.0028587962962962963</v>
      </c>
      <c r="E2381" s="12">
        <v>1.16</v>
      </c>
      <c r="F2381" s="12">
        <v>5.65</v>
      </c>
      <c r="G2381" s="11">
        <v>16857.0</v>
      </c>
      <c r="H2381" s="11">
        <v>2985.0</v>
      </c>
    </row>
    <row r="2382">
      <c r="A2382" s="10">
        <v>44750.0</v>
      </c>
      <c r="B2382" s="11">
        <v>2249.0</v>
      </c>
      <c r="C2382" s="12">
        <v>0.4807</v>
      </c>
      <c r="D2382" s="2">
        <v>0.0022222222222222222</v>
      </c>
      <c r="E2382" s="12">
        <v>1.12</v>
      </c>
      <c r="F2382" s="12">
        <v>5.21</v>
      </c>
      <c r="G2382" s="11">
        <v>13094.0</v>
      </c>
      <c r="H2382" s="11">
        <v>2513.0</v>
      </c>
    </row>
    <row r="2383">
      <c r="A2383" s="10">
        <v>44751.0</v>
      </c>
      <c r="B2383" s="11">
        <v>1500.0</v>
      </c>
      <c r="C2383" s="12">
        <v>0.5297</v>
      </c>
      <c r="D2383" s="2">
        <v>0.002037037037037037</v>
      </c>
      <c r="E2383" s="12">
        <v>1.1</v>
      </c>
      <c r="F2383" s="12">
        <v>5.54</v>
      </c>
      <c r="G2383" s="11">
        <v>9150.0</v>
      </c>
      <c r="H2383" s="11">
        <v>1652.0</v>
      </c>
    </row>
    <row r="2384">
      <c r="A2384" s="10">
        <v>44752.0</v>
      </c>
      <c r="B2384" s="11">
        <v>1625.0</v>
      </c>
      <c r="C2384" s="12">
        <v>0.4334</v>
      </c>
      <c r="D2384" s="2">
        <v>0.0027199074074074074</v>
      </c>
      <c r="E2384" s="12">
        <v>1.08</v>
      </c>
      <c r="F2384" s="12">
        <v>5.84</v>
      </c>
      <c r="G2384" s="11">
        <v>10303.0</v>
      </c>
      <c r="H2384" s="11">
        <v>1763.0</v>
      </c>
    </row>
    <row r="2385">
      <c r="A2385" s="10">
        <v>44753.0</v>
      </c>
      <c r="B2385" s="11">
        <v>2791.0</v>
      </c>
      <c r="C2385" s="12">
        <v>0.4429</v>
      </c>
      <c r="D2385" s="2">
        <v>0.0018865740740740742</v>
      </c>
      <c r="E2385" s="12">
        <v>1.09</v>
      </c>
      <c r="F2385" s="12">
        <v>4.72</v>
      </c>
      <c r="G2385" s="11">
        <v>14357.0</v>
      </c>
      <c r="H2385" s="11">
        <v>3041.0</v>
      </c>
    </row>
    <row r="2386">
      <c r="A2386" s="10">
        <v>44754.0</v>
      </c>
      <c r="B2386" s="11">
        <v>2694.0</v>
      </c>
      <c r="C2386" s="12">
        <v>0.4404</v>
      </c>
      <c r="D2386" s="2">
        <v>0.002199074074074074</v>
      </c>
      <c r="E2386" s="12">
        <v>1.12</v>
      </c>
      <c r="F2386" s="12">
        <v>4.74</v>
      </c>
      <c r="G2386" s="11">
        <v>14357.0</v>
      </c>
      <c r="H2386" s="11">
        <v>3027.0</v>
      </c>
    </row>
    <row r="2387">
      <c r="A2387" s="10">
        <v>44755.0</v>
      </c>
      <c r="B2387" s="11">
        <v>2791.0</v>
      </c>
      <c r="C2387" s="12">
        <v>0.4568</v>
      </c>
      <c r="D2387" s="2">
        <v>0.0025</v>
      </c>
      <c r="E2387" s="12">
        <v>1.1</v>
      </c>
      <c r="F2387" s="12">
        <v>5.57</v>
      </c>
      <c r="G2387" s="11">
        <v>17093.0</v>
      </c>
      <c r="H2387" s="11">
        <v>3069.0</v>
      </c>
    </row>
    <row r="2388">
      <c r="A2388" s="10">
        <v>44756.0</v>
      </c>
      <c r="B2388" s="11">
        <v>2777.0</v>
      </c>
      <c r="C2388" s="12">
        <v>0.4066</v>
      </c>
      <c r="D2388" s="2">
        <v>0.002372685185185185</v>
      </c>
      <c r="E2388" s="12">
        <v>1.07</v>
      </c>
      <c r="F2388" s="12">
        <v>5.35</v>
      </c>
      <c r="G2388" s="11">
        <v>15899.0</v>
      </c>
      <c r="H2388" s="11">
        <v>2971.0</v>
      </c>
    </row>
    <row r="2389">
      <c r="A2389" s="10">
        <v>44757.0</v>
      </c>
      <c r="B2389" s="11">
        <v>2430.0</v>
      </c>
      <c r="C2389" s="12">
        <v>0.4062</v>
      </c>
      <c r="D2389" s="2">
        <v>0.001979166666666667</v>
      </c>
      <c r="E2389" s="12">
        <v>1.1</v>
      </c>
      <c r="F2389" s="12">
        <v>4.96</v>
      </c>
      <c r="G2389" s="11">
        <v>13233.0</v>
      </c>
      <c r="H2389" s="11">
        <v>2666.0</v>
      </c>
    </row>
    <row r="2390">
      <c r="A2390" s="10">
        <v>44758.0</v>
      </c>
      <c r="B2390" s="11">
        <v>1527.0</v>
      </c>
      <c r="C2390" s="12">
        <v>0.5336</v>
      </c>
      <c r="D2390" s="2">
        <v>0.0020949074074074073</v>
      </c>
      <c r="E2390" s="12">
        <v>1.09</v>
      </c>
      <c r="F2390" s="12">
        <v>4.43</v>
      </c>
      <c r="G2390" s="11">
        <v>7373.0</v>
      </c>
      <c r="H2390" s="11">
        <v>1666.0</v>
      </c>
    </row>
    <row r="2391">
      <c r="A2391" s="10">
        <v>44759.0</v>
      </c>
      <c r="B2391" s="11">
        <v>1597.0</v>
      </c>
      <c r="C2391" s="12">
        <v>0.4586</v>
      </c>
      <c r="D2391" s="2">
        <v>0.0022685185185185187</v>
      </c>
      <c r="E2391" s="12">
        <v>1.16</v>
      </c>
      <c r="F2391" s="12">
        <v>4.17</v>
      </c>
      <c r="G2391" s="11">
        <v>7706.0</v>
      </c>
      <c r="H2391" s="11">
        <v>1847.0</v>
      </c>
    </row>
    <row r="2392">
      <c r="A2392" s="10">
        <v>44760.0</v>
      </c>
      <c r="B2392" s="11">
        <v>2902.0</v>
      </c>
      <c r="C2392" s="12">
        <v>0.3704</v>
      </c>
      <c r="D2392" s="2">
        <v>0.0030439814814814813</v>
      </c>
      <c r="E2392" s="12">
        <v>1.07</v>
      </c>
      <c r="F2392" s="12">
        <v>5.55</v>
      </c>
      <c r="G2392" s="11">
        <v>17246.0</v>
      </c>
      <c r="H2392" s="11">
        <v>3110.0</v>
      </c>
    </row>
    <row r="2393">
      <c r="A2393" s="10">
        <v>44761.0</v>
      </c>
      <c r="B2393" s="11">
        <v>3110.0</v>
      </c>
      <c r="C2393" s="12">
        <v>0.3992</v>
      </c>
      <c r="D2393" s="2">
        <v>0.002384259259259259</v>
      </c>
      <c r="E2393" s="12">
        <v>1.11</v>
      </c>
      <c r="F2393" s="12">
        <v>5.74</v>
      </c>
      <c r="G2393" s="11">
        <v>19759.0</v>
      </c>
      <c r="H2393" s="11">
        <v>3444.0</v>
      </c>
    </row>
    <row r="2394">
      <c r="A2394" s="10">
        <v>44762.0</v>
      </c>
      <c r="B2394" s="11">
        <v>3055.0</v>
      </c>
      <c r="C2394" s="12">
        <v>0.4039</v>
      </c>
      <c r="D2394" s="2">
        <v>0.002523148148148148</v>
      </c>
      <c r="E2394" s="12">
        <v>1.14</v>
      </c>
      <c r="F2394" s="12">
        <v>4.58</v>
      </c>
      <c r="G2394" s="11">
        <v>15899.0</v>
      </c>
      <c r="H2394" s="11">
        <v>3471.0</v>
      </c>
    </row>
    <row r="2395">
      <c r="A2395" s="10">
        <v>44763.0</v>
      </c>
      <c r="B2395" s="11">
        <v>2958.0</v>
      </c>
      <c r="C2395" s="12">
        <v>0.4042</v>
      </c>
      <c r="D2395" s="2">
        <v>0.002685185185185185</v>
      </c>
      <c r="E2395" s="12">
        <v>1.1</v>
      </c>
      <c r="F2395" s="12">
        <v>5.4</v>
      </c>
      <c r="G2395" s="11">
        <v>17634.0</v>
      </c>
      <c r="H2395" s="11">
        <v>3263.0</v>
      </c>
    </row>
    <row r="2396">
      <c r="A2396" s="10">
        <v>44764.0</v>
      </c>
      <c r="B2396" s="11">
        <v>2513.0</v>
      </c>
      <c r="C2396" s="12">
        <v>0.4001</v>
      </c>
      <c r="D2396" s="2">
        <v>0.0025578703703703705</v>
      </c>
      <c r="E2396" s="12">
        <v>1.13</v>
      </c>
      <c r="F2396" s="12">
        <v>5.58</v>
      </c>
      <c r="G2396" s="11">
        <v>15885.0</v>
      </c>
      <c r="H2396" s="11">
        <v>2847.0</v>
      </c>
    </row>
    <row r="2397">
      <c r="A2397" s="10">
        <v>44765.0</v>
      </c>
      <c r="B2397" s="11">
        <v>1541.0</v>
      </c>
      <c r="C2397" s="12">
        <v>0.4708</v>
      </c>
      <c r="D2397" s="2">
        <v>0.0012268518518518518</v>
      </c>
      <c r="E2397" s="12">
        <v>1.09</v>
      </c>
      <c r="F2397" s="12">
        <v>3.54</v>
      </c>
      <c r="G2397" s="11">
        <v>5943.0</v>
      </c>
      <c r="H2397" s="11">
        <v>1680.0</v>
      </c>
    </row>
    <row r="2398">
      <c r="A2398" s="10">
        <v>44766.0</v>
      </c>
      <c r="B2398" s="11">
        <v>1777.0</v>
      </c>
      <c r="C2398" s="12">
        <v>0.4149</v>
      </c>
      <c r="D2398" s="2">
        <v>0.002002314814814815</v>
      </c>
      <c r="E2398" s="12">
        <v>1.06</v>
      </c>
      <c r="F2398" s="12">
        <v>5.3</v>
      </c>
      <c r="G2398" s="11">
        <v>9942.0</v>
      </c>
      <c r="H2398" s="11">
        <v>1875.0</v>
      </c>
    </row>
    <row r="2399">
      <c r="A2399" s="10">
        <v>44767.0</v>
      </c>
      <c r="B2399" s="11">
        <v>2819.0</v>
      </c>
      <c r="C2399" s="12">
        <v>0.4688</v>
      </c>
      <c r="D2399" s="2">
        <v>0.0028472222222222223</v>
      </c>
      <c r="E2399" s="12">
        <v>1.1</v>
      </c>
      <c r="F2399" s="12">
        <v>6.79</v>
      </c>
      <c r="G2399" s="11">
        <v>21106.0</v>
      </c>
      <c r="H2399" s="11">
        <v>3110.0</v>
      </c>
    </row>
    <row r="2400">
      <c r="A2400" s="10">
        <v>44768.0</v>
      </c>
      <c r="B2400" s="11">
        <v>2944.0</v>
      </c>
      <c r="C2400" s="12">
        <v>0.4092</v>
      </c>
      <c r="D2400" s="2">
        <v>0.002650462962962963</v>
      </c>
      <c r="E2400" s="12">
        <v>1.14</v>
      </c>
      <c r="F2400" s="12">
        <v>5.72</v>
      </c>
      <c r="G2400" s="11">
        <v>19231.0</v>
      </c>
      <c r="H2400" s="11">
        <v>3360.0</v>
      </c>
    </row>
    <row r="2401">
      <c r="A2401" s="10">
        <v>44769.0</v>
      </c>
      <c r="B2401" s="11">
        <v>3235.0</v>
      </c>
      <c r="C2401" s="12">
        <v>0.4259</v>
      </c>
      <c r="D2401" s="2">
        <v>0.0025810185185185185</v>
      </c>
      <c r="E2401" s="12">
        <v>1.1</v>
      </c>
      <c r="F2401" s="12">
        <v>5.67</v>
      </c>
      <c r="G2401" s="11">
        <v>20162.0</v>
      </c>
      <c r="H2401" s="11">
        <v>3555.0</v>
      </c>
    </row>
    <row r="2402">
      <c r="A2402" s="10">
        <v>44770.0</v>
      </c>
      <c r="B2402" s="11">
        <v>2819.0</v>
      </c>
      <c r="C2402" s="12">
        <v>0.4104</v>
      </c>
      <c r="D2402" s="2">
        <v>0.0026967592592592594</v>
      </c>
      <c r="E2402" s="12">
        <v>1.13</v>
      </c>
      <c r="F2402" s="12">
        <v>5.73</v>
      </c>
      <c r="G2402" s="11">
        <v>18218.0</v>
      </c>
      <c r="H2402" s="11">
        <v>3180.0</v>
      </c>
    </row>
    <row r="2403">
      <c r="A2403" s="10">
        <v>44771.0</v>
      </c>
      <c r="B2403" s="11">
        <v>2694.0</v>
      </c>
      <c r="C2403" s="12">
        <v>0.4385</v>
      </c>
      <c r="D2403" s="2">
        <v>0.0022800925925925927</v>
      </c>
      <c r="E2403" s="12">
        <v>1.09</v>
      </c>
      <c r="F2403" s="12">
        <v>4.57</v>
      </c>
      <c r="G2403" s="11">
        <v>13455.0</v>
      </c>
      <c r="H2403" s="11">
        <v>2944.0</v>
      </c>
    </row>
    <row r="2404">
      <c r="A2404" s="10">
        <v>44772.0</v>
      </c>
      <c r="B2404" s="11">
        <v>1389.0</v>
      </c>
      <c r="C2404" s="12">
        <v>0.4738</v>
      </c>
      <c r="D2404" s="2">
        <v>0.002337962962962963</v>
      </c>
      <c r="E2404" s="12">
        <v>1.14</v>
      </c>
      <c r="F2404" s="12">
        <v>4.74</v>
      </c>
      <c r="G2404" s="11">
        <v>7498.0</v>
      </c>
      <c r="H2404" s="11">
        <v>1583.0</v>
      </c>
    </row>
    <row r="2405">
      <c r="A2405" s="10">
        <v>44773.0</v>
      </c>
      <c r="B2405" s="11">
        <v>1527.0</v>
      </c>
      <c r="C2405" s="12">
        <v>0.5234</v>
      </c>
      <c r="D2405" s="2">
        <v>0.001990740740740741</v>
      </c>
      <c r="E2405" s="12">
        <v>1.15</v>
      </c>
      <c r="F2405" s="12">
        <v>4.25</v>
      </c>
      <c r="G2405" s="11">
        <v>7443.0</v>
      </c>
      <c r="H2405" s="11">
        <v>1750.0</v>
      </c>
    </row>
    <row r="2406">
      <c r="A2406" s="10">
        <v>44774.0</v>
      </c>
      <c r="B2406" s="11">
        <v>2749.0</v>
      </c>
      <c r="C2406" s="12">
        <v>0.4574</v>
      </c>
      <c r="D2406" s="2">
        <v>0.002928240740740741</v>
      </c>
      <c r="E2406" s="12">
        <v>1.13</v>
      </c>
      <c r="F2406" s="12">
        <v>6.15</v>
      </c>
      <c r="G2406" s="11">
        <v>19051.0</v>
      </c>
      <c r="H2406" s="11">
        <v>3096.0</v>
      </c>
    </row>
    <row r="2407">
      <c r="A2407" s="10">
        <v>44775.0</v>
      </c>
      <c r="B2407" s="11">
        <v>2874.0</v>
      </c>
      <c r="C2407" s="12">
        <v>0.4331</v>
      </c>
      <c r="D2407" s="2">
        <v>0.002395833333333333</v>
      </c>
      <c r="E2407" s="12">
        <v>1.08</v>
      </c>
      <c r="F2407" s="12">
        <v>5.03</v>
      </c>
      <c r="G2407" s="11">
        <v>15649.0</v>
      </c>
      <c r="H2407" s="11">
        <v>3110.0</v>
      </c>
    </row>
    <row r="2408">
      <c r="A2408" s="10">
        <v>44776.0</v>
      </c>
      <c r="B2408" s="11">
        <v>2666.0</v>
      </c>
      <c r="C2408" s="12">
        <v>0.3991</v>
      </c>
      <c r="D2408" s="2">
        <v>0.002800925925925926</v>
      </c>
      <c r="E2408" s="12">
        <v>1.14</v>
      </c>
      <c r="F2408" s="12">
        <v>5.65</v>
      </c>
      <c r="G2408" s="11">
        <v>17107.0</v>
      </c>
      <c r="H2408" s="11">
        <v>3027.0</v>
      </c>
    </row>
    <row r="2409">
      <c r="A2409" s="10">
        <v>44777.0</v>
      </c>
      <c r="B2409" s="11">
        <v>2819.0</v>
      </c>
      <c r="C2409" s="12">
        <v>0.4486</v>
      </c>
      <c r="D2409" s="2">
        <v>0.0028125</v>
      </c>
      <c r="E2409" s="12">
        <v>1.1</v>
      </c>
      <c r="F2409" s="12">
        <v>5.96</v>
      </c>
      <c r="G2409" s="11">
        <v>18454.0</v>
      </c>
      <c r="H2409" s="11">
        <v>3096.0</v>
      </c>
    </row>
    <row r="2410">
      <c r="A2410" s="10">
        <v>44778.0</v>
      </c>
      <c r="B2410" s="11">
        <v>2472.0</v>
      </c>
      <c r="C2410" s="12">
        <v>0.4184</v>
      </c>
      <c r="D2410" s="2">
        <v>0.002916666666666667</v>
      </c>
      <c r="E2410" s="12">
        <v>1.1</v>
      </c>
      <c r="F2410" s="12">
        <v>6.89</v>
      </c>
      <c r="G2410" s="11">
        <v>18759.0</v>
      </c>
      <c r="H2410" s="11">
        <v>2722.0</v>
      </c>
    </row>
    <row r="2411">
      <c r="A2411" s="10">
        <v>44779.0</v>
      </c>
      <c r="B2411" s="11">
        <v>1402.0</v>
      </c>
      <c r="C2411" s="12">
        <v>0.4823</v>
      </c>
      <c r="D2411" s="2">
        <v>0.0017708333333333332</v>
      </c>
      <c r="E2411" s="12">
        <v>1.11</v>
      </c>
      <c r="F2411" s="12">
        <v>3.82</v>
      </c>
      <c r="G2411" s="11">
        <v>5943.0</v>
      </c>
      <c r="H2411" s="11">
        <v>1555.0</v>
      </c>
    </row>
    <row r="2412">
      <c r="A2412" s="10">
        <v>44780.0</v>
      </c>
      <c r="B2412" s="11">
        <v>1680.0</v>
      </c>
      <c r="C2412" s="12">
        <v>0.496</v>
      </c>
      <c r="D2412" s="2">
        <v>0.0013078703703703703</v>
      </c>
      <c r="E2412" s="12">
        <v>1.03</v>
      </c>
      <c r="F2412" s="12">
        <v>4.01</v>
      </c>
      <c r="G2412" s="11">
        <v>6957.0</v>
      </c>
      <c r="H2412" s="11">
        <v>1736.0</v>
      </c>
    </row>
    <row r="2413">
      <c r="A2413" s="10">
        <v>44781.0</v>
      </c>
      <c r="B2413" s="11">
        <v>2708.0</v>
      </c>
      <c r="C2413" s="12">
        <v>0.4396</v>
      </c>
      <c r="D2413" s="2">
        <v>0.002650462962962963</v>
      </c>
      <c r="E2413" s="12">
        <v>1.14</v>
      </c>
      <c r="F2413" s="12">
        <v>5.67</v>
      </c>
      <c r="G2413" s="11">
        <v>17565.0</v>
      </c>
      <c r="H2413" s="11">
        <v>3096.0</v>
      </c>
    </row>
    <row r="2414">
      <c r="A2414" s="10">
        <v>44782.0</v>
      </c>
      <c r="B2414" s="11">
        <v>2874.0</v>
      </c>
      <c r="C2414" s="12">
        <v>0.3897</v>
      </c>
      <c r="D2414" s="2">
        <v>0.003136574074074074</v>
      </c>
      <c r="E2414" s="12">
        <v>1.14</v>
      </c>
      <c r="F2414" s="12">
        <v>5.98</v>
      </c>
      <c r="G2414" s="11">
        <v>19592.0</v>
      </c>
      <c r="H2414" s="11">
        <v>3277.0</v>
      </c>
    </row>
    <row r="2415">
      <c r="A2415" s="10">
        <v>44783.0</v>
      </c>
      <c r="B2415" s="11">
        <v>2791.0</v>
      </c>
      <c r="C2415" s="12">
        <v>0.3782</v>
      </c>
      <c r="D2415" s="2">
        <v>0.0025925925925925925</v>
      </c>
      <c r="E2415" s="12">
        <v>1.14</v>
      </c>
      <c r="F2415" s="12">
        <v>5.42</v>
      </c>
      <c r="G2415" s="11">
        <v>17301.0</v>
      </c>
      <c r="H2415" s="11">
        <v>3194.0</v>
      </c>
    </row>
    <row r="2416">
      <c r="A2416" s="10">
        <v>44784.0</v>
      </c>
      <c r="B2416" s="11">
        <v>2485.0</v>
      </c>
      <c r="C2416" s="12">
        <v>0.4285</v>
      </c>
      <c r="D2416" s="2">
        <v>0.0020833333333333333</v>
      </c>
      <c r="E2416" s="12">
        <v>1.13</v>
      </c>
      <c r="F2416" s="12">
        <v>5.02</v>
      </c>
      <c r="G2416" s="11">
        <v>14163.0</v>
      </c>
      <c r="H2416" s="11">
        <v>2819.0</v>
      </c>
    </row>
    <row r="2417">
      <c r="A2417" s="10">
        <v>44785.0</v>
      </c>
      <c r="B2417" s="11">
        <v>2249.0</v>
      </c>
      <c r="C2417" s="12">
        <v>0.3131</v>
      </c>
      <c r="D2417" s="2">
        <v>0.0030439814814814813</v>
      </c>
      <c r="E2417" s="12">
        <v>1.1</v>
      </c>
      <c r="F2417" s="12">
        <v>8.01</v>
      </c>
      <c r="G2417" s="11">
        <v>19898.0</v>
      </c>
      <c r="H2417" s="11">
        <v>2485.0</v>
      </c>
    </row>
    <row r="2418">
      <c r="A2418" s="10">
        <v>44786.0</v>
      </c>
      <c r="B2418" s="11">
        <v>1389.0</v>
      </c>
      <c r="C2418" s="12">
        <v>0.5285</v>
      </c>
      <c r="D2418" s="2">
        <v>0.0014814814814814814</v>
      </c>
      <c r="E2418" s="12">
        <v>1.06</v>
      </c>
      <c r="F2418" s="12">
        <v>3.24</v>
      </c>
      <c r="G2418" s="11">
        <v>4763.0</v>
      </c>
      <c r="H2418" s="11">
        <v>1472.0</v>
      </c>
    </row>
    <row r="2419">
      <c r="A2419" s="10">
        <v>44787.0</v>
      </c>
      <c r="B2419" s="11">
        <v>1389.0</v>
      </c>
      <c r="C2419" s="12">
        <v>0.5258</v>
      </c>
      <c r="D2419" s="2">
        <v>0.0015046296296296296</v>
      </c>
      <c r="E2419" s="12">
        <v>1.16</v>
      </c>
      <c r="F2419" s="12">
        <v>3.68</v>
      </c>
      <c r="G2419" s="11">
        <v>5929.0</v>
      </c>
      <c r="H2419" s="11">
        <v>1611.0</v>
      </c>
    </row>
    <row r="2420">
      <c r="A2420" s="10">
        <v>44788.0</v>
      </c>
      <c r="B2420" s="11">
        <v>2499.0</v>
      </c>
      <c r="C2420" s="12">
        <v>0.4194</v>
      </c>
      <c r="D2420" s="2">
        <v>0.002534722222222222</v>
      </c>
      <c r="E2420" s="12">
        <v>1.14</v>
      </c>
      <c r="F2420" s="12">
        <v>5.07</v>
      </c>
      <c r="G2420" s="11">
        <v>14427.0</v>
      </c>
      <c r="H2420" s="11">
        <v>2847.0</v>
      </c>
    </row>
    <row r="2421">
      <c r="A2421" s="10">
        <v>44789.0</v>
      </c>
      <c r="B2421" s="11">
        <v>2347.0</v>
      </c>
      <c r="C2421" s="12">
        <v>0.3849</v>
      </c>
      <c r="D2421" s="2">
        <v>0.002800925925925926</v>
      </c>
      <c r="E2421" s="12">
        <v>1.18</v>
      </c>
      <c r="F2421" s="12">
        <v>6.54</v>
      </c>
      <c r="G2421" s="11">
        <v>18162.0</v>
      </c>
      <c r="H2421" s="11">
        <v>2777.0</v>
      </c>
    </row>
    <row r="2422">
      <c r="A2422" s="10">
        <v>44790.0</v>
      </c>
      <c r="B2422" s="11">
        <v>2485.0</v>
      </c>
      <c r="C2422" s="12">
        <v>0.4465</v>
      </c>
      <c r="D2422" s="2">
        <v>0.0021064814814814813</v>
      </c>
      <c r="E2422" s="12">
        <v>1.15</v>
      </c>
      <c r="F2422" s="12">
        <v>5.09</v>
      </c>
      <c r="G2422" s="11">
        <v>14566.0</v>
      </c>
      <c r="H2422" s="11">
        <v>2860.0</v>
      </c>
    </row>
    <row r="2423">
      <c r="A2423" s="10">
        <v>44791.0</v>
      </c>
      <c r="B2423" s="11">
        <v>2833.0</v>
      </c>
      <c r="C2423" s="12">
        <v>0.4187</v>
      </c>
      <c r="D2423" s="2">
        <v>0.0028587962962962963</v>
      </c>
      <c r="E2423" s="12">
        <v>1.09</v>
      </c>
      <c r="F2423" s="12">
        <v>6.02</v>
      </c>
      <c r="G2423" s="11">
        <v>18565.0</v>
      </c>
      <c r="H2423" s="11">
        <v>3083.0</v>
      </c>
    </row>
    <row r="2424">
      <c r="A2424" s="10">
        <v>44792.0</v>
      </c>
      <c r="B2424" s="11">
        <v>2194.0</v>
      </c>
      <c r="C2424" s="12">
        <v>0.407</v>
      </c>
      <c r="D2424" s="2">
        <v>0.004201388888888889</v>
      </c>
      <c r="E2424" s="12">
        <v>1.09</v>
      </c>
      <c r="F2424" s="12">
        <v>7.95</v>
      </c>
      <c r="G2424" s="11">
        <v>18995.0</v>
      </c>
      <c r="H2424" s="11">
        <v>2388.0</v>
      </c>
    </row>
    <row r="2425">
      <c r="A2425" s="10">
        <v>44793.0</v>
      </c>
      <c r="B2425" s="11">
        <v>1277.0</v>
      </c>
      <c r="C2425" s="12">
        <v>0.4444</v>
      </c>
      <c r="D2425" s="2">
        <v>0.0030787037037037037</v>
      </c>
      <c r="E2425" s="12">
        <v>1.08</v>
      </c>
      <c r="F2425" s="12">
        <v>6.94</v>
      </c>
      <c r="G2425" s="11">
        <v>9539.0</v>
      </c>
      <c r="H2425" s="11">
        <v>1375.0</v>
      </c>
    </row>
    <row r="2426">
      <c r="A2426" s="10">
        <v>44794.0</v>
      </c>
      <c r="B2426" s="11">
        <v>1555.0</v>
      </c>
      <c r="C2426" s="12">
        <v>0.4829</v>
      </c>
      <c r="D2426" s="2">
        <v>0.002384259259259259</v>
      </c>
      <c r="E2426" s="12">
        <v>1.05</v>
      </c>
      <c r="F2426" s="12">
        <v>4.54</v>
      </c>
      <c r="G2426" s="11">
        <v>7429.0</v>
      </c>
      <c r="H2426" s="11">
        <v>1638.0</v>
      </c>
    </row>
    <row r="2427">
      <c r="A2427" s="10">
        <v>44795.0</v>
      </c>
      <c r="B2427" s="11">
        <v>2597.0</v>
      </c>
      <c r="C2427" s="12">
        <v>0.428</v>
      </c>
      <c r="D2427" s="2">
        <v>0.0019675925925925924</v>
      </c>
      <c r="E2427" s="12">
        <v>1.11</v>
      </c>
      <c r="F2427" s="12">
        <v>5.61</v>
      </c>
      <c r="G2427" s="11">
        <v>16204.0</v>
      </c>
      <c r="H2427" s="11">
        <v>2888.0</v>
      </c>
    </row>
    <row r="2428">
      <c r="A2428" s="10">
        <v>44796.0</v>
      </c>
      <c r="B2428" s="11">
        <v>2791.0</v>
      </c>
      <c r="C2428" s="12">
        <v>0.3245</v>
      </c>
      <c r="D2428" s="2">
        <v>0.002638888888888889</v>
      </c>
      <c r="E2428" s="12">
        <v>1.15</v>
      </c>
      <c r="F2428" s="12">
        <v>5.65</v>
      </c>
      <c r="G2428" s="11">
        <v>18134.0</v>
      </c>
      <c r="H2428" s="11">
        <v>3208.0</v>
      </c>
    </row>
    <row r="2429">
      <c r="A2429" s="10">
        <v>44797.0</v>
      </c>
      <c r="B2429" s="11">
        <v>2666.0</v>
      </c>
      <c r="C2429" s="12">
        <v>0.4211</v>
      </c>
      <c r="D2429" s="2">
        <v>0.0027083333333333334</v>
      </c>
      <c r="E2429" s="12">
        <v>1.09</v>
      </c>
      <c r="F2429" s="12">
        <v>5.59</v>
      </c>
      <c r="G2429" s="11">
        <v>16218.0</v>
      </c>
      <c r="H2429" s="11">
        <v>2902.0</v>
      </c>
    </row>
    <row r="2430">
      <c r="A2430" s="10">
        <v>44798.0</v>
      </c>
      <c r="B2430" s="11">
        <v>2708.0</v>
      </c>
      <c r="C2430" s="12">
        <v>0.4455</v>
      </c>
      <c r="D2430" s="2">
        <v>0.002534722222222222</v>
      </c>
      <c r="E2430" s="12">
        <v>1.13</v>
      </c>
      <c r="F2430" s="12">
        <v>4.55</v>
      </c>
      <c r="G2430" s="11">
        <v>13913.0</v>
      </c>
      <c r="H2430" s="11">
        <v>3055.0</v>
      </c>
    </row>
    <row r="2431">
      <c r="A2431" s="10">
        <v>44799.0</v>
      </c>
      <c r="B2431" s="11">
        <v>2444.0</v>
      </c>
      <c r="C2431" s="12">
        <v>0.4128</v>
      </c>
      <c r="D2431" s="2">
        <v>0.0024305555555555556</v>
      </c>
      <c r="E2431" s="12">
        <v>1.14</v>
      </c>
      <c r="F2431" s="12">
        <v>4.67</v>
      </c>
      <c r="G2431" s="11">
        <v>13038.0</v>
      </c>
      <c r="H2431" s="11">
        <v>2791.0</v>
      </c>
    </row>
    <row r="2432">
      <c r="A2432" s="10">
        <v>44800.0</v>
      </c>
      <c r="B2432" s="11">
        <v>1291.0</v>
      </c>
      <c r="C2432" s="12">
        <v>0.4206</v>
      </c>
      <c r="D2432" s="2">
        <v>0.0017592592592592592</v>
      </c>
      <c r="E2432" s="12">
        <v>1.15</v>
      </c>
      <c r="F2432" s="12">
        <v>4.76</v>
      </c>
      <c r="G2432" s="11">
        <v>7068.0</v>
      </c>
      <c r="H2432" s="11">
        <v>1486.0</v>
      </c>
    </row>
    <row r="2433">
      <c r="A2433" s="10">
        <v>44801.0</v>
      </c>
      <c r="B2433" s="11">
        <v>1305.0</v>
      </c>
      <c r="C2433" s="12">
        <v>0.4776</v>
      </c>
      <c r="D2433" s="2">
        <v>0.0021064814814814813</v>
      </c>
      <c r="E2433" s="12">
        <v>1.18</v>
      </c>
      <c r="F2433" s="12">
        <v>4.04</v>
      </c>
      <c r="G2433" s="11">
        <v>6221.0</v>
      </c>
      <c r="H2433" s="11">
        <v>1541.0</v>
      </c>
    </row>
    <row r="2434">
      <c r="A2434" s="10">
        <v>44802.0</v>
      </c>
      <c r="B2434" s="11">
        <v>2430.0</v>
      </c>
      <c r="C2434" s="12">
        <v>0.4507</v>
      </c>
      <c r="D2434" s="2">
        <v>0.0019097222222222222</v>
      </c>
      <c r="E2434" s="12">
        <v>1.1</v>
      </c>
      <c r="F2434" s="12">
        <v>4.4</v>
      </c>
      <c r="G2434" s="11">
        <v>11789.0</v>
      </c>
      <c r="H2434" s="11">
        <v>2680.0</v>
      </c>
    </row>
    <row r="2435">
      <c r="A2435" s="10">
        <v>44803.0</v>
      </c>
      <c r="B2435" s="11">
        <v>2499.0</v>
      </c>
      <c r="C2435" s="12">
        <v>0.4716</v>
      </c>
      <c r="D2435" s="2">
        <v>0.0018287037037037037</v>
      </c>
      <c r="E2435" s="12">
        <v>1.08</v>
      </c>
      <c r="F2435" s="12">
        <v>5.07</v>
      </c>
      <c r="G2435" s="11">
        <v>13719.0</v>
      </c>
      <c r="H2435" s="11">
        <v>2708.0</v>
      </c>
    </row>
    <row r="2436">
      <c r="A2436" s="10">
        <v>44804.0</v>
      </c>
      <c r="B2436" s="11">
        <v>2680.0</v>
      </c>
      <c r="C2436" s="12">
        <v>0.4492</v>
      </c>
      <c r="D2436" s="2">
        <v>0.002037037037037037</v>
      </c>
      <c r="E2436" s="12">
        <v>1.07</v>
      </c>
      <c r="F2436" s="12">
        <v>5.53</v>
      </c>
      <c r="G2436" s="11">
        <v>15885.0</v>
      </c>
      <c r="H2436" s="11">
        <v>2874.0</v>
      </c>
    </row>
    <row r="2437">
      <c r="A2437" s="10">
        <v>44805.0</v>
      </c>
      <c r="B2437" s="11">
        <v>2319.0</v>
      </c>
      <c r="C2437" s="12">
        <v>0.4736</v>
      </c>
      <c r="D2437" s="2">
        <v>0.002002314814814815</v>
      </c>
      <c r="E2437" s="12">
        <v>1.13</v>
      </c>
      <c r="F2437" s="12">
        <v>5.42</v>
      </c>
      <c r="G2437" s="11">
        <v>14135.0</v>
      </c>
      <c r="H2437" s="11">
        <v>2610.0</v>
      </c>
    </row>
    <row r="2438">
      <c r="A2438" s="10">
        <v>44806.0</v>
      </c>
      <c r="B2438" s="11">
        <v>2097.0</v>
      </c>
      <c r="C2438" s="12">
        <v>0.3963</v>
      </c>
      <c r="D2438" s="2">
        <v>0.002025462962962963</v>
      </c>
      <c r="E2438" s="12">
        <v>1.05</v>
      </c>
      <c r="F2438" s="12">
        <v>4.78</v>
      </c>
      <c r="G2438" s="11">
        <v>10553.0</v>
      </c>
      <c r="H2438" s="11">
        <v>2208.0</v>
      </c>
    </row>
    <row r="2439">
      <c r="A2439" s="10">
        <v>44807.0</v>
      </c>
      <c r="B2439" s="11">
        <v>1277.0</v>
      </c>
      <c r="C2439" s="12">
        <v>0.4893</v>
      </c>
      <c r="D2439" s="2">
        <v>0.0010879629629629629</v>
      </c>
      <c r="E2439" s="12">
        <v>1.07</v>
      </c>
      <c r="F2439" s="12">
        <v>3.04</v>
      </c>
      <c r="G2439" s="11">
        <v>4138.0</v>
      </c>
      <c r="H2439" s="11">
        <v>1361.0</v>
      </c>
    </row>
    <row r="2440">
      <c r="A2440" s="10">
        <v>44808.0</v>
      </c>
      <c r="B2440" s="11">
        <v>1236.0</v>
      </c>
      <c r="C2440" s="12">
        <v>0.475</v>
      </c>
      <c r="D2440" s="2">
        <v>0.0022453703703703702</v>
      </c>
      <c r="E2440" s="12">
        <v>1.13</v>
      </c>
      <c r="F2440" s="12">
        <v>4.74</v>
      </c>
      <c r="G2440" s="11">
        <v>6651.0</v>
      </c>
      <c r="H2440" s="11">
        <v>1402.0</v>
      </c>
    </row>
    <row r="2441">
      <c r="A2441" s="10">
        <v>44809.0</v>
      </c>
      <c r="B2441" s="11">
        <v>1888.0</v>
      </c>
      <c r="C2441" s="12">
        <v>0.4652</v>
      </c>
      <c r="D2441" s="2">
        <v>0.0014351851851851852</v>
      </c>
      <c r="E2441" s="12">
        <v>1.06</v>
      </c>
      <c r="F2441" s="12">
        <v>3.56</v>
      </c>
      <c r="G2441" s="11">
        <v>7123.0</v>
      </c>
      <c r="H2441" s="11">
        <v>1999.0</v>
      </c>
    </row>
    <row r="2442">
      <c r="A2442" s="10">
        <v>44810.0</v>
      </c>
      <c r="B2442" s="11">
        <v>2652.0</v>
      </c>
      <c r="C2442" s="12">
        <v>0.4037</v>
      </c>
      <c r="D2442" s="2">
        <v>0.0019675925925925924</v>
      </c>
      <c r="E2442" s="12">
        <v>1.12</v>
      </c>
      <c r="F2442" s="12">
        <v>4.3</v>
      </c>
      <c r="G2442" s="11">
        <v>12705.0</v>
      </c>
      <c r="H2442" s="11">
        <v>2958.0</v>
      </c>
    </row>
    <row r="2443">
      <c r="A2443" s="10">
        <v>44811.0</v>
      </c>
      <c r="B2443" s="11">
        <v>2597.0</v>
      </c>
      <c r="C2443" s="12">
        <v>0.4976</v>
      </c>
      <c r="D2443" s="2">
        <v>0.0021064814814814813</v>
      </c>
      <c r="E2443" s="12">
        <v>1.12</v>
      </c>
      <c r="F2443" s="12">
        <v>4.2</v>
      </c>
      <c r="G2443" s="11">
        <v>12177.0</v>
      </c>
      <c r="H2443" s="11">
        <v>2902.0</v>
      </c>
    </row>
    <row r="2444">
      <c r="A2444" s="10">
        <v>44812.0</v>
      </c>
      <c r="B2444" s="11">
        <v>2652.0</v>
      </c>
      <c r="C2444" s="12">
        <v>0.3431</v>
      </c>
      <c r="D2444" s="2">
        <v>0.0023032407407407407</v>
      </c>
      <c r="E2444" s="12">
        <v>1.08</v>
      </c>
      <c r="F2444" s="12">
        <v>5.87</v>
      </c>
      <c r="G2444" s="11">
        <v>16871.0</v>
      </c>
      <c r="H2444" s="11">
        <v>2874.0</v>
      </c>
    </row>
    <row r="2445">
      <c r="A2445" s="10">
        <v>44813.0</v>
      </c>
      <c r="B2445" s="11">
        <v>2277.0</v>
      </c>
      <c r="C2445" s="12">
        <v>0.4105</v>
      </c>
      <c r="D2445" s="2">
        <v>0.0030439814814814813</v>
      </c>
      <c r="E2445" s="12">
        <v>1.05</v>
      </c>
      <c r="F2445" s="12">
        <v>6.27</v>
      </c>
      <c r="G2445" s="11">
        <v>15052.0</v>
      </c>
      <c r="H2445" s="11">
        <v>2402.0</v>
      </c>
    </row>
    <row r="2446">
      <c r="A2446" s="10">
        <v>44814.0</v>
      </c>
      <c r="B2446" s="11">
        <v>1236.0</v>
      </c>
      <c r="C2446" s="12">
        <v>0.5256</v>
      </c>
      <c r="D2446" s="2">
        <v>0.0016782407407407408</v>
      </c>
      <c r="E2446" s="12">
        <v>1.09</v>
      </c>
      <c r="F2446" s="12">
        <v>4.1</v>
      </c>
      <c r="G2446" s="11">
        <v>5526.0</v>
      </c>
      <c r="H2446" s="11">
        <v>1347.0</v>
      </c>
    </row>
    <row r="2447">
      <c r="A2447" s="10">
        <v>44815.0</v>
      </c>
      <c r="B2447" s="11">
        <v>1333.0</v>
      </c>
      <c r="C2447" s="12">
        <v>0.4095</v>
      </c>
      <c r="D2447" s="2">
        <v>0.0026157407407407405</v>
      </c>
      <c r="E2447" s="12">
        <v>1.09</v>
      </c>
      <c r="F2447" s="12">
        <v>5.18</v>
      </c>
      <c r="G2447" s="11">
        <v>7554.0</v>
      </c>
      <c r="H2447" s="11">
        <v>1458.0</v>
      </c>
    </row>
    <row r="2448">
      <c r="A2448" s="10">
        <v>44816.0</v>
      </c>
      <c r="B2448" s="11">
        <v>2444.0</v>
      </c>
      <c r="C2448" s="12">
        <v>0.4046</v>
      </c>
      <c r="D2448" s="2">
        <v>0.0017708333333333332</v>
      </c>
      <c r="E2448" s="12">
        <v>1.16</v>
      </c>
      <c r="F2448" s="12">
        <v>5.33</v>
      </c>
      <c r="G2448" s="11">
        <v>15163.0</v>
      </c>
      <c r="H2448" s="11">
        <v>2847.0</v>
      </c>
    </row>
    <row r="2449">
      <c r="A2449" s="10">
        <v>44817.0</v>
      </c>
      <c r="B2449" s="11">
        <v>2777.0</v>
      </c>
      <c r="C2449" s="12">
        <v>0.4064</v>
      </c>
      <c r="D2449" s="2">
        <v>0.0025925925925925925</v>
      </c>
      <c r="E2449" s="12">
        <v>1.1</v>
      </c>
      <c r="F2449" s="12">
        <v>5.52</v>
      </c>
      <c r="G2449" s="11">
        <v>16801.0</v>
      </c>
      <c r="H2449" s="11">
        <v>3041.0</v>
      </c>
    </row>
    <row r="2450">
      <c r="A2450" s="10">
        <v>44818.0</v>
      </c>
      <c r="B2450" s="11">
        <v>2499.0</v>
      </c>
      <c r="C2450" s="12">
        <v>0.4328</v>
      </c>
      <c r="D2450" s="2">
        <v>0.0018981481481481482</v>
      </c>
      <c r="E2450" s="12">
        <v>1.12</v>
      </c>
      <c r="F2450" s="12">
        <v>4.85</v>
      </c>
      <c r="G2450" s="11">
        <v>13538.0</v>
      </c>
      <c r="H2450" s="11">
        <v>2791.0</v>
      </c>
    </row>
    <row r="2451">
      <c r="A2451" s="10">
        <v>44819.0</v>
      </c>
      <c r="B2451" s="11">
        <v>2597.0</v>
      </c>
      <c r="C2451" s="12">
        <v>0.4259</v>
      </c>
      <c r="D2451" s="2">
        <v>0.001851851851851852</v>
      </c>
      <c r="E2451" s="12">
        <v>1.12</v>
      </c>
      <c r="F2451" s="12">
        <v>3.71</v>
      </c>
      <c r="G2451" s="11">
        <v>10775.0</v>
      </c>
      <c r="H2451" s="11">
        <v>2902.0</v>
      </c>
    </row>
    <row r="2452">
      <c r="A2452" s="10">
        <v>44820.0</v>
      </c>
      <c r="B2452" s="11">
        <v>1986.0</v>
      </c>
      <c r="C2452" s="12">
        <v>0.4023</v>
      </c>
      <c r="D2452" s="2">
        <v>0.0024537037037037036</v>
      </c>
      <c r="E2452" s="12">
        <v>1.15</v>
      </c>
      <c r="F2452" s="12">
        <v>4.83</v>
      </c>
      <c r="G2452" s="11">
        <v>10997.0</v>
      </c>
      <c r="H2452" s="11">
        <v>2277.0</v>
      </c>
    </row>
    <row r="2453">
      <c r="A2453" s="10">
        <v>44821.0</v>
      </c>
      <c r="B2453" s="11">
        <v>1236.0</v>
      </c>
      <c r="C2453" s="12">
        <v>0.4709</v>
      </c>
      <c r="D2453" s="2">
        <v>0.002928240740740741</v>
      </c>
      <c r="E2453" s="12">
        <v>1.17</v>
      </c>
      <c r="F2453" s="12">
        <v>4.29</v>
      </c>
      <c r="G2453" s="11">
        <v>6193.0</v>
      </c>
      <c r="H2453" s="11">
        <v>1444.0</v>
      </c>
    </row>
    <row r="2454">
      <c r="A2454" s="10">
        <v>44822.0</v>
      </c>
      <c r="B2454" s="11">
        <v>1527.0</v>
      </c>
      <c r="C2454" s="12">
        <v>0.5041</v>
      </c>
      <c r="D2454" s="2">
        <v>0.0013773148148148147</v>
      </c>
      <c r="E2454" s="12">
        <v>1.12</v>
      </c>
      <c r="F2454" s="12">
        <v>3.81</v>
      </c>
      <c r="G2454" s="11">
        <v>6512.0</v>
      </c>
      <c r="H2454" s="11">
        <v>1708.0</v>
      </c>
    </row>
    <row r="2455">
      <c r="A2455" s="10">
        <v>44823.0</v>
      </c>
      <c r="B2455" s="11">
        <v>2847.0</v>
      </c>
      <c r="C2455" s="12">
        <v>0.4233</v>
      </c>
      <c r="D2455" s="2">
        <v>0.0021296296296296298</v>
      </c>
      <c r="E2455" s="12">
        <v>1.08</v>
      </c>
      <c r="F2455" s="12">
        <v>4.31</v>
      </c>
      <c r="G2455" s="11">
        <v>13274.0</v>
      </c>
      <c r="H2455" s="11">
        <v>3083.0</v>
      </c>
    </row>
    <row r="2456">
      <c r="A2456" s="10">
        <v>44824.0</v>
      </c>
      <c r="B2456" s="11">
        <v>2888.0</v>
      </c>
      <c r="C2456" s="12">
        <v>0.4802</v>
      </c>
      <c r="D2456" s="2">
        <v>0.002361111111111111</v>
      </c>
      <c r="E2456" s="12">
        <v>1.1</v>
      </c>
      <c r="F2456" s="12">
        <v>5.49</v>
      </c>
      <c r="G2456" s="11">
        <v>17454.0</v>
      </c>
      <c r="H2456" s="11">
        <v>3180.0</v>
      </c>
    </row>
    <row r="2457">
      <c r="A2457" s="10">
        <v>44825.0</v>
      </c>
      <c r="B2457" s="11">
        <v>2652.0</v>
      </c>
      <c r="C2457" s="12">
        <v>0.5002</v>
      </c>
      <c r="D2457" s="2">
        <v>0.002002314814814815</v>
      </c>
      <c r="E2457" s="12">
        <v>1.13</v>
      </c>
      <c r="F2457" s="12">
        <v>4.01</v>
      </c>
      <c r="G2457" s="11">
        <v>12011.0</v>
      </c>
      <c r="H2457" s="11">
        <v>2999.0</v>
      </c>
    </row>
    <row r="2458">
      <c r="A2458" s="10">
        <v>44826.0</v>
      </c>
      <c r="B2458" s="11">
        <v>2902.0</v>
      </c>
      <c r="C2458" s="12">
        <v>0.4312</v>
      </c>
      <c r="D2458" s="2">
        <v>0.0024421296296296296</v>
      </c>
      <c r="E2458" s="12">
        <v>1.08</v>
      </c>
      <c r="F2458" s="12">
        <v>5.2</v>
      </c>
      <c r="G2458" s="11">
        <v>16246.0</v>
      </c>
      <c r="H2458" s="11">
        <v>3124.0</v>
      </c>
    </row>
    <row r="2459">
      <c r="A2459" s="10">
        <v>44827.0</v>
      </c>
      <c r="B2459" s="11">
        <v>2347.0</v>
      </c>
      <c r="C2459" s="12">
        <v>0.4564</v>
      </c>
      <c r="D2459" s="2">
        <v>0.0030092592592592593</v>
      </c>
      <c r="E2459" s="12">
        <v>1.15</v>
      </c>
      <c r="F2459" s="12">
        <v>6.05</v>
      </c>
      <c r="G2459" s="11">
        <v>16385.0</v>
      </c>
      <c r="H2459" s="11">
        <v>2708.0</v>
      </c>
    </row>
    <row r="2460">
      <c r="A2460" s="10">
        <v>44828.0</v>
      </c>
      <c r="B2460" s="11">
        <v>1402.0</v>
      </c>
      <c r="C2460" s="12">
        <v>0.4826</v>
      </c>
      <c r="D2460" s="2">
        <v>9.837962962962962E-4</v>
      </c>
      <c r="E2460" s="12">
        <v>1.13</v>
      </c>
      <c r="F2460" s="12">
        <v>2.98</v>
      </c>
      <c r="G2460" s="11">
        <v>4721.0</v>
      </c>
      <c r="H2460" s="11">
        <v>1583.0</v>
      </c>
    </row>
    <row r="2461">
      <c r="A2461" s="10">
        <v>44829.0</v>
      </c>
      <c r="B2461" s="11">
        <v>1472.0</v>
      </c>
      <c r="C2461" s="12">
        <v>0.4464</v>
      </c>
      <c r="D2461" s="2">
        <v>0.002013888888888889</v>
      </c>
      <c r="E2461" s="12">
        <v>1.14</v>
      </c>
      <c r="F2461" s="12">
        <v>4.56</v>
      </c>
      <c r="G2461" s="11">
        <v>7665.0</v>
      </c>
      <c r="H2461" s="11">
        <v>1680.0</v>
      </c>
    </row>
    <row r="2462">
      <c r="A2462" s="10">
        <v>44830.0</v>
      </c>
      <c r="B2462" s="11">
        <v>5068.0</v>
      </c>
      <c r="C2462" s="12">
        <v>0.317</v>
      </c>
      <c r="D2462" s="2">
        <v>0.004583333333333333</v>
      </c>
      <c r="E2462" s="12">
        <v>1.17</v>
      </c>
      <c r="F2462" s="12">
        <v>9.33</v>
      </c>
      <c r="G2462" s="11">
        <v>55208.0</v>
      </c>
      <c r="H2462" s="11">
        <v>5915.0</v>
      </c>
    </row>
    <row r="2463">
      <c r="A2463" s="10">
        <v>44831.0</v>
      </c>
      <c r="B2463" s="11">
        <v>6318.0</v>
      </c>
      <c r="C2463" s="12">
        <v>0.2633</v>
      </c>
      <c r="D2463" s="2">
        <v>0.004571759259259259</v>
      </c>
      <c r="E2463" s="12">
        <v>1.24</v>
      </c>
      <c r="F2463" s="12">
        <v>10.88</v>
      </c>
      <c r="G2463" s="11">
        <v>85478.0</v>
      </c>
      <c r="H2463" s="11">
        <v>7859.0</v>
      </c>
    </row>
    <row r="2464">
      <c r="A2464" s="10">
        <v>44832.0</v>
      </c>
      <c r="B2464" s="11">
        <v>3610.0</v>
      </c>
      <c r="C2464" s="12">
        <v>0.3827</v>
      </c>
      <c r="D2464" s="2">
        <v>0.0020717592592592593</v>
      </c>
      <c r="E2464" s="12">
        <v>1.07</v>
      </c>
      <c r="F2464" s="12">
        <v>5.45</v>
      </c>
      <c r="G2464" s="11">
        <v>20953.0</v>
      </c>
      <c r="H2464" s="11">
        <v>3846.0</v>
      </c>
    </row>
    <row r="2465">
      <c r="A2465" s="10">
        <v>44833.0</v>
      </c>
      <c r="B2465" s="11">
        <v>2971.0</v>
      </c>
      <c r="C2465" s="12">
        <v>0.3844</v>
      </c>
      <c r="D2465" s="2">
        <v>0.0028703703703703703</v>
      </c>
      <c r="E2465" s="12">
        <v>1.19</v>
      </c>
      <c r="F2465" s="12">
        <v>5.98</v>
      </c>
      <c r="G2465" s="11">
        <v>21161.0</v>
      </c>
      <c r="H2465" s="11">
        <v>3541.0</v>
      </c>
    </row>
    <row r="2466">
      <c r="A2466" s="10">
        <v>44834.0</v>
      </c>
      <c r="B2466" s="11">
        <v>2499.0</v>
      </c>
      <c r="C2466" s="12">
        <v>0.4313</v>
      </c>
      <c r="D2466" s="2">
        <v>0.0022916666666666667</v>
      </c>
      <c r="E2466" s="12">
        <v>1.13</v>
      </c>
      <c r="F2466" s="12">
        <v>6.0</v>
      </c>
      <c r="G2466" s="11">
        <v>17010.0</v>
      </c>
      <c r="H2466" s="11">
        <v>2833.0</v>
      </c>
    </row>
    <row r="2467">
      <c r="A2467" s="10">
        <v>44835.0</v>
      </c>
      <c r="B2467" s="11">
        <v>1472.0</v>
      </c>
      <c r="C2467" s="12">
        <v>0.5654</v>
      </c>
      <c r="D2467" s="2">
        <v>0.0019560185185185184</v>
      </c>
      <c r="E2467" s="12">
        <v>1.08</v>
      </c>
      <c r="F2467" s="12">
        <v>3.74</v>
      </c>
      <c r="G2467" s="11">
        <v>5971.0</v>
      </c>
      <c r="H2467" s="11">
        <v>1597.0</v>
      </c>
    </row>
    <row r="2468">
      <c r="A2468" s="10">
        <v>44836.0</v>
      </c>
      <c r="B2468" s="11">
        <v>1514.0</v>
      </c>
      <c r="C2468" s="12">
        <v>0.5714</v>
      </c>
      <c r="D2468" s="2">
        <v>0.0015509259259259259</v>
      </c>
      <c r="E2468" s="12">
        <v>1.09</v>
      </c>
      <c r="F2468" s="12">
        <v>3.6</v>
      </c>
      <c r="G2468" s="11">
        <v>5943.0</v>
      </c>
      <c r="H2468" s="11">
        <v>1652.0</v>
      </c>
    </row>
    <row r="2469">
      <c r="A2469" s="10">
        <v>44837.0</v>
      </c>
      <c r="B2469" s="11">
        <v>2833.0</v>
      </c>
      <c r="C2469" s="12">
        <v>0.3991</v>
      </c>
      <c r="D2469" s="2">
        <v>0.0026041666666666665</v>
      </c>
      <c r="E2469" s="12">
        <v>1.07</v>
      </c>
      <c r="F2469" s="12">
        <v>4.87</v>
      </c>
      <c r="G2469" s="11">
        <v>14732.0</v>
      </c>
      <c r="H2469" s="11">
        <v>3027.0</v>
      </c>
    </row>
    <row r="2470">
      <c r="A2470" s="10">
        <v>44838.0</v>
      </c>
      <c r="B2470" s="11">
        <v>2874.0</v>
      </c>
      <c r="C2470" s="12">
        <v>0.4646</v>
      </c>
      <c r="D2470" s="2">
        <v>0.0024421296296296296</v>
      </c>
      <c r="E2470" s="12">
        <v>1.09</v>
      </c>
      <c r="F2470" s="12">
        <v>4.65</v>
      </c>
      <c r="G2470" s="11">
        <v>14607.0</v>
      </c>
      <c r="H2470" s="11">
        <v>3138.0</v>
      </c>
    </row>
    <row r="2471">
      <c r="A2471" s="10">
        <v>44839.0</v>
      </c>
      <c r="B2471" s="11">
        <v>2819.0</v>
      </c>
      <c r="C2471" s="12">
        <v>0.4073</v>
      </c>
      <c r="D2471" s="2">
        <v>0.0033449074074074076</v>
      </c>
      <c r="E2471" s="12">
        <v>1.09</v>
      </c>
      <c r="F2471" s="12">
        <v>5.97</v>
      </c>
      <c r="G2471" s="11">
        <v>18329.0</v>
      </c>
      <c r="H2471" s="11">
        <v>3069.0</v>
      </c>
    </row>
    <row r="2472">
      <c r="A2472" s="10">
        <v>44840.0</v>
      </c>
      <c r="B2472" s="11">
        <v>3027.0</v>
      </c>
      <c r="C2472" s="12">
        <v>0.4653</v>
      </c>
      <c r="D2472" s="2">
        <v>0.0019328703703703704</v>
      </c>
      <c r="E2472" s="12">
        <v>1.12</v>
      </c>
      <c r="F2472" s="12">
        <v>4.94</v>
      </c>
      <c r="G2472" s="11">
        <v>16815.0</v>
      </c>
      <c r="H2472" s="11">
        <v>3402.0</v>
      </c>
    </row>
    <row r="2473">
      <c r="A2473" s="10">
        <v>44841.0</v>
      </c>
      <c r="B2473" s="11">
        <v>2402.0</v>
      </c>
      <c r="C2473" s="12">
        <v>0.4473</v>
      </c>
      <c r="D2473" s="2">
        <v>0.0024074074074074076</v>
      </c>
      <c r="E2473" s="12">
        <v>1.1</v>
      </c>
      <c r="F2473" s="12">
        <v>5.15</v>
      </c>
      <c r="G2473" s="11">
        <v>13594.0</v>
      </c>
      <c r="H2473" s="11">
        <v>2638.0</v>
      </c>
    </row>
    <row r="2474">
      <c r="A2474" s="10">
        <v>44842.0</v>
      </c>
      <c r="B2474" s="11">
        <v>1500.0</v>
      </c>
      <c r="C2474" s="12">
        <v>0.5427</v>
      </c>
      <c r="D2474" s="2">
        <v>0.0015393518518518519</v>
      </c>
      <c r="E2474" s="12">
        <v>1.09</v>
      </c>
      <c r="F2474" s="12">
        <v>3.63</v>
      </c>
      <c r="G2474" s="11">
        <v>5943.0</v>
      </c>
      <c r="H2474" s="11">
        <v>1638.0</v>
      </c>
    </row>
    <row r="2475">
      <c r="A2475" s="10">
        <v>44843.0</v>
      </c>
      <c r="B2475" s="11">
        <v>1569.0</v>
      </c>
      <c r="C2475" s="12">
        <v>0.4637</v>
      </c>
      <c r="D2475" s="2">
        <v>0.0020486111111111113</v>
      </c>
      <c r="E2475" s="12">
        <v>1.11</v>
      </c>
      <c r="F2475" s="12">
        <v>4.93</v>
      </c>
      <c r="G2475" s="11">
        <v>8553.0</v>
      </c>
      <c r="H2475" s="11">
        <v>1736.0</v>
      </c>
    </row>
    <row r="2476">
      <c r="A2476" s="10">
        <v>44844.0</v>
      </c>
      <c r="B2476" s="11">
        <v>2638.0</v>
      </c>
      <c r="C2476" s="12">
        <v>0.4191</v>
      </c>
      <c r="D2476" s="2">
        <v>0.002013888888888889</v>
      </c>
      <c r="E2476" s="12">
        <v>1.11</v>
      </c>
      <c r="F2476" s="12">
        <v>3.96</v>
      </c>
      <c r="G2476" s="11">
        <v>11539.0</v>
      </c>
      <c r="H2476" s="11">
        <v>2916.0</v>
      </c>
    </row>
    <row r="2477">
      <c r="A2477" s="10">
        <v>44845.0</v>
      </c>
      <c r="B2477" s="11">
        <v>2819.0</v>
      </c>
      <c r="C2477" s="12">
        <v>0.3907</v>
      </c>
      <c r="D2477" s="2">
        <v>0.002523148148148148</v>
      </c>
      <c r="E2477" s="12">
        <v>1.15</v>
      </c>
      <c r="F2477" s="12">
        <v>4.57</v>
      </c>
      <c r="G2477" s="11">
        <v>14774.0</v>
      </c>
      <c r="H2477" s="11">
        <v>3235.0</v>
      </c>
    </row>
    <row r="2478">
      <c r="A2478" s="10">
        <v>44846.0</v>
      </c>
      <c r="B2478" s="11">
        <v>3902.0</v>
      </c>
      <c r="C2478" s="12">
        <v>0.4086</v>
      </c>
      <c r="D2478" s="2">
        <v>0.0028819444444444444</v>
      </c>
      <c r="E2478" s="12">
        <v>1.09</v>
      </c>
      <c r="F2478" s="12">
        <v>5.8</v>
      </c>
      <c r="G2478" s="11">
        <v>24633.0</v>
      </c>
      <c r="H2478" s="11">
        <v>4249.0</v>
      </c>
    </row>
    <row r="2479">
      <c r="A2479" s="10">
        <v>44847.0</v>
      </c>
      <c r="B2479" s="11">
        <v>3249.0</v>
      </c>
      <c r="C2479" s="12">
        <v>0.3723</v>
      </c>
      <c r="D2479" s="2">
        <v>0.002627314814814815</v>
      </c>
      <c r="E2479" s="12">
        <v>1.06</v>
      </c>
      <c r="F2479" s="12">
        <v>5.11</v>
      </c>
      <c r="G2479" s="11">
        <v>17537.0</v>
      </c>
      <c r="H2479" s="11">
        <v>3430.0</v>
      </c>
    </row>
    <row r="2480">
      <c r="A2480" s="10">
        <v>44848.0</v>
      </c>
      <c r="B2480" s="11">
        <v>2694.0</v>
      </c>
      <c r="C2480" s="12">
        <v>0.4744</v>
      </c>
      <c r="D2480" s="2">
        <v>0.002384259259259259</v>
      </c>
      <c r="E2480" s="12">
        <v>1.11</v>
      </c>
      <c r="F2480" s="12">
        <v>4.98</v>
      </c>
      <c r="G2480" s="11">
        <v>14871.0</v>
      </c>
      <c r="H2480" s="11">
        <v>2985.0</v>
      </c>
    </row>
    <row r="2481">
      <c r="A2481" s="10">
        <v>44849.0</v>
      </c>
      <c r="B2481" s="11">
        <v>1527.0</v>
      </c>
      <c r="C2481" s="12">
        <v>0.5081</v>
      </c>
      <c r="D2481" s="2">
        <v>0.0018981481481481482</v>
      </c>
      <c r="E2481" s="12">
        <v>1.13</v>
      </c>
      <c r="F2481" s="12">
        <v>3.49</v>
      </c>
      <c r="G2481" s="11">
        <v>6012.0</v>
      </c>
      <c r="H2481" s="11">
        <v>1722.0</v>
      </c>
    </row>
    <row r="2482">
      <c r="A2482" s="10">
        <v>44850.0</v>
      </c>
      <c r="B2482" s="11">
        <v>1763.0</v>
      </c>
      <c r="C2482" s="12">
        <v>0.5037</v>
      </c>
      <c r="D2482" s="2">
        <v>0.0019097222222222222</v>
      </c>
      <c r="E2482" s="12">
        <v>1.08</v>
      </c>
      <c r="F2482" s="12">
        <v>5.1</v>
      </c>
      <c r="G2482" s="11">
        <v>9692.0</v>
      </c>
      <c r="H2482" s="11">
        <v>1902.0</v>
      </c>
    </row>
    <row r="2483">
      <c r="A2483" s="10">
        <v>44851.0</v>
      </c>
      <c r="B2483" s="11">
        <v>3124.0</v>
      </c>
      <c r="C2483" s="12">
        <v>0.3977</v>
      </c>
      <c r="D2483" s="2">
        <v>0.002928240740740741</v>
      </c>
      <c r="E2483" s="12">
        <v>1.11</v>
      </c>
      <c r="F2483" s="12">
        <v>4.98</v>
      </c>
      <c r="G2483" s="11">
        <v>17204.0</v>
      </c>
      <c r="H2483" s="11">
        <v>3457.0</v>
      </c>
    </row>
    <row r="2484">
      <c r="A2484" s="10">
        <v>44852.0</v>
      </c>
      <c r="B2484" s="11">
        <v>2694.0</v>
      </c>
      <c r="C2484" s="12">
        <v>0.3744</v>
      </c>
      <c r="D2484" s="2">
        <v>0.002800925925925926</v>
      </c>
      <c r="E2484" s="12">
        <v>1.17</v>
      </c>
      <c r="F2484" s="12">
        <v>6.11</v>
      </c>
      <c r="G2484" s="11">
        <v>19273.0</v>
      </c>
      <c r="H2484" s="11">
        <v>3152.0</v>
      </c>
    </row>
    <row r="2485">
      <c r="A2485" s="10">
        <v>44853.0</v>
      </c>
      <c r="B2485" s="11">
        <v>3208.0</v>
      </c>
      <c r="C2485" s="12">
        <v>0.4276</v>
      </c>
      <c r="D2485" s="2">
        <v>0.002395833333333333</v>
      </c>
      <c r="E2485" s="12">
        <v>1.1</v>
      </c>
      <c r="F2485" s="12">
        <v>5.07</v>
      </c>
      <c r="G2485" s="11">
        <v>17954.0</v>
      </c>
      <c r="H2485" s="11">
        <v>3541.0</v>
      </c>
    </row>
    <row r="2486">
      <c r="A2486" s="10">
        <v>44854.0</v>
      </c>
      <c r="B2486" s="11">
        <v>2888.0</v>
      </c>
      <c r="C2486" s="12">
        <v>0.4273</v>
      </c>
      <c r="D2486" s="2">
        <v>0.001979166666666667</v>
      </c>
      <c r="E2486" s="12">
        <v>1.09</v>
      </c>
      <c r="F2486" s="12">
        <v>4.04</v>
      </c>
      <c r="G2486" s="11">
        <v>12733.0</v>
      </c>
      <c r="H2486" s="11">
        <v>3152.0</v>
      </c>
    </row>
    <row r="2487">
      <c r="A2487" s="10">
        <v>44855.0</v>
      </c>
      <c r="B2487" s="11">
        <v>2333.0</v>
      </c>
      <c r="C2487" s="12">
        <v>0.4325</v>
      </c>
      <c r="D2487" s="2">
        <v>0.002395833333333333</v>
      </c>
      <c r="E2487" s="12">
        <v>1.1</v>
      </c>
      <c r="F2487" s="12">
        <v>4.64</v>
      </c>
      <c r="G2487" s="11">
        <v>11914.0</v>
      </c>
      <c r="H2487" s="11">
        <v>2569.0</v>
      </c>
    </row>
    <row r="2488">
      <c r="A2488" s="10">
        <v>44856.0</v>
      </c>
      <c r="B2488" s="11">
        <v>1291.0</v>
      </c>
      <c r="C2488" s="12">
        <v>0.4657</v>
      </c>
      <c r="D2488" s="2">
        <v>0.002384259259259259</v>
      </c>
      <c r="E2488" s="12">
        <v>1.11</v>
      </c>
      <c r="F2488" s="12">
        <v>5.85</v>
      </c>
      <c r="G2488" s="11">
        <v>8359.0</v>
      </c>
      <c r="H2488" s="11">
        <v>1430.0</v>
      </c>
    </row>
    <row r="2489">
      <c r="A2489" s="10">
        <v>44857.0</v>
      </c>
      <c r="B2489" s="11">
        <v>1472.0</v>
      </c>
      <c r="C2489" s="12">
        <v>0.4655</v>
      </c>
      <c r="D2489" s="2">
        <v>0.0034837962962962965</v>
      </c>
      <c r="E2489" s="12">
        <v>1.09</v>
      </c>
      <c r="F2489" s="12">
        <v>7.35</v>
      </c>
      <c r="G2489" s="11">
        <v>11844.0</v>
      </c>
      <c r="H2489" s="11">
        <v>1611.0</v>
      </c>
    </row>
    <row r="2490">
      <c r="A2490" s="10">
        <v>44858.0</v>
      </c>
      <c r="B2490" s="11">
        <v>2513.0</v>
      </c>
      <c r="C2490" s="12">
        <v>0.4154</v>
      </c>
      <c r="D2490" s="2">
        <v>0.0032291666666666666</v>
      </c>
      <c r="E2490" s="12">
        <v>1.14</v>
      </c>
      <c r="F2490" s="12">
        <v>5.65</v>
      </c>
      <c r="G2490" s="11">
        <v>16246.0</v>
      </c>
      <c r="H2490" s="11">
        <v>2874.0</v>
      </c>
    </row>
    <row r="2491">
      <c r="A2491" s="10">
        <v>44859.0</v>
      </c>
      <c r="B2491" s="11">
        <v>2971.0</v>
      </c>
      <c r="C2491" s="12">
        <v>0.4958</v>
      </c>
      <c r="D2491" s="2">
        <v>0.0018287037037037037</v>
      </c>
      <c r="E2491" s="12">
        <v>1.09</v>
      </c>
      <c r="F2491" s="12">
        <v>4.36</v>
      </c>
      <c r="G2491" s="11">
        <v>14177.0</v>
      </c>
      <c r="H2491" s="11">
        <v>3249.0</v>
      </c>
    </row>
    <row r="2492">
      <c r="A2492" s="10">
        <v>44860.0</v>
      </c>
      <c r="B2492" s="11">
        <v>2916.0</v>
      </c>
      <c r="C2492" s="12">
        <v>0.4453</v>
      </c>
      <c r="D2492" s="2">
        <v>0.002685185185185185</v>
      </c>
      <c r="E2492" s="12">
        <v>1.09</v>
      </c>
      <c r="F2492" s="12">
        <v>4.69</v>
      </c>
      <c r="G2492" s="11">
        <v>14913.0</v>
      </c>
      <c r="H2492" s="11">
        <v>3180.0</v>
      </c>
    </row>
    <row r="2493">
      <c r="A2493" s="10">
        <v>44861.0</v>
      </c>
      <c r="B2493" s="11">
        <v>2499.0</v>
      </c>
      <c r="C2493" s="12">
        <v>0.4171</v>
      </c>
      <c r="D2493" s="2">
        <v>0.0027314814814814814</v>
      </c>
      <c r="E2493" s="12">
        <v>1.17</v>
      </c>
      <c r="F2493" s="12">
        <v>5.64</v>
      </c>
      <c r="G2493" s="11">
        <v>16537.0</v>
      </c>
      <c r="H2493" s="11">
        <v>2930.0</v>
      </c>
    </row>
    <row r="2494">
      <c r="A2494" s="10">
        <v>44862.0</v>
      </c>
      <c r="B2494" s="11">
        <v>2166.0</v>
      </c>
      <c r="C2494" s="12">
        <v>0.3695</v>
      </c>
      <c r="D2494" s="2">
        <v>0.0032407407407407406</v>
      </c>
      <c r="E2494" s="12">
        <v>1.13</v>
      </c>
      <c r="F2494" s="12">
        <v>5.15</v>
      </c>
      <c r="G2494" s="11">
        <v>12580.0</v>
      </c>
      <c r="H2494" s="11">
        <v>2444.0</v>
      </c>
    </row>
    <row r="2495">
      <c r="A2495" s="10">
        <v>44863.0</v>
      </c>
      <c r="B2495" s="11">
        <v>1319.0</v>
      </c>
      <c r="C2495" s="12">
        <v>0.4576</v>
      </c>
      <c r="D2495" s="2">
        <v>0.001851851851851852</v>
      </c>
      <c r="E2495" s="12">
        <v>1.13</v>
      </c>
      <c r="F2495" s="12">
        <v>4.37</v>
      </c>
      <c r="G2495" s="11">
        <v>6498.0</v>
      </c>
      <c r="H2495" s="11">
        <v>1486.0</v>
      </c>
    </row>
    <row r="2496">
      <c r="A2496" s="10">
        <v>44864.0</v>
      </c>
      <c r="B2496" s="11">
        <v>1514.0</v>
      </c>
      <c r="C2496" s="12">
        <v>0.4418</v>
      </c>
      <c r="D2496" s="2">
        <v>0.0021296296296296298</v>
      </c>
      <c r="E2496" s="12">
        <v>1.1</v>
      </c>
      <c r="F2496" s="12">
        <v>4.62</v>
      </c>
      <c r="G2496" s="11">
        <v>7693.0</v>
      </c>
      <c r="H2496" s="11">
        <v>1666.0</v>
      </c>
    </row>
    <row r="2497">
      <c r="A2497" s="10">
        <v>44865.0</v>
      </c>
      <c r="B2497" s="11">
        <v>2402.0</v>
      </c>
      <c r="C2497" s="12">
        <v>0.3991</v>
      </c>
      <c r="D2497" s="2">
        <v>0.002384259259259259</v>
      </c>
      <c r="E2497" s="12">
        <v>1.14</v>
      </c>
      <c r="F2497" s="12">
        <v>3.89</v>
      </c>
      <c r="G2497" s="11">
        <v>10692.0</v>
      </c>
      <c r="H2497" s="11">
        <v>2749.0</v>
      </c>
    </row>
    <row r="2498">
      <c r="A2498" s="10">
        <v>44866.0</v>
      </c>
      <c r="B2498" s="11">
        <v>3777.0</v>
      </c>
      <c r="C2498" s="12">
        <v>0.3409</v>
      </c>
      <c r="D2498" s="2">
        <v>0.002777777777777778</v>
      </c>
      <c r="E2498" s="12">
        <v>1.14</v>
      </c>
      <c r="F2498" s="12">
        <v>6.1</v>
      </c>
      <c r="G2498" s="11">
        <v>26354.0</v>
      </c>
      <c r="H2498" s="11">
        <v>4318.0</v>
      </c>
    </row>
    <row r="2499">
      <c r="A2499" s="10">
        <v>44867.0</v>
      </c>
      <c r="B2499" s="11">
        <v>3180.0</v>
      </c>
      <c r="C2499" s="12">
        <v>0.3895</v>
      </c>
      <c r="D2499" s="2">
        <v>0.003599537037037037</v>
      </c>
      <c r="E2499" s="12">
        <v>1.17</v>
      </c>
      <c r="F2499" s="12">
        <v>6.62</v>
      </c>
      <c r="G2499" s="11">
        <v>24522.0</v>
      </c>
      <c r="H2499" s="11">
        <v>3707.0</v>
      </c>
    </row>
    <row r="2500">
      <c r="A2500" s="10">
        <v>44868.0</v>
      </c>
      <c r="B2500" s="11">
        <v>3999.0</v>
      </c>
      <c r="C2500" s="12">
        <v>0.3574</v>
      </c>
      <c r="D2500" s="2">
        <v>0.002372685185185185</v>
      </c>
      <c r="E2500" s="12">
        <v>1.11</v>
      </c>
      <c r="F2500" s="12">
        <v>5.19</v>
      </c>
      <c r="G2500" s="11">
        <v>22980.0</v>
      </c>
      <c r="H2500" s="11">
        <v>4429.0</v>
      </c>
    </row>
    <row r="2501">
      <c r="A2501" s="10">
        <v>44869.0</v>
      </c>
      <c r="B2501" s="11">
        <v>3388.0</v>
      </c>
      <c r="C2501" s="12">
        <v>0.3483</v>
      </c>
      <c r="D2501" s="2">
        <v>0.0033796296296296296</v>
      </c>
      <c r="E2501" s="12">
        <v>1.09</v>
      </c>
      <c r="F2501" s="12">
        <v>6.78</v>
      </c>
      <c r="G2501" s="11">
        <v>25119.0</v>
      </c>
      <c r="H2501" s="11">
        <v>3707.0</v>
      </c>
    </row>
    <row r="2502">
      <c r="A2502" s="10">
        <v>44870.0</v>
      </c>
      <c r="B2502" s="11">
        <v>1652.0</v>
      </c>
      <c r="C2502" s="12">
        <v>0.481</v>
      </c>
      <c r="D2502" s="2">
        <v>0.002488425925925926</v>
      </c>
      <c r="E2502" s="12">
        <v>1.1</v>
      </c>
      <c r="F2502" s="12">
        <v>5.49</v>
      </c>
      <c r="G2502" s="11">
        <v>9984.0</v>
      </c>
      <c r="H2502" s="11">
        <v>1819.0</v>
      </c>
    </row>
    <row r="2503">
      <c r="A2503" s="10">
        <v>44871.0</v>
      </c>
      <c r="B2503" s="11">
        <v>1916.0</v>
      </c>
      <c r="C2503" s="12">
        <v>0.4746</v>
      </c>
      <c r="D2503" s="2">
        <v>0.0021875</v>
      </c>
      <c r="E2503" s="12">
        <v>1.13</v>
      </c>
      <c r="F2503" s="12">
        <v>4.51</v>
      </c>
      <c r="G2503" s="11">
        <v>9761.0</v>
      </c>
      <c r="H2503" s="11">
        <v>2166.0</v>
      </c>
    </row>
    <row r="2504">
      <c r="A2504" s="10">
        <v>44872.0</v>
      </c>
      <c r="B2504" s="11">
        <v>3346.0</v>
      </c>
      <c r="C2504" s="12">
        <v>0.3922</v>
      </c>
      <c r="D2504" s="2">
        <v>0.0019444444444444444</v>
      </c>
      <c r="E2504" s="12">
        <v>1.08</v>
      </c>
      <c r="F2504" s="12">
        <v>5.41</v>
      </c>
      <c r="G2504" s="11">
        <v>19537.0</v>
      </c>
      <c r="H2504" s="11">
        <v>3610.0</v>
      </c>
    </row>
    <row r="2505">
      <c r="A2505" s="10">
        <v>44873.0</v>
      </c>
      <c r="B2505" s="11">
        <v>3930.0</v>
      </c>
      <c r="C2505" s="12">
        <v>0.4767</v>
      </c>
      <c r="D2505" s="2">
        <v>0.0019560185185185184</v>
      </c>
      <c r="E2505" s="12">
        <v>1.07</v>
      </c>
      <c r="F2505" s="12">
        <v>4.28</v>
      </c>
      <c r="G2505" s="11">
        <v>17954.0</v>
      </c>
      <c r="H2505" s="11">
        <v>4193.0</v>
      </c>
    </row>
    <row r="2506">
      <c r="A2506" s="10">
        <v>44874.0</v>
      </c>
      <c r="B2506" s="11">
        <v>3388.0</v>
      </c>
      <c r="C2506" s="12">
        <v>0.421</v>
      </c>
      <c r="D2506" s="2">
        <v>0.0027083333333333334</v>
      </c>
      <c r="E2506" s="12">
        <v>1.09</v>
      </c>
      <c r="F2506" s="12">
        <v>5.32</v>
      </c>
      <c r="G2506" s="11">
        <v>19634.0</v>
      </c>
      <c r="H2506" s="11">
        <v>3694.0</v>
      </c>
    </row>
    <row r="2507">
      <c r="A2507" s="10">
        <v>44875.0</v>
      </c>
      <c r="B2507" s="11">
        <v>3013.0</v>
      </c>
      <c r="C2507" s="12">
        <v>0.4574</v>
      </c>
      <c r="D2507" s="2">
        <v>0.0019675925925925924</v>
      </c>
      <c r="E2507" s="12">
        <v>1.08</v>
      </c>
      <c r="F2507" s="12">
        <v>4.68</v>
      </c>
      <c r="G2507" s="11">
        <v>15218.0</v>
      </c>
      <c r="H2507" s="11">
        <v>3249.0</v>
      </c>
    </row>
    <row r="2508">
      <c r="A2508" s="10">
        <v>44876.0</v>
      </c>
      <c r="B2508" s="11">
        <v>2569.0</v>
      </c>
      <c r="C2508" s="12">
        <v>0.4165</v>
      </c>
      <c r="D2508" s="2">
        <v>0.002824074074074074</v>
      </c>
      <c r="E2508" s="12">
        <v>1.1</v>
      </c>
      <c r="F2508" s="12">
        <v>5.04</v>
      </c>
      <c r="G2508" s="11">
        <v>14274.0</v>
      </c>
      <c r="H2508" s="11">
        <v>2833.0</v>
      </c>
    </row>
    <row r="2509">
      <c r="A2509" s="10">
        <v>44877.0</v>
      </c>
      <c r="B2509" s="11">
        <v>1666.0</v>
      </c>
      <c r="C2509" s="12">
        <v>0.4566</v>
      </c>
      <c r="D2509" s="2">
        <v>0.0022916666666666667</v>
      </c>
      <c r="E2509" s="12">
        <v>1.06</v>
      </c>
      <c r="F2509" s="12">
        <v>5.28</v>
      </c>
      <c r="G2509" s="11">
        <v>9317.0</v>
      </c>
      <c r="H2509" s="11">
        <v>1763.0</v>
      </c>
    </row>
    <row r="2510">
      <c r="A2510" s="10">
        <v>44878.0</v>
      </c>
      <c r="B2510" s="11">
        <v>1652.0</v>
      </c>
      <c r="C2510" s="12">
        <v>0.4926</v>
      </c>
      <c r="D2510" s="2">
        <v>0.001388888888888889</v>
      </c>
      <c r="E2510" s="12">
        <v>1.14</v>
      </c>
      <c r="F2510" s="12">
        <v>3.95</v>
      </c>
      <c r="G2510" s="11">
        <v>7456.0</v>
      </c>
      <c r="H2510" s="11">
        <v>1888.0</v>
      </c>
    </row>
    <row r="2511">
      <c r="A2511" s="10">
        <v>44879.0</v>
      </c>
      <c r="B2511" s="11">
        <v>3180.0</v>
      </c>
      <c r="C2511" s="12">
        <v>0.4716</v>
      </c>
      <c r="D2511" s="2">
        <v>0.0016087962962962963</v>
      </c>
      <c r="E2511" s="12">
        <v>1.07</v>
      </c>
      <c r="F2511" s="12">
        <v>4.13</v>
      </c>
      <c r="G2511" s="11">
        <v>14108.0</v>
      </c>
      <c r="H2511" s="11">
        <v>3416.0</v>
      </c>
    </row>
    <row r="2512">
      <c r="A2512" s="10">
        <v>44880.0</v>
      </c>
      <c r="B2512" s="11">
        <v>3221.0</v>
      </c>
      <c r="C2512" s="12">
        <v>0.5281</v>
      </c>
      <c r="D2512" s="2">
        <v>0.0024074074074074076</v>
      </c>
      <c r="E2512" s="12">
        <v>1.08</v>
      </c>
      <c r="F2512" s="12">
        <v>4.34</v>
      </c>
      <c r="G2512" s="11">
        <v>15066.0</v>
      </c>
      <c r="H2512" s="11">
        <v>3471.0</v>
      </c>
    </row>
    <row r="2513">
      <c r="A2513" s="10">
        <v>44881.0</v>
      </c>
      <c r="B2513" s="11">
        <v>3319.0</v>
      </c>
      <c r="C2513" s="12">
        <v>0.4672</v>
      </c>
      <c r="D2513" s="2">
        <v>0.0018865740740740742</v>
      </c>
      <c r="E2513" s="12">
        <v>1.08</v>
      </c>
      <c r="F2513" s="12">
        <v>5.12</v>
      </c>
      <c r="G2513" s="11">
        <v>18426.0</v>
      </c>
      <c r="H2513" s="11">
        <v>3596.0</v>
      </c>
    </row>
    <row r="2514">
      <c r="A2514" s="10">
        <v>44882.0</v>
      </c>
      <c r="B2514" s="11">
        <v>3513.0</v>
      </c>
      <c r="C2514" s="12">
        <v>0.4195</v>
      </c>
      <c r="D2514" s="2">
        <v>0.0021296296296296298</v>
      </c>
      <c r="E2514" s="12">
        <v>1.13</v>
      </c>
      <c r="F2514" s="12">
        <v>5.26</v>
      </c>
      <c r="G2514" s="11">
        <v>20897.0</v>
      </c>
      <c r="H2514" s="11">
        <v>3971.0</v>
      </c>
    </row>
    <row r="2515">
      <c r="A2515" s="10">
        <v>44883.0</v>
      </c>
      <c r="B2515" s="11">
        <v>2722.0</v>
      </c>
      <c r="C2515" s="12">
        <v>0.4505</v>
      </c>
      <c r="D2515" s="2">
        <v>0.0021180555555555558</v>
      </c>
      <c r="E2515" s="12">
        <v>1.13</v>
      </c>
      <c r="F2515" s="12">
        <v>5.22</v>
      </c>
      <c r="G2515" s="11">
        <v>16079.0</v>
      </c>
      <c r="H2515" s="11">
        <v>3083.0</v>
      </c>
    </row>
    <row r="2516">
      <c r="A2516" s="10">
        <v>44884.0</v>
      </c>
      <c r="B2516" s="11">
        <v>1597.0</v>
      </c>
      <c r="C2516" s="12">
        <v>0.4495</v>
      </c>
      <c r="D2516" s="2">
        <v>0.0022453703703703702</v>
      </c>
      <c r="E2516" s="12">
        <v>1.12</v>
      </c>
      <c r="F2516" s="12">
        <v>4.81</v>
      </c>
      <c r="G2516" s="11">
        <v>8623.0</v>
      </c>
      <c r="H2516" s="11">
        <v>1791.0</v>
      </c>
    </row>
    <row r="2517">
      <c r="A2517" s="10">
        <v>44885.0</v>
      </c>
      <c r="B2517" s="11">
        <v>1750.0</v>
      </c>
      <c r="C2517" s="12">
        <v>0.5146</v>
      </c>
      <c r="D2517" s="2">
        <v>0.002349537037037037</v>
      </c>
      <c r="E2517" s="12">
        <v>1.09</v>
      </c>
      <c r="F2517" s="12">
        <v>5.39</v>
      </c>
      <c r="G2517" s="11">
        <v>10331.0</v>
      </c>
      <c r="H2517" s="11">
        <v>1916.0</v>
      </c>
    </row>
    <row r="2518">
      <c r="A2518" s="10">
        <v>44886.0</v>
      </c>
      <c r="B2518" s="11">
        <v>2902.0</v>
      </c>
      <c r="C2518" s="12">
        <v>0.389</v>
      </c>
      <c r="D2518" s="2">
        <v>0.0033564814814814816</v>
      </c>
      <c r="E2518" s="12">
        <v>1.12</v>
      </c>
      <c r="F2518" s="12">
        <v>6.68</v>
      </c>
      <c r="G2518" s="11">
        <v>21717.0</v>
      </c>
      <c r="H2518" s="11">
        <v>3249.0</v>
      </c>
    </row>
    <row r="2519">
      <c r="A2519" s="10">
        <v>44887.0</v>
      </c>
      <c r="B2519" s="11">
        <v>3083.0</v>
      </c>
      <c r="C2519" s="12">
        <v>0.4548</v>
      </c>
      <c r="D2519" s="2">
        <v>0.0025578703703703705</v>
      </c>
      <c r="E2519" s="12">
        <v>1.1</v>
      </c>
      <c r="F2519" s="12">
        <v>5.31</v>
      </c>
      <c r="G2519" s="11">
        <v>17995.0</v>
      </c>
      <c r="H2519" s="11">
        <v>3388.0</v>
      </c>
    </row>
    <row r="2520">
      <c r="A2520" s="10">
        <v>44888.0</v>
      </c>
      <c r="B2520" s="11">
        <v>2583.0</v>
      </c>
      <c r="C2520" s="12">
        <v>0.4649</v>
      </c>
      <c r="D2520" s="2">
        <v>0.0019675925925925924</v>
      </c>
      <c r="E2520" s="12">
        <v>1.08</v>
      </c>
      <c r="F2520" s="12">
        <v>4.17</v>
      </c>
      <c r="G2520" s="11">
        <v>11580.0</v>
      </c>
      <c r="H2520" s="11">
        <v>2777.0</v>
      </c>
    </row>
    <row r="2521">
      <c r="A2521" s="10">
        <v>44889.0</v>
      </c>
      <c r="B2521" s="11">
        <v>2222.0</v>
      </c>
      <c r="C2521" s="12">
        <v>0.5202</v>
      </c>
      <c r="D2521" s="2">
        <v>0.0013773148148148147</v>
      </c>
      <c r="E2521" s="12">
        <v>1.09</v>
      </c>
      <c r="F2521" s="12">
        <v>3.07</v>
      </c>
      <c r="G2521" s="11">
        <v>7456.0</v>
      </c>
      <c r="H2521" s="11">
        <v>2430.0</v>
      </c>
    </row>
    <row r="2522">
      <c r="A2522" s="10">
        <v>44890.0</v>
      </c>
      <c r="B2522" s="11">
        <v>2194.0</v>
      </c>
      <c r="C2522" s="12">
        <v>0.4153</v>
      </c>
      <c r="D2522" s="2">
        <v>0.002002314814814815</v>
      </c>
      <c r="E2522" s="12">
        <v>1.08</v>
      </c>
      <c r="F2522" s="12">
        <v>3.89</v>
      </c>
      <c r="G2522" s="11">
        <v>9234.0</v>
      </c>
      <c r="H2522" s="11">
        <v>2374.0</v>
      </c>
    </row>
    <row r="2523">
      <c r="A2523" s="10">
        <v>44891.0</v>
      </c>
      <c r="B2523" s="11">
        <v>1625.0</v>
      </c>
      <c r="C2523" s="12">
        <v>0.5314</v>
      </c>
      <c r="D2523" s="2">
        <v>0.0022916666666666667</v>
      </c>
      <c r="E2523" s="12">
        <v>1.08</v>
      </c>
      <c r="F2523" s="12">
        <v>4.86</v>
      </c>
      <c r="G2523" s="11">
        <v>8498.0</v>
      </c>
      <c r="H2523" s="11">
        <v>1750.0</v>
      </c>
    </row>
    <row r="2524">
      <c r="A2524" s="10">
        <v>44892.0</v>
      </c>
      <c r="B2524" s="11">
        <v>1888.0</v>
      </c>
      <c r="C2524" s="12">
        <v>0.4568</v>
      </c>
      <c r="D2524" s="2">
        <v>0.0032175925925925926</v>
      </c>
      <c r="E2524" s="12">
        <v>1.11</v>
      </c>
      <c r="F2524" s="12">
        <v>5.48</v>
      </c>
      <c r="G2524" s="11">
        <v>11497.0</v>
      </c>
      <c r="H2524" s="11">
        <v>2097.0</v>
      </c>
    </row>
    <row r="2525">
      <c r="A2525" s="10">
        <v>44893.0</v>
      </c>
      <c r="B2525" s="11">
        <v>5235.0</v>
      </c>
      <c r="C2525" s="12">
        <v>0.3021</v>
      </c>
      <c r="D2525" s="2">
        <v>0.0035185185185185185</v>
      </c>
      <c r="E2525" s="12">
        <v>1.16</v>
      </c>
      <c r="F2525" s="12">
        <v>7.48</v>
      </c>
      <c r="G2525" s="11">
        <v>45391.0</v>
      </c>
      <c r="H2525" s="11">
        <v>6068.0</v>
      </c>
    </row>
    <row r="2526">
      <c r="A2526" s="10">
        <v>44894.0</v>
      </c>
      <c r="B2526" s="11">
        <v>3152.0</v>
      </c>
      <c r="C2526" s="12">
        <v>0.4</v>
      </c>
      <c r="D2526" s="2">
        <v>0.0021643518518518518</v>
      </c>
      <c r="E2526" s="12">
        <v>1.15</v>
      </c>
      <c r="F2526" s="12">
        <v>4.09</v>
      </c>
      <c r="G2526" s="11">
        <v>14760.0</v>
      </c>
      <c r="H2526" s="11">
        <v>3610.0</v>
      </c>
    </row>
    <row r="2527">
      <c r="A2527" s="10">
        <v>44895.0</v>
      </c>
      <c r="B2527" s="11">
        <v>2958.0</v>
      </c>
      <c r="C2527" s="12">
        <v>0.4274</v>
      </c>
      <c r="D2527" s="2">
        <v>0.002476851851851852</v>
      </c>
      <c r="E2527" s="12">
        <v>1.13</v>
      </c>
      <c r="F2527" s="12">
        <v>4.27</v>
      </c>
      <c r="G2527" s="11">
        <v>14302.0</v>
      </c>
      <c r="H2527" s="11">
        <v>3346.0</v>
      </c>
    </row>
    <row r="2528">
      <c r="A2528" s="10">
        <v>44896.0</v>
      </c>
      <c r="B2528" s="11">
        <v>3416.0</v>
      </c>
      <c r="C2528" s="12">
        <v>0.4046</v>
      </c>
      <c r="D2528" s="2">
        <v>0.0023148148148148147</v>
      </c>
      <c r="E2528" s="12">
        <v>1.04</v>
      </c>
      <c r="F2528" s="12">
        <v>5.01</v>
      </c>
      <c r="G2528" s="11">
        <v>17898.0</v>
      </c>
      <c r="H2528" s="11">
        <v>3569.0</v>
      </c>
    </row>
    <row r="2529">
      <c r="A2529" s="10">
        <v>44897.0</v>
      </c>
      <c r="B2529" s="11">
        <v>3041.0</v>
      </c>
      <c r="C2529" s="12">
        <v>0.464</v>
      </c>
      <c r="D2529" s="2">
        <v>0.001990740740740741</v>
      </c>
      <c r="E2529" s="12">
        <v>1.07</v>
      </c>
      <c r="F2529" s="12">
        <v>4.43</v>
      </c>
      <c r="G2529" s="11">
        <v>14469.0</v>
      </c>
      <c r="H2529" s="11">
        <v>3263.0</v>
      </c>
    </row>
    <row r="2530">
      <c r="A2530" s="10">
        <v>44898.0</v>
      </c>
      <c r="B2530" s="11">
        <v>1666.0</v>
      </c>
      <c r="C2530" s="12">
        <v>0.4713</v>
      </c>
      <c r="D2530" s="2">
        <v>0.0020601851851851853</v>
      </c>
      <c r="E2530" s="12">
        <v>1.03</v>
      </c>
      <c r="F2530" s="12">
        <v>4.19</v>
      </c>
      <c r="G2530" s="11">
        <v>7165.0</v>
      </c>
      <c r="H2530" s="11">
        <v>1708.0</v>
      </c>
    </row>
    <row r="2531">
      <c r="A2531" s="10">
        <v>44899.0</v>
      </c>
      <c r="B2531" s="11">
        <v>1944.0</v>
      </c>
      <c r="C2531" s="12">
        <v>0.5636</v>
      </c>
      <c r="D2531" s="2">
        <v>0.0016203703703703703</v>
      </c>
      <c r="E2531" s="12">
        <v>1.06</v>
      </c>
      <c r="F2531" s="12">
        <v>3.2</v>
      </c>
      <c r="G2531" s="11">
        <v>6623.0</v>
      </c>
      <c r="H2531" s="11">
        <v>2069.0</v>
      </c>
    </row>
    <row r="2532">
      <c r="A2532" s="10">
        <v>44900.0</v>
      </c>
      <c r="B2532" s="11">
        <v>3124.0</v>
      </c>
      <c r="C2532" s="12">
        <v>0.4362</v>
      </c>
      <c r="D2532" s="2">
        <v>0.002372685185185185</v>
      </c>
      <c r="E2532" s="12">
        <v>1.11</v>
      </c>
      <c r="F2532" s="12">
        <v>4.86</v>
      </c>
      <c r="G2532" s="11">
        <v>16871.0</v>
      </c>
      <c r="H2532" s="11">
        <v>3471.0</v>
      </c>
    </row>
    <row r="2533">
      <c r="A2533" s="10">
        <v>44901.0</v>
      </c>
      <c r="B2533" s="11">
        <v>3916.0</v>
      </c>
      <c r="C2533" s="12">
        <v>0.3895</v>
      </c>
      <c r="D2533" s="2">
        <v>0.002361111111111111</v>
      </c>
      <c r="E2533" s="12">
        <v>1.14</v>
      </c>
      <c r="F2533" s="12">
        <v>4.77</v>
      </c>
      <c r="G2533" s="11">
        <v>21259.0</v>
      </c>
      <c r="H2533" s="11">
        <v>4457.0</v>
      </c>
    </row>
    <row r="2534">
      <c r="A2534" s="10">
        <v>44902.0</v>
      </c>
      <c r="B2534" s="11">
        <v>8359.0</v>
      </c>
      <c r="C2534" s="12">
        <v>0.4262</v>
      </c>
      <c r="D2534" s="2">
        <v>0.00318287037037037</v>
      </c>
      <c r="E2534" s="12">
        <v>1.1</v>
      </c>
      <c r="F2534" s="12">
        <v>5.56</v>
      </c>
      <c r="G2534" s="11">
        <v>51251.0</v>
      </c>
      <c r="H2534" s="11">
        <v>9220.0</v>
      </c>
    </row>
    <row r="2535">
      <c r="A2535" s="10">
        <v>44903.0</v>
      </c>
      <c r="B2535" s="11">
        <v>4902.0</v>
      </c>
      <c r="C2535" s="12">
        <v>0.4406</v>
      </c>
      <c r="D2535" s="2">
        <v>0.0022337962962962962</v>
      </c>
      <c r="E2535" s="12">
        <v>1.1</v>
      </c>
      <c r="F2535" s="12">
        <v>4.56</v>
      </c>
      <c r="G2535" s="11">
        <v>24563.0</v>
      </c>
      <c r="H2535" s="11">
        <v>5388.0</v>
      </c>
    </row>
    <row r="2536">
      <c r="A2536" s="10">
        <v>44904.0</v>
      </c>
      <c r="B2536" s="11">
        <v>3096.0</v>
      </c>
      <c r="C2536" s="12">
        <v>0.4761</v>
      </c>
      <c r="D2536" s="2">
        <v>0.0018865740740740742</v>
      </c>
      <c r="E2536" s="12">
        <v>1.13</v>
      </c>
      <c r="F2536" s="12">
        <v>4.26</v>
      </c>
      <c r="G2536" s="11">
        <v>14913.0</v>
      </c>
      <c r="H2536" s="11">
        <v>3499.0</v>
      </c>
    </row>
    <row r="2537">
      <c r="A2537" s="10">
        <v>44905.0</v>
      </c>
      <c r="B2537" s="11">
        <v>2166.0</v>
      </c>
      <c r="C2537" s="12">
        <v>0.5326</v>
      </c>
      <c r="D2537" s="2">
        <v>0.001388888888888889</v>
      </c>
      <c r="E2537" s="12">
        <v>1.08</v>
      </c>
      <c r="F2537" s="12">
        <v>3.84</v>
      </c>
      <c r="G2537" s="11">
        <v>9012.0</v>
      </c>
      <c r="H2537" s="11">
        <v>2347.0</v>
      </c>
    </row>
    <row r="2538">
      <c r="A2538" s="10">
        <v>44906.0</v>
      </c>
      <c r="B2538" s="11">
        <v>2319.0</v>
      </c>
      <c r="C2538" s="12">
        <v>0.5621</v>
      </c>
      <c r="D2538" s="2">
        <v>0.0022453703703703702</v>
      </c>
      <c r="E2538" s="12">
        <v>1.11</v>
      </c>
      <c r="F2538" s="12">
        <v>4.31</v>
      </c>
      <c r="G2538" s="11">
        <v>11081.0</v>
      </c>
      <c r="H2538" s="11">
        <v>2569.0</v>
      </c>
    </row>
    <row r="2539">
      <c r="A2539" s="10">
        <v>44907.0</v>
      </c>
      <c r="B2539" s="11">
        <v>3152.0</v>
      </c>
      <c r="C2539" s="12">
        <v>0.38</v>
      </c>
      <c r="D2539" s="2">
        <v>0.00369212962962963</v>
      </c>
      <c r="E2539" s="12">
        <v>1.23</v>
      </c>
      <c r="F2539" s="12">
        <v>6.69</v>
      </c>
      <c r="G2539" s="11">
        <v>25910.0</v>
      </c>
      <c r="H2539" s="11">
        <v>3874.0</v>
      </c>
    </row>
    <row r="2540">
      <c r="A2540" s="10">
        <v>44908.0</v>
      </c>
      <c r="B2540" s="11">
        <v>3041.0</v>
      </c>
      <c r="C2540" s="12">
        <v>0.4203</v>
      </c>
      <c r="D2540" s="2">
        <v>0.0024652777777777776</v>
      </c>
      <c r="E2540" s="12">
        <v>1.12</v>
      </c>
      <c r="F2540" s="12">
        <v>5.69</v>
      </c>
      <c r="G2540" s="11">
        <v>19342.0</v>
      </c>
      <c r="H2540" s="11">
        <v>3402.0</v>
      </c>
    </row>
    <row r="2541">
      <c r="A2541" s="10">
        <v>44909.0</v>
      </c>
      <c r="B2541" s="11">
        <v>3152.0</v>
      </c>
      <c r="C2541" s="12">
        <v>0.4506</v>
      </c>
      <c r="D2541" s="2">
        <v>0.002627314814814815</v>
      </c>
      <c r="E2541" s="12">
        <v>1.07</v>
      </c>
      <c r="F2541" s="12">
        <v>5.13</v>
      </c>
      <c r="G2541" s="11">
        <v>17232.0</v>
      </c>
      <c r="H2541" s="11">
        <v>3360.0</v>
      </c>
    </row>
    <row r="2542">
      <c r="A2542" s="10">
        <v>44910.0</v>
      </c>
      <c r="B2542" s="11">
        <v>2833.0</v>
      </c>
      <c r="C2542" s="12">
        <v>0.4207</v>
      </c>
      <c r="D2542" s="2">
        <v>0.002210648148148148</v>
      </c>
      <c r="E2542" s="12">
        <v>1.08</v>
      </c>
      <c r="F2542" s="12">
        <v>4.26</v>
      </c>
      <c r="G2542" s="11">
        <v>13080.0</v>
      </c>
      <c r="H2542" s="11">
        <v>3069.0</v>
      </c>
    </row>
    <row r="2543">
      <c r="A2543" s="10">
        <v>44911.0</v>
      </c>
      <c r="B2543" s="11">
        <v>2388.0</v>
      </c>
      <c r="C2543" s="12">
        <v>0.4031</v>
      </c>
      <c r="D2543" s="2">
        <v>0.002488425925925926</v>
      </c>
      <c r="E2543" s="12">
        <v>1.11</v>
      </c>
      <c r="F2543" s="12">
        <v>4.82</v>
      </c>
      <c r="G2543" s="11">
        <v>12775.0</v>
      </c>
      <c r="H2543" s="11">
        <v>2652.0</v>
      </c>
    </row>
    <row r="2544">
      <c r="A2544" s="10">
        <v>44912.0</v>
      </c>
      <c r="B2544" s="11">
        <v>1597.0</v>
      </c>
      <c r="C2544" s="12">
        <v>0.425</v>
      </c>
      <c r="D2544" s="2">
        <v>0.003171296296296296</v>
      </c>
      <c r="E2544" s="12">
        <v>1.17</v>
      </c>
      <c r="F2544" s="12">
        <v>7.64</v>
      </c>
      <c r="G2544" s="11">
        <v>14219.0</v>
      </c>
      <c r="H2544" s="11">
        <v>1861.0</v>
      </c>
    </row>
    <row r="2545">
      <c r="A2545" s="10">
        <v>44913.0</v>
      </c>
      <c r="B2545" s="11">
        <v>1416.0</v>
      </c>
      <c r="C2545" s="12">
        <v>0.5557</v>
      </c>
      <c r="D2545" s="2">
        <v>0.002013888888888889</v>
      </c>
      <c r="E2545" s="12">
        <v>1.15</v>
      </c>
      <c r="F2545" s="12">
        <v>4.08</v>
      </c>
      <c r="G2545" s="11">
        <v>6637.0</v>
      </c>
      <c r="H2545" s="11">
        <v>1625.0</v>
      </c>
    </row>
    <row r="2546">
      <c r="A2546" s="10">
        <v>44914.0</v>
      </c>
      <c r="B2546" s="11">
        <v>2638.0</v>
      </c>
      <c r="C2546" s="12">
        <v>0.44</v>
      </c>
      <c r="D2546" s="2">
        <v>0.0031944444444444446</v>
      </c>
      <c r="E2546" s="12">
        <v>1.1</v>
      </c>
      <c r="F2546" s="12">
        <v>4.82</v>
      </c>
      <c r="G2546" s="11">
        <v>13996.0</v>
      </c>
      <c r="H2546" s="11">
        <v>2902.0</v>
      </c>
    </row>
    <row r="2547">
      <c r="A2547" s="10">
        <v>44915.0</v>
      </c>
      <c r="B2547" s="11">
        <v>2458.0</v>
      </c>
      <c r="C2547" s="12">
        <v>0.4052</v>
      </c>
      <c r="D2547" s="2">
        <v>0.0022916666666666667</v>
      </c>
      <c r="E2547" s="12">
        <v>1.07</v>
      </c>
      <c r="F2547" s="12">
        <v>4.36</v>
      </c>
      <c r="G2547" s="11">
        <v>11497.0</v>
      </c>
      <c r="H2547" s="11">
        <v>2638.0</v>
      </c>
    </row>
    <row r="2548">
      <c r="A2548" s="10">
        <v>44916.0</v>
      </c>
      <c r="B2548" s="11">
        <v>2374.0</v>
      </c>
      <c r="C2548" s="12">
        <v>0.4436</v>
      </c>
      <c r="D2548" s="2">
        <v>0.0020717592592592593</v>
      </c>
      <c r="E2548" s="12">
        <v>1.09</v>
      </c>
      <c r="F2548" s="12">
        <v>4.87</v>
      </c>
      <c r="G2548" s="11">
        <v>12650.0</v>
      </c>
      <c r="H2548" s="11">
        <v>2597.0</v>
      </c>
    </row>
    <row r="2549">
      <c r="A2549" s="10">
        <v>44917.0</v>
      </c>
      <c r="B2549" s="11">
        <v>2111.0</v>
      </c>
      <c r="C2549" s="12">
        <v>0.4346</v>
      </c>
      <c r="D2549" s="2">
        <v>0.0014351851851851852</v>
      </c>
      <c r="E2549" s="12">
        <v>1.11</v>
      </c>
      <c r="F2549" s="12">
        <v>2.91</v>
      </c>
      <c r="G2549" s="11">
        <v>6790.0</v>
      </c>
      <c r="H2549" s="11">
        <v>2333.0</v>
      </c>
    </row>
    <row r="2550">
      <c r="A2550" s="10">
        <v>44918.0</v>
      </c>
      <c r="B2550" s="11">
        <v>1458.0</v>
      </c>
      <c r="C2550" s="12">
        <v>0.5212</v>
      </c>
      <c r="D2550" s="2">
        <v>0.0019560185185185184</v>
      </c>
      <c r="E2550" s="12">
        <v>1.11</v>
      </c>
      <c r="F2550" s="12">
        <v>4.0</v>
      </c>
      <c r="G2550" s="11">
        <v>6498.0</v>
      </c>
      <c r="H2550" s="11">
        <v>1625.0</v>
      </c>
    </row>
    <row r="2551">
      <c r="A2551" s="10">
        <v>44919.0</v>
      </c>
      <c r="B2551" s="11">
        <v>1125.0</v>
      </c>
      <c r="C2551" s="12">
        <v>0.56</v>
      </c>
      <c r="D2551" s="2">
        <v>0.0011342592592592593</v>
      </c>
      <c r="E2551" s="12">
        <v>1.04</v>
      </c>
      <c r="F2551" s="12">
        <v>3.0</v>
      </c>
      <c r="G2551" s="11">
        <v>3499.0</v>
      </c>
      <c r="H2551" s="11">
        <v>1166.0</v>
      </c>
    </row>
    <row r="2552">
      <c r="A2552" s="10">
        <v>44920.0</v>
      </c>
      <c r="B2552" s="11">
        <v>1222.0</v>
      </c>
      <c r="C2552" s="12">
        <v>0.4845</v>
      </c>
      <c r="D2552" s="2">
        <v>0.0030208333333333333</v>
      </c>
      <c r="E2552" s="12">
        <v>1.08</v>
      </c>
      <c r="F2552" s="12">
        <v>4.52</v>
      </c>
      <c r="G2552" s="11">
        <v>5957.0</v>
      </c>
      <c r="H2552" s="11">
        <v>1319.0</v>
      </c>
    </row>
    <row r="2553">
      <c r="A2553" s="10">
        <v>44921.0</v>
      </c>
      <c r="B2553" s="11">
        <v>1416.0</v>
      </c>
      <c r="C2553" s="12">
        <v>0.5391</v>
      </c>
      <c r="D2553" s="2">
        <v>0.0013078703703703703</v>
      </c>
      <c r="E2553" s="12">
        <v>1.13</v>
      </c>
      <c r="F2553" s="12">
        <v>3.64</v>
      </c>
      <c r="G2553" s="11">
        <v>5818.0</v>
      </c>
      <c r="H2553" s="11">
        <v>1597.0</v>
      </c>
    </row>
    <row r="2554">
      <c r="A2554" s="10">
        <v>44922.0</v>
      </c>
      <c r="B2554" s="11">
        <v>2013.0</v>
      </c>
      <c r="C2554" s="12">
        <v>0.4251</v>
      </c>
      <c r="D2554" s="2">
        <v>0.0019675925925925924</v>
      </c>
      <c r="E2554" s="12">
        <v>1.06</v>
      </c>
      <c r="F2554" s="12">
        <v>3.83</v>
      </c>
      <c r="G2554" s="11">
        <v>8137.0</v>
      </c>
      <c r="H2554" s="11">
        <v>2124.0</v>
      </c>
    </row>
    <row r="2555">
      <c r="A2555" s="10">
        <v>44923.0</v>
      </c>
      <c r="B2555" s="11">
        <v>1847.0</v>
      </c>
      <c r="C2555" s="12">
        <v>0.5171</v>
      </c>
      <c r="D2555" s="2">
        <v>0.0018981481481481482</v>
      </c>
      <c r="E2555" s="12">
        <v>1.09</v>
      </c>
      <c r="F2555" s="12">
        <v>3.74</v>
      </c>
      <c r="G2555" s="11">
        <v>7526.0</v>
      </c>
      <c r="H2555" s="11">
        <v>2013.0</v>
      </c>
    </row>
    <row r="2556">
      <c r="A2556" s="10">
        <v>44924.0</v>
      </c>
      <c r="B2556" s="11">
        <v>1708.0</v>
      </c>
      <c r="C2556" s="12">
        <v>0.5483</v>
      </c>
      <c r="D2556" s="2">
        <v>0.001585648148148148</v>
      </c>
      <c r="E2556" s="12">
        <v>1.1</v>
      </c>
      <c r="F2556" s="12">
        <v>3.61</v>
      </c>
      <c r="G2556" s="11">
        <v>6762.0</v>
      </c>
      <c r="H2556" s="11">
        <v>1875.0</v>
      </c>
    </row>
    <row r="2557">
      <c r="A2557" s="10">
        <v>44925.0</v>
      </c>
      <c r="B2557" s="11">
        <v>1375.0</v>
      </c>
      <c r="C2557" s="12">
        <v>0.5095</v>
      </c>
      <c r="D2557" s="2">
        <v>0.0020717592592592593</v>
      </c>
      <c r="E2557" s="12">
        <v>1.07</v>
      </c>
      <c r="F2557" s="12">
        <v>4.39</v>
      </c>
      <c r="G2557" s="11">
        <v>6457.0</v>
      </c>
      <c r="H2557" s="11">
        <v>1472.0</v>
      </c>
    </row>
    <row r="2558">
      <c r="A2558" s="10">
        <v>44926.0</v>
      </c>
      <c r="B2558" s="11">
        <v>1041.0</v>
      </c>
      <c r="C2558" s="12">
        <v>0.4693</v>
      </c>
      <c r="D2558" s="2">
        <v>0.0023148148148148147</v>
      </c>
      <c r="E2558" s="12">
        <v>1.08</v>
      </c>
      <c r="F2558" s="12">
        <v>3.86</v>
      </c>
      <c r="G2558" s="11">
        <v>4346.0</v>
      </c>
      <c r="H2558" s="11">
        <v>1125.0</v>
      </c>
    </row>
    <row r="2559">
      <c r="A2559" s="10">
        <v>44927.0</v>
      </c>
      <c r="B2559" s="11">
        <v>1208.0</v>
      </c>
      <c r="C2559" s="12">
        <v>0.4701</v>
      </c>
      <c r="D2559" s="2">
        <v>0.0023263888888888887</v>
      </c>
      <c r="E2559" s="12">
        <v>1.15</v>
      </c>
      <c r="F2559" s="12">
        <v>4.83</v>
      </c>
      <c r="G2559" s="11">
        <v>6707.0</v>
      </c>
      <c r="H2559" s="11">
        <v>1389.0</v>
      </c>
    </row>
    <row r="2560">
      <c r="A2560" s="10">
        <v>44928.0</v>
      </c>
      <c r="B2560" s="11">
        <v>1597.0</v>
      </c>
      <c r="C2560" s="12">
        <v>0.5121</v>
      </c>
      <c r="D2560" s="2">
        <v>0.0012037037037037038</v>
      </c>
      <c r="E2560" s="12">
        <v>1.09</v>
      </c>
      <c r="F2560" s="12">
        <v>3.53</v>
      </c>
      <c r="G2560" s="11">
        <v>6123.0</v>
      </c>
      <c r="H2560" s="11">
        <v>1736.0</v>
      </c>
    </row>
    <row r="2561">
      <c r="A2561" s="10">
        <v>44929.0</v>
      </c>
      <c r="B2561" s="11">
        <v>2555.0</v>
      </c>
      <c r="C2561" s="12">
        <v>0.4228</v>
      </c>
      <c r="D2561" s="2">
        <v>0.0018402777777777777</v>
      </c>
      <c r="E2561" s="12">
        <v>1.09</v>
      </c>
      <c r="F2561" s="12">
        <v>4.28</v>
      </c>
      <c r="G2561" s="11">
        <v>11955.0</v>
      </c>
      <c r="H2561" s="11">
        <v>2791.0</v>
      </c>
    </row>
    <row r="2562">
      <c r="A2562" s="10">
        <v>44930.0</v>
      </c>
      <c r="B2562" s="11">
        <v>2430.0</v>
      </c>
      <c r="C2562" s="12">
        <v>0.5177</v>
      </c>
      <c r="D2562" s="2">
        <v>0.0023263888888888887</v>
      </c>
      <c r="E2562" s="12">
        <v>1.11</v>
      </c>
      <c r="F2562" s="12">
        <v>3.45</v>
      </c>
      <c r="G2562" s="11">
        <v>9345.0</v>
      </c>
      <c r="H2562" s="11">
        <v>2708.0</v>
      </c>
    </row>
    <row r="2563">
      <c r="A2563" s="10">
        <v>44931.0</v>
      </c>
      <c r="B2563" s="11">
        <v>3083.0</v>
      </c>
      <c r="C2563" s="12">
        <v>0.4292</v>
      </c>
      <c r="D2563" s="2">
        <v>0.0024305555555555556</v>
      </c>
      <c r="E2563" s="12">
        <v>1.11</v>
      </c>
      <c r="F2563" s="12">
        <v>4.9</v>
      </c>
      <c r="G2563" s="11">
        <v>16801.0</v>
      </c>
      <c r="H2563" s="11">
        <v>3430.0</v>
      </c>
    </row>
    <row r="2564">
      <c r="A2564" s="10">
        <v>44932.0</v>
      </c>
      <c r="B2564" s="11">
        <v>2222.0</v>
      </c>
      <c r="C2564" s="12">
        <v>0.4551</v>
      </c>
      <c r="D2564" s="2">
        <v>0.0024305555555555556</v>
      </c>
      <c r="E2564" s="12">
        <v>1.11</v>
      </c>
      <c r="F2564" s="12">
        <v>4.42</v>
      </c>
      <c r="G2564" s="11">
        <v>10928.0</v>
      </c>
      <c r="H2564" s="11">
        <v>2472.0</v>
      </c>
    </row>
    <row r="2565">
      <c r="A2565" s="10">
        <v>44933.0</v>
      </c>
      <c r="B2565" s="11">
        <v>1500.0</v>
      </c>
      <c r="C2565" s="12">
        <v>0.4625</v>
      </c>
      <c r="D2565" s="2">
        <v>0.0014814814814814814</v>
      </c>
      <c r="E2565" s="12">
        <v>1.1</v>
      </c>
      <c r="F2565" s="12">
        <v>3.54</v>
      </c>
      <c r="G2565" s="11">
        <v>5846.0</v>
      </c>
      <c r="H2565" s="11">
        <v>1652.0</v>
      </c>
    </row>
    <row r="2566">
      <c r="A2566" s="10">
        <v>44934.0</v>
      </c>
      <c r="B2566" s="11">
        <v>1805.0</v>
      </c>
      <c r="C2566" s="12">
        <v>0.5776</v>
      </c>
      <c r="D2566" s="2">
        <v>0.0021759259259259258</v>
      </c>
      <c r="E2566" s="12">
        <v>1.09</v>
      </c>
      <c r="F2566" s="12">
        <v>2.47</v>
      </c>
      <c r="G2566" s="11">
        <v>4874.0</v>
      </c>
      <c r="H2566" s="11">
        <v>1972.0</v>
      </c>
    </row>
    <row r="2567">
      <c r="A2567" s="10">
        <v>44935.0</v>
      </c>
      <c r="B2567" s="11">
        <v>2722.0</v>
      </c>
      <c r="C2567" s="12">
        <v>0.4741</v>
      </c>
      <c r="D2567" s="2">
        <v>0.001863425925925926</v>
      </c>
      <c r="E2567" s="12">
        <v>1.08</v>
      </c>
      <c r="F2567" s="12">
        <v>3.77</v>
      </c>
      <c r="G2567" s="11">
        <v>11039.0</v>
      </c>
      <c r="H2567" s="11">
        <v>2930.0</v>
      </c>
    </row>
    <row r="2568">
      <c r="A2568" s="10">
        <v>44936.0</v>
      </c>
      <c r="B2568" s="11">
        <v>2319.0</v>
      </c>
      <c r="C2568" s="12">
        <v>0.4484</v>
      </c>
      <c r="D2568" s="2">
        <v>0.002013888888888889</v>
      </c>
      <c r="E2568" s="12">
        <v>1.11</v>
      </c>
      <c r="F2568" s="12">
        <v>4.05</v>
      </c>
      <c r="G2568" s="11">
        <v>10400.0</v>
      </c>
      <c r="H2568" s="11">
        <v>2569.0</v>
      </c>
    </row>
    <row r="2569">
      <c r="A2569" s="10">
        <v>44937.0</v>
      </c>
      <c r="B2569" s="11">
        <v>2569.0</v>
      </c>
      <c r="C2569" s="12">
        <v>0.4523</v>
      </c>
      <c r="D2569" s="2">
        <v>0.0027083333333333334</v>
      </c>
      <c r="E2569" s="12">
        <v>1.14</v>
      </c>
      <c r="F2569" s="12">
        <v>4.81</v>
      </c>
      <c r="G2569" s="11">
        <v>14024.0</v>
      </c>
      <c r="H2569" s="11">
        <v>2916.0</v>
      </c>
    </row>
    <row r="2570">
      <c r="A2570" s="10">
        <v>44938.0</v>
      </c>
      <c r="B2570" s="11">
        <v>2402.0</v>
      </c>
      <c r="C2570" s="12">
        <v>0.3946</v>
      </c>
      <c r="D2570" s="2">
        <v>0.0019444444444444444</v>
      </c>
      <c r="E2570" s="12">
        <v>1.1</v>
      </c>
      <c r="F2570" s="12">
        <v>3.81</v>
      </c>
      <c r="G2570" s="11">
        <v>10053.0</v>
      </c>
      <c r="H2570" s="11">
        <v>2638.0</v>
      </c>
    </row>
    <row r="2571">
      <c r="A2571" s="10">
        <v>44939.0</v>
      </c>
      <c r="B2571" s="11">
        <v>1999.0</v>
      </c>
      <c r="C2571" s="12">
        <v>0.5375</v>
      </c>
      <c r="D2571" s="2">
        <v>0.0020949074074074073</v>
      </c>
      <c r="E2571" s="12">
        <v>1.2</v>
      </c>
      <c r="F2571" s="12">
        <v>3.49</v>
      </c>
      <c r="G2571" s="11">
        <v>8387.0</v>
      </c>
      <c r="H2571" s="11">
        <v>2402.0</v>
      </c>
    </row>
    <row r="2572">
      <c r="A2572" s="10">
        <v>44940.0</v>
      </c>
      <c r="B2572" s="11">
        <v>1430.0</v>
      </c>
      <c r="C2572" s="12">
        <v>0.5085</v>
      </c>
      <c r="D2572" s="2">
        <v>0.002395833333333333</v>
      </c>
      <c r="E2572" s="12">
        <v>1.15</v>
      </c>
      <c r="F2572" s="12">
        <v>3.81</v>
      </c>
      <c r="G2572" s="11">
        <v>6235.0</v>
      </c>
      <c r="H2572" s="11">
        <v>1638.0</v>
      </c>
    </row>
    <row r="2573">
      <c r="A2573" s="10">
        <v>44941.0</v>
      </c>
      <c r="B2573" s="11">
        <v>1722.0</v>
      </c>
      <c r="C2573" s="12">
        <v>0.5222</v>
      </c>
      <c r="D2573" s="2">
        <v>0.0018865740740740742</v>
      </c>
      <c r="E2573" s="12">
        <v>1.1</v>
      </c>
      <c r="F2573" s="12">
        <v>3.64</v>
      </c>
      <c r="G2573" s="11">
        <v>6873.0</v>
      </c>
      <c r="H2573" s="11">
        <v>1888.0</v>
      </c>
    </row>
    <row r="2574">
      <c r="A2574" s="10">
        <v>44942.0</v>
      </c>
      <c r="B2574" s="11">
        <v>2124.0</v>
      </c>
      <c r="C2574" s="12">
        <v>0.4912</v>
      </c>
      <c r="D2574" s="2">
        <v>0.0014930555555555556</v>
      </c>
      <c r="E2574" s="12">
        <v>1.09</v>
      </c>
      <c r="F2574" s="12">
        <v>3.92</v>
      </c>
      <c r="G2574" s="11">
        <v>9095.0</v>
      </c>
      <c r="H2574" s="11">
        <v>2319.0</v>
      </c>
    </row>
    <row r="2575">
      <c r="A2575" s="10">
        <v>44943.0</v>
      </c>
      <c r="B2575" s="11">
        <v>2624.0</v>
      </c>
      <c r="C2575" s="12">
        <v>0.4629</v>
      </c>
      <c r="D2575" s="2">
        <v>0.0015393518518518519</v>
      </c>
      <c r="E2575" s="12">
        <v>1.07</v>
      </c>
      <c r="F2575" s="12">
        <v>4.01</v>
      </c>
      <c r="G2575" s="11">
        <v>11317.0</v>
      </c>
      <c r="H2575" s="11">
        <v>2819.0</v>
      </c>
    </row>
    <row r="2576">
      <c r="A2576" s="10">
        <v>44944.0</v>
      </c>
      <c r="B2576" s="11">
        <v>2624.0</v>
      </c>
      <c r="C2576" s="12">
        <v>0.5437</v>
      </c>
      <c r="D2576" s="2">
        <v>0.0022222222222222222</v>
      </c>
      <c r="E2576" s="12">
        <v>1.09</v>
      </c>
      <c r="F2576" s="12">
        <v>3.42</v>
      </c>
      <c r="G2576" s="11">
        <v>9789.0</v>
      </c>
      <c r="H2576" s="11">
        <v>2860.0</v>
      </c>
    </row>
    <row r="2577">
      <c r="A2577" s="10">
        <v>44945.0</v>
      </c>
      <c r="B2577" s="11">
        <v>2458.0</v>
      </c>
      <c r="C2577" s="12">
        <v>0.4541</v>
      </c>
      <c r="D2577" s="2">
        <v>0.002488425925925926</v>
      </c>
      <c r="E2577" s="12">
        <v>1.11</v>
      </c>
      <c r="F2577" s="12">
        <v>5.01</v>
      </c>
      <c r="G2577" s="11">
        <v>13649.0</v>
      </c>
      <c r="H2577" s="11">
        <v>2722.0</v>
      </c>
    </row>
    <row r="2578">
      <c r="A2578" s="10">
        <v>44946.0</v>
      </c>
      <c r="B2578" s="11">
        <v>2166.0</v>
      </c>
      <c r="C2578" s="12">
        <v>0.4254</v>
      </c>
      <c r="D2578" s="2">
        <v>0.0024074074074074076</v>
      </c>
      <c r="E2578" s="12">
        <v>1.16</v>
      </c>
      <c r="F2578" s="12">
        <v>4.75</v>
      </c>
      <c r="G2578" s="11">
        <v>11941.0</v>
      </c>
      <c r="H2578" s="11">
        <v>2513.0</v>
      </c>
    </row>
    <row r="2579">
      <c r="A2579" s="10">
        <v>44947.0</v>
      </c>
      <c r="B2579" s="11">
        <v>1347.0</v>
      </c>
      <c r="C2579" s="12">
        <v>0.5357</v>
      </c>
      <c r="D2579" s="2">
        <v>0.0018055555555555555</v>
      </c>
      <c r="E2579" s="12">
        <v>1.15</v>
      </c>
      <c r="F2579" s="12">
        <v>3.21</v>
      </c>
      <c r="G2579" s="11">
        <v>4999.0</v>
      </c>
      <c r="H2579" s="11">
        <v>1555.0</v>
      </c>
    </row>
    <row r="2580">
      <c r="A2580" s="10">
        <v>44948.0</v>
      </c>
      <c r="B2580" s="11">
        <v>1430.0</v>
      </c>
      <c r="C2580" s="12">
        <v>0.5616</v>
      </c>
      <c r="D2580" s="2">
        <v>0.0023148148148148147</v>
      </c>
      <c r="E2580" s="12">
        <v>1.11</v>
      </c>
      <c r="F2580" s="12">
        <v>2.69</v>
      </c>
      <c r="G2580" s="11">
        <v>4263.0</v>
      </c>
      <c r="H2580" s="11">
        <v>1583.0</v>
      </c>
    </row>
    <row r="2581">
      <c r="A2581" s="10">
        <v>44949.0</v>
      </c>
      <c r="B2581" s="11">
        <v>2236.0</v>
      </c>
      <c r="C2581" s="12">
        <v>0.5262</v>
      </c>
      <c r="D2581" s="2">
        <v>0.002013888888888889</v>
      </c>
      <c r="E2581" s="12">
        <v>1.07</v>
      </c>
      <c r="F2581" s="12">
        <v>4.01</v>
      </c>
      <c r="G2581" s="11">
        <v>9636.0</v>
      </c>
      <c r="H2581" s="11">
        <v>2402.0</v>
      </c>
    </row>
    <row r="2582">
      <c r="A2582" s="10">
        <v>44950.0</v>
      </c>
      <c r="B2582" s="11">
        <v>2222.0</v>
      </c>
      <c r="C2582" s="12">
        <v>0.4309</v>
      </c>
      <c r="D2582" s="2">
        <v>0.0019444444444444444</v>
      </c>
      <c r="E2582" s="12">
        <v>1.09</v>
      </c>
      <c r="F2582" s="12">
        <v>4.16</v>
      </c>
      <c r="G2582" s="11">
        <v>10053.0</v>
      </c>
      <c r="H2582" s="11">
        <v>2416.0</v>
      </c>
    </row>
    <row r="2583">
      <c r="A2583" s="10">
        <v>44951.0</v>
      </c>
      <c r="B2583" s="11">
        <v>2083.0</v>
      </c>
      <c r="C2583" s="12">
        <v>0.4503</v>
      </c>
      <c r="D2583" s="2">
        <v>0.0017708333333333332</v>
      </c>
      <c r="E2583" s="12">
        <v>1.14</v>
      </c>
      <c r="F2583" s="12">
        <v>3.64</v>
      </c>
      <c r="G2583" s="11">
        <v>8651.0</v>
      </c>
      <c r="H2583" s="11">
        <v>2374.0</v>
      </c>
    </row>
    <row r="2584">
      <c r="A2584" s="10">
        <v>44952.0</v>
      </c>
      <c r="B2584" s="11">
        <v>2277.0</v>
      </c>
      <c r="C2584" s="12">
        <v>0.4558</v>
      </c>
      <c r="D2584" s="2">
        <v>0.0022800925925925927</v>
      </c>
      <c r="E2584" s="12">
        <v>1.1</v>
      </c>
      <c r="F2584" s="12">
        <v>4.19</v>
      </c>
      <c r="G2584" s="11">
        <v>10470.0</v>
      </c>
      <c r="H2584" s="11">
        <v>2499.0</v>
      </c>
    </row>
    <row r="2585">
      <c r="A2585" s="10">
        <v>44953.0</v>
      </c>
      <c r="B2585" s="11">
        <v>1847.0</v>
      </c>
      <c r="C2585" s="12">
        <v>0.4508</v>
      </c>
      <c r="D2585" s="2">
        <v>0.002037037037037037</v>
      </c>
      <c r="E2585" s="12">
        <v>1.07</v>
      </c>
      <c r="F2585" s="12">
        <v>3.81</v>
      </c>
      <c r="G2585" s="11">
        <v>7512.0</v>
      </c>
      <c r="H2585" s="11">
        <v>1972.0</v>
      </c>
    </row>
    <row r="2586">
      <c r="A2586" s="10">
        <v>44954.0</v>
      </c>
      <c r="B2586" s="11">
        <v>1305.0</v>
      </c>
      <c r="C2586" s="12">
        <v>0.5784</v>
      </c>
      <c r="D2586" s="2">
        <v>0.0013657407407407407</v>
      </c>
      <c r="E2586" s="12">
        <v>1.09</v>
      </c>
      <c r="F2586" s="12">
        <v>3.43</v>
      </c>
      <c r="G2586" s="11">
        <v>4860.0</v>
      </c>
      <c r="H2586" s="11">
        <v>1416.0</v>
      </c>
    </row>
    <row r="2587">
      <c r="A2587" s="10">
        <v>44955.0</v>
      </c>
      <c r="B2587" s="11">
        <v>1361.0</v>
      </c>
      <c r="C2587" s="12">
        <v>0.5642</v>
      </c>
      <c r="D2587" s="2">
        <v>0.0012037037037037038</v>
      </c>
      <c r="E2587" s="12">
        <v>1.03</v>
      </c>
      <c r="F2587" s="12">
        <v>2.85</v>
      </c>
      <c r="G2587" s="11">
        <v>3999.0</v>
      </c>
      <c r="H2587" s="11">
        <v>1402.0</v>
      </c>
    </row>
    <row r="2588">
      <c r="A2588" s="10">
        <v>44956.0</v>
      </c>
      <c r="B2588" s="11">
        <v>2333.0</v>
      </c>
      <c r="C2588" s="12">
        <v>0.4699</v>
      </c>
      <c r="D2588" s="2">
        <v>0.001875</v>
      </c>
      <c r="E2588" s="12">
        <v>1.09</v>
      </c>
      <c r="F2588" s="12">
        <v>4.68</v>
      </c>
      <c r="G2588" s="11">
        <v>11886.0</v>
      </c>
      <c r="H2588" s="11">
        <v>2541.0</v>
      </c>
    </row>
    <row r="2589">
      <c r="A2589" s="10">
        <v>44957.0</v>
      </c>
      <c r="B2589" s="11">
        <v>2763.0</v>
      </c>
      <c r="C2589" s="12">
        <v>0.4932</v>
      </c>
      <c r="D2589" s="2">
        <v>0.0022222222222222222</v>
      </c>
      <c r="E2589" s="12">
        <v>1.12</v>
      </c>
      <c r="F2589" s="12">
        <v>3.71</v>
      </c>
      <c r="G2589" s="11">
        <v>11497.0</v>
      </c>
      <c r="H2589" s="11">
        <v>3096.0</v>
      </c>
    </row>
    <row r="2590">
      <c r="A2590" s="10">
        <v>44958.0</v>
      </c>
      <c r="B2590" s="11">
        <v>2638.0</v>
      </c>
      <c r="C2590" s="12">
        <v>0.5362</v>
      </c>
      <c r="D2590" s="2">
        <v>0.0015625</v>
      </c>
      <c r="E2590" s="12">
        <v>1.09</v>
      </c>
      <c r="F2590" s="12">
        <v>3.5</v>
      </c>
      <c r="G2590" s="11">
        <v>10053.0</v>
      </c>
      <c r="H2590" s="11">
        <v>2874.0</v>
      </c>
    </row>
    <row r="2591">
      <c r="A2591" s="10">
        <v>44959.0</v>
      </c>
      <c r="B2591" s="11">
        <v>2527.0</v>
      </c>
      <c r="C2591" s="12">
        <v>0.4901</v>
      </c>
      <c r="D2591" s="2">
        <v>0.0018402777777777777</v>
      </c>
      <c r="E2591" s="12">
        <v>1.1</v>
      </c>
      <c r="F2591" s="12">
        <v>4.07</v>
      </c>
      <c r="G2591" s="11">
        <v>11303.0</v>
      </c>
      <c r="H2591" s="11">
        <v>2777.0</v>
      </c>
    </row>
    <row r="2592">
      <c r="A2592" s="10">
        <v>44960.0</v>
      </c>
      <c r="B2592" s="11">
        <v>2027.0</v>
      </c>
      <c r="C2592" s="12">
        <v>0.4453</v>
      </c>
      <c r="D2592" s="2">
        <v>0.0019560185185185184</v>
      </c>
      <c r="E2592" s="12">
        <v>1.12</v>
      </c>
      <c r="F2592" s="12">
        <v>3.67</v>
      </c>
      <c r="G2592" s="11">
        <v>8359.0</v>
      </c>
      <c r="H2592" s="11">
        <v>2277.0</v>
      </c>
    </row>
    <row r="2593">
      <c r="A2593" s="10">
        <v>44961.0</v>
      </c>
      <c r="B2593" s="11">
        <v>1680.0</v>
      </c>
      <c r="C2593" s="12">
        <v>0.5599</v>
      </c>
      <c r="D2593" s="2">
        <v>0.0014467592592592592</v>
      </c>
      <c r="E2593" s="12">
        <v>1.03</v>
      </c>
      <c r="F2593" s="12">
        <v>3.2</v>
      </c>
      <c r="G2593" s="11">
        <v>5554.0</v>
      </c>
      <c r="H2593" s="11">
        <v>1736.0</v>
      </c>
    </row>
    <row r="2594">
      <c r="A2594" s="10">
        <v>44962.0</v>
      </c>
      <c r="B2594" s="11">
        <v>1777.0</v>
      </c>
      <c r="C2594" s="12">
        <v>0.5908</v>
      </c>
      <c r="D2594" s="2">
        <v>0.0013425925925925925</v>
      </c>
      <c r="E2594" s="12">
        <v>1.03</v>
      </c>
      <c r="F2594" s="12">
        <v>2.86</v>
      </c>
      <c r="G2594" s="11">
        <v>5249.0</v>
      </c>
      <c r="H2594" s="11">
        <v>1833.0</v>
      </c>
    </row>
    <row r="2595">
      <c r="A2595" s="10">
        <v>44963.0</v>
      </c>
      <c r="B2595" s="11">
        <v>2527.0</v>
      </c>
      <c r="C2595" s="12">
        <v>0.4652</v>
      </c>
      <c r="D2595" s="2">
        <v>0.0021180555555555558</v>
      </c>
      <c r="E2595" s="12">
        <v>1.11</v>
      </c>
      <c r="F2595" s="12">
        <v>4.09</v>
      </c>
      <c r="G2595" s="11">
        <v>11469.0</v>
      </c>
      <c r="H2595" s="11">
        <v>2805.0</v>
      </c>
    </row>
    <row r="2596">
      <c r="A2596" s="10">
        <v>44964.0</v>
      </c>
      <c r="B2596" s="11">
        <v>2777.0</v>
      </c>
      <c r="C2596" s="12">
        <v>0.5298</v>
      </c>
      <c r="D2596" s="2">
        <v>0.0012268518518518518</v>
      </c>
      <c r="E2596" s="12">
        <v>1.1</v>
      </c>
      <c r="F2596" s="12">
        <v>3.65</v>
      </c>
      <c r="G2596" s="11">
        <v>11094.0</v>
      </c>
      <c r="H2596" s="11">
        <v>3041.0</v>
      </c>
    </row>
    <row r="2597">
      <c r="A2597" s="10">
        <v>44965.0</v>
      </c>
      <c r="B2597" s="11">
        <v>2388.0</v>
      </c>
      <c r="C2597" s="12">
        <v>0.4696</v>
      </c>
      <c r="D2597" s="2">
        <v>0.0024652777777777776</v>
      </c>
      <c r="E2597" s="12">
        <v>1.15</v>
      </c>
      <c r="F2597" s="12">
        <v>3.91</v>
      </c>
      <c r="G2597" s="11">
        <v>10761.0</v>
      </c>
      <c r="H2597" s="11">
        <v>2749.0</v>
      </c>
    </row>
    <row r="2598">
      <c r="A2598" s="10">
        <v>44966.0</v>
      </c>
      <c r="B2598" s="11">
        <v>2610.0</v>
      </c>
      <c r="C2598" s="12">
        <v>0.4879</v>
      </c>
      <c r="D2598" s="2">
        <v>0.001851851851851852</v>
      </c>
      <c r="E2598" s="12">
        <v>1.09</v>
      </c>
      <c r="F2598" s="12">
        <v>3.38</v>
      </c>
      <c r="G2598" s="11">
        <v>9609.0</v>
      </c>
      <c r="H2598" s="11">
        <v>2847.0</v>
      </c>
    </row>
    <row r="2599">
      <c r="A2599" s="10">
        <v>44967.0</v>
      </c>
      <c r="B2599" s="11">
        <v>2138.0</v>
      </c>
      <c r="C2599" s="12">
        <v>0.5059</v>
      </c>
      <c r="D2599" s="2">
        <v>0.0018171296296296297</v>
      </c>
      <c r="E2599" s="12">
        <v>1.12</v>
      </c>
      <c r="F2599" s="12">
        <v>3.99</v>
      </c>
      <c r="G2599" s="11">
        <v>9525.0</v>
      </c>
      <c r="H2599" s="11">
        <v>2388.0</v>
      </c>
    </row>
    <row r="2600">
      <c r="A2600" s="10">
        <v>44968.0</v>
      </c>
      <c r="B2600" s="11">
        <v>1361.0</v>
      </c>
      <c r="C2600" s="12">
        <v>0.5944</v>
      </c>
      <c r="D2600" s="2">
        <v>0.001724537037037037</v>
      </c>
      <c r="E2600" s="12">
        <v>1.08</v>
      </c>
      <c r="F2600" s="12">
        <v>3.13</v>
      </c>
      <c r="G2600" s="11">
        <v>4610.0</v>
      </c>
      <c r="H2600" s="11">
        <v>1472.0</v>
      </c>
    </row>
    <row r="2601">
      <c r="A2601" s="10">
        <v>44969.0</v>
      </c>
      <c r="B2601" s="11">
        <v>1375.0</v>
      </c>
      <c r="C2601" s="12">
        <v>0.5041</v>
      </c>
      <c r="D2601" s="2">
        <v>0.0018171296296296297</v>
      </c>
      <c r="E2601" s="12">
        <v>1.14</v>
      </c>
      <c r="F2601" s="12">
        <v>3.5</v>
      </c>
      <c r="G2601" s="11">
        <v>5485.0</v>
      </c>
      <c r="H2601" s="11">
        <v>1569.0</v>
      </c>
    </row>
    <row r="2602">
      <c r="A2602" s="10">
        <v>44970.0</v>
      </c>
      <c r="B2602" s="11">
        <v>2291.0</v>
      </c>
      <c r="C2602" s="12">
        <v>0.4045</v>
      </c>
      <c r="D2602" s="2">
        <v>0.002488425925925926</v>
      </c>
      <c r="E2602" s="12">
        <v>1.08</v>
      </c>
      <c r="F2602" s="12">
        <v>4.21</v>
      </c>
      <c r="G2602" s="11">
        <v>10400.0</v>
      </c>
      <c r="H2602" s="11">
        <v>2472.0</v>
      </c>
    </row>
    <row r="2603">
      <c r="A2603" s="10">
        <v>44971.0</v>
      </c>
      <c r="B2603" s="11">
        <v>2041.0</v>
      </c>
      <c r="C2603" s="12">
        <v>0.4295</v>
      </c>
      <c r="D2603" s="2">
        <v>0.003472222222222222</v>
      </c>
      <c r="E2603" s="12">
        <v>1.11</v>
      </c>
      <c r="F2603" s="12">
        <v>5.52</v>
      </c>
      <c r="G2603" s="11">
        <v>12483.0</v>
      </c>
      <c r="H2603" s="11">
        <v>2263.0</v>
      </c>
    </row>
    <row r="2604">
      <c r="A2604" s="10">
        <v>44972.0</v>
      </c>
      <c r="B2604" s="11">
        <v>2388.0</v>
      </c>
      <c r="C2604" s="12">
        <v>0.4731</v>
      </c>
      <c r="D2604" s="2">
        <v>0.002476851851851852</v>
      </c>
      <c r="E2604" s="12">
        <v>1.08</v>
      </c>
      <c r="F2604" s="12">
        <v>4.83</v>
      </c>
      <c r="G2604" s="11">
        <v>12483.0</v>
      </c>
      <c r="H2604" s="11">
        <v>2583.0</v>
      </c>
    </row>
    <row r="2605">
      <c r="A2605" s="10">
        <v>44973.0</v>
      </c>
      <c r="B2605" s="11">
        <v>2458.0</v>
      </c>
      <c r="C2605" s="12">
        <v>0.4682</v>
      </c>
      <c r="D2605" s="2">
        <v>0.0022800925925925927</v>
      </c>
      <c r="E2605" s="12">
        <v>1.06</v>
      </c>
      <c r="F2605" s="12">
        <v>4.86</v>
      </c>
      <c r="G2605" s="11">
        <v>12691.0</v>
      </c>
      <c r="H2605" s="11">
        <v>2610.0</v>
      </c>
    </row>
    <row r="2606">
      <c r="A2606" s="10">
        <v>44974.0</v>
      </c>
      <c r="B2606" s="11">
        <v>1958.0</v>
      </c>
      <c r="C2606" s="12">
        <v>0.5064</v>
      </c>
      <c r="D2606" s="2">
        <v>0.0028935185185185184</v>
      </c>
      <c r="E2606" s="12">
        <v>1.08</v>
      </c>
      <c r="F2606" s="12">
        <v>3.54</v>
      </c>
      <c r="G2606" s="11">
        <v>7470.0</v>
      </c>
      <c r="H2606" s="11">
        <v>2111.0</v>
      </c>
    </row>
    <row r="2607">
      <c r="A2607" s="10">
        <v>44975.0</v>
      </c>
      <c r="B2607" s="11">
        <v>1333.0</v>
      </c>
      <c r="C2607" s="12">
        <v>0.5553</v>
      </c>
      <c r="D2607" s="2">
        <v>0.0022800925925925927</v>
      </c>
      <c r="E2607" s="12">
        <v>1.13</v>
      </c>
      <c r="F2607" s="12">
        <v>4.2</v>
      </c>
      <c r="G2607" s="11">
        <v>6304.0</v>
      </c>
      <c r="H2607" s="11">
        <v>1500.0</v>
      </c>
    </row>
    <row r="2608">
      <c r="A2608" s="10">
        <v>44976.0</v>
      </c>
      <c r="B2608" s="11">
        <v>1500.0</v>
      </c>
      <c r="C2608" s="12">
        <v>0.4381</v>
      </c>
      <c r="D2608" s="2">
        <v>0.0019444444444444444</v>
      </c>
      <c r="E2608" s="12">
        <v>1.12</v>
      </c>
      <c r="F2608" s="12">
        <v>4.64</v>
      </c>
      <c r="G2608" s="11">
        <v>7790.0</v>
      </c>
      <c r="H2608" s="11">
        <v>1680.0</v>
      </c>
    </row>
    <row r="2609">
      <c r="A2609" s="10">
        <v>44977.0</v>
      </c>
      <c r="B2609" s="11">
        <v>1888.0</v>
      </c>
      <c r="C2609" s="12">
        <v>0.5437</v>
      </c>
      <c r="D2609" s="2">
        <v>0.0012962962962962963</v>
      </c>
      <c r="E2609" s="12">
        <v>1.18</v>
      </c>
      <c r="F2609" s="12">
        <v>2.88</v>
      </c>
      <c r="G2609" s="11">
        <v>6401.0</v>
      </c>
      <c r="H2609" s="11">
        <v>2222.0</v>
      </c>
    </row>
    <row r="2610">
      <c r="A2610" s="10">
        <v>44978.0</v>
      </c>
      <c r="B2610" s="11">
        <v>2249.0</v>
      </c>
      <c r="C2610" s="12">
        <v>0.4558</v>
      </c>
      <c r="D2610" s="2">
        <v>0.0028356481481481483</v>
      </c>
      <c r="E2610" s="12">
        <v>1.11</v>
      </c>
      <c r="F2610" s="12">
        <v>5.0</v>
      </c>
      <c r="G2610" s="11">
        <v>12483.0</v>
      </c>
      <c r="H2610" s="11">
        <v>2499.0</v>
      </c>
    </row>
    <row r="2611">
      <c r="A2611" s="10">
        <v>44979.0</v>
      </c>
      <c r="B2611" s="11">
        <v>2347.0</v>
      </c>
      <c r="C2611" s="12">
        <v>0.438</v>
      </c>
      <c r="D2611" s="2">
        <v>0.001851851851851852</v>
      </c>
      <c r="E2611" s="12">
        <v>1.15</v>
      </c>
      <c r="F2611" s="12">
        <v>3.78</v>
      </c>
      <c r="G2611" s="11">
        <v>10192.0</v>
      </c>
      <c r="H2611" s="11">
        <v>2694.0</v>
      </c>
    </row>
    <row r="2612">
      <c r="A2612" s="10">
        <v>44980.0</v>
      </c>
      <c r="B2612" s="11">
        <v>2458.0</v>
      </c>
      <c r="C2612" s="12">
        <v>0.4947</v>
      </c>
      <c r="D2612" s="2">
        <v>0.0019212962962962964</v>
      </c>
      <c r="E2612" s="12">
        <v>1.07</v>
      </c>
      <c r="F2612" s="12">
        <v>3.36</v>
      </c>
      <c r="G2612" s="11">
        <v>8873.0</v>
      </c>
      <c r="H2612" s="11">
        <v>2638.0</v>
      </c>
    </row>
    <row r="2613">
      <c r="A2613" s="10">
        <v>44981.0</v>
      </c>
      <c r="B2613" s="11">
        <v>2027.0</v>
      </c>
      <c r="C2613" s="12">
        <v>0.5948</v>
      </c>
      <c r="D2613" s="2">
        <v>0.001388888888888889</v>
      </c>
      <c r="E2613" s="12">
        <v>1.08</v>
      </c>
      <c r="F2613" s="12">
        <v>3.1</v>
      </c>
      <c r="G2613" s="11">
        <v>6804.0</v>
      </c>
      <c r="H2613" s="11">
        <v>2194.0</v>
      </c>
    </row>
    <row r="2614">
      <c r="A2614" s="10">
        <v>44982.0</v>
      </c>
      <c r="B2614" s="11">
        <v>1291.0</v>
      </c>
      <c r="C2614" s="12">
        <v>0.4469</v>
      </c>
      <c r="D2614" s="2">
        <v>0.0033912037037037036</v>
      </c>
      <c r="E2614" s="12">
        <v>1.11</v>
      </c>
      <c r="F2614" s="12">
        <v>4.36</v>
      </c>
      <c r="G2614" s="11">
        <v>6235.0</v>
      </c>
      <c r="H2614" s="11">
        <v>1430.0</v>
      </c>
    </row>
    <row r="2615">
      <c r="A2615" s="10">
        <v>44983.0</v>
      </c>
      <c r="B2615" s="11">
        <v>1597.0</v>
      </c>
      <c r="C2615" s="12">
        <v>0.6019</v>
      </c>
      <c r="D2615" s="2">
        <v>0.0010879629629629629</v>
      </c>
      <c r="E2615" s="12">
        <v>1.07</v>
      </c>
      <c r="F2615" s="12">
        <v>2.9</v>
      </c>
      <c r="G2615" s="11">
        <v>4957.0</v>
      </c>
      <c r="H2615" s="11">
        <v>1708.0</v>
      </c>
    </row>
    <row r="2616">
      <c r="A2616" s="10">
        <v>44984.0</v>
      </c>
      <c r="B2616" s="11">
        <v>2180.0</v>
      </c>
      <c r="C2616" s="12">
        <v>0.4677</v>
      </c>
      <c r="D2616" s="2">
        <v>0.001863425925925926</v>
      </c>
      <c r="E2616" s="12">
        <v>1.18</v>
      </c>
      <c r="F2616" s="12">
        <v>3.44</v>
      </c>
      <c r="G2616" s="11">
        <v>8873.0</v>
      </c>
      <c r="H2616" s="11">
        <v>2583.0</v>
      </c>
    </row>
    <row r="2617">
      <c r="A2617" s="10">
        <v>44985.0</v>
      </c>
      <c r="B2617" s="11">
        <v>2513.0</v>
      </c>
      <c r="C2617" s="12">
        <v>0.4792</v>
      </c>
      <c r="D2617" s="2">
        <v>0.0013657407407407407</v>
      </c>
      <c r="E2617" s="12">
        <v>1.07</v>
      </c>
      <c r="F2617" s="12">
        <v>3.37</v>
      </c>
      <c r="G2617" s="11">
        <v>9067.0</v>
      </c>
      <c r="H2617" s="11">
        <v>2694.0</v>
      </c>
    </row>
    <row r="2618">
      <c r="A2618" s="10">
        <v>44986.0</v>
      </c>
      <c r="B2618" s="11">
        <v>2041.0</v>
      </c>
      <c r="C2618" s="12">
        <v>0.4081</v>
      </c>
      <c r="D2618" s="2">
        <v>0.001979166666666667</v>
      </c>
      <c r="E2618" s="12">
        <v>1.18</v>
      </c>
      <c r="F2618" s="12">
        <v>3.93</v>
      </c>
      <c r="G2618" s="11">
        <v>9484.0</v>
      </c>
      <c r="H2618" s="11">
        <v>2416.0</v>
      </c>
    </row>
    <row r="2619">
      <c r="A2619" s="10">
        <v>44987.0</v>
      </c>
      <c r="B2619" s="11">
        <v>2236.0</v>
      </c>
      <c r="C2619" s="12">
        <v>0.4246</v>
      </c>
      <c r="D2619" s="2">
        <v>0.002395833333333333</v>
      </c>
      <c r="E2619" s="12">
        <v>1.07</v>
      </c>
      <c r="F2619" s="12">
        <v>5.28</v>
      </c>
      <c r="G2619" s="11">
        <v>12608.0</v>
      </c>
      <c r="H2619" s="11">
        <v>2388.0</v>
      </c>
    </row>
    <row r="2620">
      <c r="A2620" s="10">
        <v>44988.0</v>
      </c>
      <c r="B2620" s="11">
        <v>2013.0</v>
      </c>
      <c r="C2620" s="12">
        <v>0.3867</v>
      </c>
      <c r="D2620" s="2">
        <v>0.002905092592592593</v>
      </c>
      <c r="E2620" s="12">
        <v>1.12</v>
      </c>
      <c r="F2620" s="12">
        <v>5.15</v>
      </c>
      <c r="G2620" s="11">
        <v>11650.0</v>
      </c>
      <c r="H2620" s="11">
        <v>2263.0</v>
      </c>
    </row>
    <row r="2621">
      <c r="A2621" s="10">
        <v>44989.0</v>
      </c>
      <c r="B2621" s="11">
        <v>1180.0</v>
      </c>
      <c r="C2621" s="12">
        <v>0.573</v>
      </c>
      <c r="D2621" s="2">
        <v>0.0025</v>
      </c>
      <c r="E2621" s="12">
        <v>1.29</v>
      </c>
      <c r="F2621" s="12">
        <v>3.98</v>
      </c>
      <c r="G2621" s="11">
        <v>6082.0</v>
      </c>
      <c r="H2621" s="11">
        <v>1527.0</v>
      </c>
    </row>
    <row r="2622">
      <c r="A2622" s="10">
        <v>44990.0</v>
      </c>
      <c r="B2622" s="11">
        <v>1264.0</v>
      </c>
      <c r="C2622" s="12">
        <v>0.5048</v>
      </c>
      <c r="D2622" s="2">
        <v>0.0018055555555555555</v>
      </c>
      <c r="E2622" s="12">
        <v>1.15</v>
      </c>
      <c r="F2622" s="12">
        <v>3.33</v>
      </c>
      <c r="G2622" s="11">
        <v>4860.0</v>
      </c>
      <c r="H2622" s="11">
        <v>1458.0</v>
      </c>
    </row>
    <row r="2623">
      <c r="A2623" s="10">
        <v>44991.0</v>
      </c>
      <c r="B2623" s="11">
        <v>2083.0</v>
      </c>
      <c r="C2623" s="12">
        <v>0.4974</v>
      </c>
      <c r="D2623" s="2">
        <v>0.0016666666666666668</v>
      </c>
      <c r="E2623" s="12">
        <v>1.19</v>
      </c>
      <c r="F2623" s="12">
        <v>3.22</v>
      </c>
      <c r="G2623" s="11">
        <v>8012.0</v>
      </c>
      <c r="H2623" s="11">
        <v>2485.0</v>
      </c>
    </row>
    <row r="2624">
      <c r="A2624" s="10">
        <v>44992.0</v>
      </c>
      <c r="B2624" s="11">
        <v>2236.0</v>
      </c>
      <c r="C2624" s="12">
        <v>0.5082</v>
      </c>
      <c r="D2624" s="2">
        <v>0.0022453703703703702</v>
      </c>
      <c r="E2624" s="12">
        <v>1.12</v>
      </c>
      <c r="F2624" s="12">
        <v>3.91</v>
      </c>
      <c r="G2624" s="11">
        <v>9831.0</v>
      </c>
      <c r="H2624" s="11">
        <v>2513.0</v>
      </c>
    </row>
    <row r="2625">
      <c r="A2625" s="10">
        <v>44993.0</v>
      </c>
      <c r="B2625" s="11">
        <v>2180.0</v>
      </c>
      <c r="C2625" s="12">
        <v>0.4189</v>
      </c>
      <c r="D2625" s="2">
        <v>0.0022800925925925927</v>
      </c>
      <c r="E2625" s="12">
        <v>1.14</v>
      </c>
      <c r="F2625" s="12">
        <v>3.84</v>
      </c>
      <c r="G2625" s="11">
        <v>9539.0</v>
      </c>
      <c r="H2625" s="11">
        <v>2485.0</v>
      </c>
    </row>
    <row r="2626">
      <c r="A2626" s="10">
        <v>44994.0</v>
      </c>
      <c r="B2626" s="11">
        <v>2194.0</v>
      </c>
      <c r="C2626" s="12">
        <v>0.4129</v>
      </c>
      <c r="D2626" s="2">
        <v>0.0022800925925925927</v>
      </c>
      <c r="E2626" s="12">
        <v>1.09</v>
      </c>
      <c r="F2626" s="12">
        <v>3.99</v>
      </c>
      <c r="G2626" s="11">
        <v>9539.0</v>
      </c>
      <c r="H2626" s="11">
        <v>2388.0</v>
      </c>
    </row>
    <row r="2627">
      <c r="A2627" s="10">
        <v>44995.0</v>
      </c>
      <c r="B2627" s="11">
        <v>2027.0</v>
      </c>
      <c r="C2627" s="12">
        <v>0.5033</v>
      </c>
      <c r="D2627" s="2">
        <v>0.0030092592592592593</v>
      </c>
      <c r="E2627" s="12">
        <v>1.12</v>
      </c>
      <c r="F2627" s="12">
        <v>4.04</v>
      </c>
      <c r="G2627" s="11">
        <v>9150.0</v>
      </c>
      <c r="H2627" s="11">
        <v>2263.0</v>
      </c>
    </row>
    <row r="2628">
      <c r="A2628" s="10">
        <v>44996.0</v>
      </c>
      <c r="B2628" s="11">
        <v>1458.0</v>
      </c>
      <c r="C2628" s="12">
        <v>0.586</v>
      </c>
      <c r="D2628" s="2">
        <v>0.0010300925925925926</v>
      </c>
      <c r="E2628" s="12">
        <v>1.06</v>
      </c>
      <c r="F2628" s="12">
        <v>2.86</v>
      </c>
      <c r="G2628" s="11">
        <v>4402.0</v>
      </c>
      <c r="H2628" s="11">
        <v>1541.0</v>
      </c>
    </row>
    <row r="2629">
      <c r="A2629" s="10">
        <v>44997.0</v>
      </c>
      <c r="B2629" s="11">
        <v>1222.0</v>
      </c>
      <c r="C2629" s="12">
        <v>0.5872</v>
      </c>
      <c r="D2629" s="2">
        <v>0.0013078703703703703</v>
      </c>
      <c r="E2629" s="12">
        <v>1.1</v>
      </c>
      <c r="F2629" s="12">
        <v>2.96</v>
      </c>
      <c r="G2629" s="11">
        <v>3985.0</v>
      </c>
      <c r="H2629" s="11">
        <v>1347.0</v>
      </c>
    </row>
    <row r="2630">
      <c r="A2630" s="10">
        <v>44998.0</v>
      </c>
      <c r="B2630" s="11">
        <v>2263.0</v>
      </c>
      <c r="C2630" s="12">
        <v>0.4838</v>
      </c>
      <c r="D2630" s="2">
        <v>0.0019444444444444444</v>
      </c>
      <c r="E2630" s="12">
        <v>1.13</v>
      </c>
      <c r="F2630" s="12">
        <v>3.83</v>
      </c>
      <c r="G2630" s="11">
        <v>9789.0</v>
      </c>
      <c r="H2630" s="11">
        <v>2555.0</v>
      </c>
    </row>
    <row r="2631">
      <c r="A2631" s="10">
        <v>44999.0</v>
      </c>
      <c r="B2631" s="11">
        <v>2388.0</v>
      </c>
      <c r="C2631" s="12">
        <v>0.4531</v>
      </c>
      <c r="D2631" s="2">
        <v>0.0022685185185185187</v>
      </c>
      <c r="E2631" s="12">
        <v>1.12</v>
      </c>
      <c r="F2631" s="12">
        <v>3.65</v>
      </c>
      <c r="G2631" s="11">
        <v>9734.0</v>
      </c>
      <c r="H2631" s="11">
        <v>2666.0</v>
      </c>
    </row>
    <row r="2632">
      <c r="A2632" s="10">
        <v>45000.0</v>
      </c>
      <c r="B2632" s="11">
        <v>2152.0</v>
      </c>
      <c r="C2632" s="12">
        <v>0.4567</v>
      </c>
      <c r="D2632" s="2">
        <v>0.0025462962962962965</v>
      </c>
      <c r="E2632" s="12">
        <v>1.12</v>
      </c>
      <c r="F2632" s="12">
        <v>3.63</v>
      </c>
      <c r="G2632" s="11">
        <v>8720.0</v>
      </c>
      <c r="H2632" s="11">
        <v>2402.0</v>
      </c>
    </row>
    <row r="2633">
      <c r="A2633" s="10">
        <v>45001.0</v>
      </c>
      <c r="B2633" s="11">
        <v>2097.0</v>
      </c>
      <c r="C2633" s="12">
        <v>0.4483</v>
      </c>
      <c r="D2633" s="2">
        <v>0.0022222222222222222</v>
      </c>
      <c r="E2633" s="12">
        <v>1.15</v>
      </c>
      <c r="F2633" s="12">
        <v>3.94</v>
      </c>
      <c r="G2633" s="11">
        <v>9525.0</v>
      </c>
      <c r="H2633" s="11">
        <v>2416.0</v>
      </c>
    </row>
    <row r="2634">
      <c r="A2634" s="10">
        <v>45002.0</v>
      </c>
      <c r="B2634" s="11">
        <v>1875.0</v>
      </c>
      <c r="C2634" s="12">
        <v>0.4798</v>
      </c>
      <c r="D2634" s="2">
        <v>0.001724537037037037</v>
      </c>
      <c r="E2634" s="12">
        <v>1.1</v>
      </c>
      <c r="F2634" s="12">
        <v>2.92</v>
      </c>
      <c r="G2634" s="11">
        <v>5998.0</v>
      </c>
      <c r="H2634" s="11">
        <v>2055.0</v>
      </c>
    </row>
    <row r="2635">
      <c r="A2635" s="10">
        <v>45003.0</v>
      </c>
      <c r="B2635" s="11">
        <v>1125.0</v>
      </c>
      <c r="C2635" s="12">
        <v>0.5115</v>
      </c>
      <c r="D2635" s="2">
        <v>0.0015972222222222223</v>
      </c>
      <c r="E2635" s="12">
        <v>1.09</v>
      </c>
      <c r="F2635" s="12">
        <v>2.76</v>
      </c>
      <c r="G2635" s="11">
        <v>3374.0</v>
      </c>
      <c r="H2635" s="11">
        <v>1222.0</v>
      </c>
    </row>
    <row r="2636">
      <c r="A2636" s="10">
        <v>45004.0</v>
      </c>
      <c r="B2636" s="11">
        <v>1347.0</v>
      </c>
      <c r="C2636" s="12">
        <v>0.5297</v>
      </c>
      <c r="D2636" s="2">
        <v>0.0026157407407407405</v>
      </c>
      <c r="E2636" s="12">
        <v>1.05</v>
      </c>
      <c r="F2636" s="12">
        <v>3.84</v>
      </c>
      <c r="G2636" s="11">
        <v>5443.0</v>
      </c>
      <c r="H2636" s="11">
        <v>1416.0</v>
      </c>
    </row>
    <row r="2637">
      <c r="A2637" s="10">
        <v>45005.0</v>
      </c>
      <c r="B2637" s="11">
        <v>2097.0</v>
      </c>
      <c r="C2637" s="12">
        <v>0.4305</v>
      </c>
      <c r="D2637" s="2">
        <v>0.002662037037037037</v>
      </c>
      <c r="E2637" s="12">
        <v>1.14</v>
      </c>
      <c r="F2637" s="12">
        <v>4.62</v>
      </c>
      <c r="G2637" s="11">
        <v>11039.0</v>
      </c>
      <c r="H2637" s="11">
        <v>2388.0</v>
      </c>
    </row>
    <row r="2638">
      <c r="A2638" s="10">
        <v>45006.0</v>
      </c>
      <c r="B2638" s="11">
        <v>2430.0</v>
      </c>
      <c r="C2638" s="12">
        <v>0.4616</v>
      </c>
      <c r="D2638" s="2">
        <v>0.002002314814814815</v>
      </c>
      <c r="E2638" s="12">
        <v>1.11</v>
      </c>
      <c r="F2638" s="12">
        <v>4.34</v>
      </c>
      <c r="G2638" s="11">
        <v>11761.0</v>
      </c>
      <c r="H2638" s="11">
        <v>2708.0</v>
      </c>
    </row>
    <row r="2639">
      <c r="A2639" s="10">
        <v>45007.0</v>
      </c>
      <c r="B2639" s="11">
        <v>2305.0</v>
      </c>
      <c r="C2639" s="12">
        <v>0.4434</v>
      </c>
      <c r="D2639" s="2">
        <v>0.0021527777777777778</v>
      </c>
      <c r="E2639" s="12">
        <v>1.11</v>
      </c>
      <c r="F2639" s="12">
        <v>4.16</v>
      </c>
      <c r="G2639" s="11">
        <v>10692.0</v>
      </c>
      <c r="H2639" s="11">
        <v>2569.0</v>
      </c>
    </row>
    <row r="2640">
      <c r="A2640" s="10">
        <v>45008.0</v>
      </c>
      <c r="B2640" s="11">
        <v>2222.0</v>
      </c>
      <c r="C2640" s="12">
        <v>0.4152</v>
      </c>
      <c r="D2640" s="2">
        <v>0.0028356481481481483</v>
      </c>
      <c r="E2640" s="12">
        <v>1.14</v>
      </c>
      <c r="F2640" s="12">
        <v>4.77</v>
      </c>
      <c r="G2640" s="11">
        <v>12122.0</v>
      </c>
      <c r="H2640" s="11">
        <v>2541.0</v>
      </c>
    </row>
    <row r="2641">
      <c r="A2641" s="10">
        <v>45009.0</v>
      </c>
      <c r="B2641" s="11">
        <v>1916.0</v>
      </c>
      <c r="C2641" s="12">
        <v>0.4398</v>
      </c>
      <c r="D2641" s="2">
        <v>0.002013888888888889</v>
      </c>
      <c r="E2641" s="12">
        <v>1.09</v>
      </c>
      <c r="F2641" s="12">
        <v>4.22</v>
      </c>
      <c r="G2641" s="11">
        <v>8789.0</v>
      </c>
      <c r="H2641" s="11">
        <v>2083.0</v>
      </c>
    </row>
    <row r="2642">
      <c r="A2642" s="10">
        <v>45010.0</v>
      </c>
      <c r="B2642" s="11">
        <v>1083.0</v>
      </c>
      <c r="C2642" s="12">
        <v>0.5267</v>
      </c>
      <c r="D2642" s="2">
        <v>0.0023148148148148147</v>
      </c>
      <c r="E2642" s="12">
        <v>1.19</v>
      </c>
      <c r="F2642" s="12">
        <v>3.67</v>
      </c>
      <c r="G2642" s="11">
        <v>4735.0</v>
      </c>
      <c r="H2642" s="11">
        <v>1291.0</v>
      </c>
    </row>
    <row r="2643">
      <c r="A2643" s="10">
        <v>45011.0</v>
      </c>
      <c r="B2643" s="11">
        <v>1264.0</v>
      </c>
      <c r="C2643" s="12">
        <v>0.4513</v>
      </c>
      <c r="D2643" s="2">
        <v>0.002037037037037037</v>
      </c>
      <c r="E2643" s="12">
        <v>1.12</v>
      </c>
      <c r="F2643" s="12">
        <v>3.75</v>
      </c>
      <c r="G2643" s="11">
        <v>5304.0</v>
      </c>
      <c r="H2643" s="11">
        <v>1416.0</v>
      </c>
    </row>
    <row r="2644">
      <c r="A2644" s="10">
        <v>45012.0</v>
      </c>
      <c r="B2644" s="11">
        <v>2166.0</v>
      </c>
      <c r="C2644" s="12">
        <v>0.4636</v>
      </c>
      <c r="D2644" s="2">
        <v>0.0023032407407407407</v>
      </c>
      <c r="E2644" s="12">
        <v>1.15</v>
      </c>
      <c r="F2644" s="12">
        <v>3.67</v>
      </c>
      <c r="G2644" s="11">
        <v>9109.0</v>
      </c>
      <c r="H2644" s="11">
        <v>2485.0</v>
      </c>
    </row>
    <row r="2645">
      <c r="A2645" s="10">
        <v>45013.0</v>
      </c>
      <c r="B2645" s="11">
        <v>2222.0</v>
      </c>
      <c r="C2645" s="12">
        <v>0.5166</v>
      </c>
      <c r="D2645" s="2">
        <v>0.002372685185185185</v>
      </c>
      <c r="E2645" s="12">
        <v>1.12</v>
      </c>
      <c r="F2645" s="12">
        <v>3.81</v>
      </c>
      <c r="G2645" s="11">
        <v>9511.0</v>
      </c>
      <c r="H2645" s="11">
        <v>2499.0</v>
      </c>
    </row>
    <row r="2646">
      <c r="A2646" s="10">
        <v>45014.0</v>
      </c>
      <c r="B2646" s="11">
        <v>2222.0</v>
      </c>
      <c r="C2646" s="12">
        <v>0.4587</v>
      </c>
      <c r="D2646" s="2">
        <v>0.002627314814814815</v>
      </c>
      <c r="E2646" s="12">
        <v>1.06</v>
      </c>
      <c r="F2646" s="12">
        <v>5.13</v>
      </c>
      <c r="G2646" s="11">
        <v>12108.0</v>
      </c>
      <c r="H2646" s="11">
        <v>2361.0</v>
      </c>
    </row>
    <row r="2647">
      <c r="A2647" s="10">
        <v>45015.0</v>
      </c>
      <c r="B2647" s="11">
        <v>2263.0</v>
      </c>
      <c r="C2647" s="12">
        <v>0.4482</v>
      </c>
      <c r="D2647" s="2">
        <v>0.001979166666666667</v>
      </c>
      <c r="E2647" s="12">
        <v>1.12</v>
      </c>
      <c r="F2647" s="12">
        <v>4.22</v>
      </c>
      <c r="G2647" s="11">
        <v>10720.0</v>
      </c>
      <c r="H2647" s="11">
        <v>2541.0</v>
      </c>
    </row>
    <row r="2648">
      <c r="A2648" s="10">
        <v>45016.0</v>
      </c>
      <c r="B2648" s="11">
        <v>1916.0</v>
      </c>
      <c r="C2648" s="12">
        <v>0.5274</v>
      </c>
      <c r="D2648" s="2">
        <v>0.001851851851851852</v>
      </c>
      <c r="E2648" s="12">
        <v>1.06</v>
      </c>
      <c r="F2648" s="12">
        <v>3.44</v>
      </c>
      <c r="G2648" s="11">
        <v>6970.0</v>
      </c>
      <c r="H2648" s="11">
        <v>2027.0</v>
      </c>
    </row>
    <row r="2649">
      <c r="A2649" s="10">
        <v>45017.0</v>
      </c>
      <c r="B2649" s="11">
        <v>1083.0</v>
      </c>
      <c r="C2649" s="12">
        <v>0.5297</v>
      </c>
      <c r="D2649" s="2">
        <v>0.0018402777777777777</v>
      </c>
      <c r="E2649" s="12">
        <v>1.09</v>
      </c>
      <c r="F2649" s="12">
        <v>4.04</v>
      </c>
      <c r="G2649" s="11">
        <v>4763.0</v>
      </c>
      <c r="H2649" s="11">
        <v>1180.0</v>
      </c>
    </row>
    <row r="2650">
      <c r="A2650" s="10">
        <v>45018.0</v>
      </c>
      <c r="B2650" s="11">
        <v>1194.0</v>
      </c>
      <c r="C2650" s="12">
        <v>0.5601</v>
      </c>
      <c r="D2650" s="2">
        <v>0.0020486111111111113</v>
      </c>
      <c r="E2650" s="12">
        <v>1.06</v>
      </c>
      <c r="F2650" s="12">
        <v>4.04</v>
      </c>
      <c r="G2650" s="11">
        <v>5110.0</v>
      </c>
      <c r="H2650" s="11">
        <v>1264.0</v>
      </c>
    </row>
    <row r="2651">
      <c r="A2651" s="10">
        <v>45019.0</v>
      </c>
      <c r="B2651" s="11">
        <v>1999.0</v>
      </c>
      <c r="C2651" s="12">
        <v>0.4691</v>
      </c>
      <c r="D2651" s="2">
        <v>0.0025925925925925925</v>
      </c>
      <c r="E2651" s="12">
        <v>1.13</v>
      </c>
      <c r="F2651" s="12">
        <v>4.16</v>
      </c>
      <c r="G2651" s="11">
        <v>9359.0</v>
      </c>
      <c r="H2651" s="11">
        <v>2249.0</v>
      </c>
    </row>
    <row r="2652">
      <c r="A2652" s="10">
        <v>45020.0</v>
      </c>
      <c r="B2652" s="11">
        <v>2513.0</v>
      </c>
      <c r="C2652" s="12">
        <v>0.4664</v>
      </c>
      <c r="D2652" s="2">
        <v>0.0024074074074074076</v>
      </c>
      <c r="E2652" s="12">
        <v>1.07</v>
      </c>
      <c r="F2652" s="12">
        <v>3.46</v>
      </c>
      <c r="G2652" s="11">
        <v>9262.0</v>
      </c>
      <c r="H2652" s="11">
        <v>2680.0</v>
      </c>
    </row>
    <row r="2653">
      <c r="A2653" s="10">
        <v>45021.0</v>
      </c>
      <c r="B2653" s="11">
        <v>3916.0</v>
      </c>
      <c r="C2653" s="12">
        <v>0.4983</v>
      </c>
      <c r="D2653" s="2">
        <v>0.0018981481481481482</v>
      </c>
      <c r="E2653" s="12">
        <v>1.1</v>
      </c>
      <c r="F2653" s="12">
        <v>3.64</v>
      </c>
      <c r="G2653" s="11">
        <v>15635.0</v>
      </c>
      <c r="H2653" s="11">
        <v>4291.0</v>
      </c>
    </row>
    <row r="2654">
      <c r="A2654" s="10">
        <v>45022.0</v>
      </c>
      <c r="B2654" s="11">
        <v>2749.0</v>
      </c>
      <c r="C2654" s="12">
        <v>0.5225</v>
      </c>
      <c r="D2654" s="2">
        <v>0.001388888888888889</v>
      </c>
      <c r="E2654" s="12">
        <v>1.12</v>
      </c>
      <c r="F2654" s="12">
        <v>3.27</v>
      </c>
      <c r="G2654" s="11">
        <v>10095.0</v>
      </c>
      <c r="H2654" s="11">
        <v>3083.0</v>
      </c>
    </row>
    <row r="2655">
      <c r="A2655" s="10">
        <v>45023.0</v>
      </c>
      <c r="B2655" s="11">
        <v>2402.0</v>
      </c>
      <c r="C2655" s="12">
        <v>0.4893</v>
      </c>
      <c r="D2655" s="2">
        <v>0.0015046296296296296</v>
      </c>
      <c r="E2655" s="12">
        <v>1.09</v>
      </c>
      <c r="F2655" s="12">
        <v>3.36</v>
      </c>
      <c r="G2655" s="11">
        <v>8776.0</v>
      </c>
      <c r="H2655" s="11">
        <v>2610.0</v>
      </c>
    </row>
    <row r="2656">
      <c r="A2656" s="10">
        <v>45024.0</v>
      </c>
      <c r="B2656" s="11">
        <v>1999.0</v>
      </c>
      <c r="C2656" s="12">
        <v>0.4872</v>
      </c>
      <c r="D2656" s="2">
        <v>0.0018055555555555555</v>
      </c>
      <c r="E2656" s="12">
        <v>1.1</v>
      </c>
      <c r="F2656" s="12">
        <v>3.21</v>
      </c>
      <c r="G2656" s="11">
        <v>7040.0</v>
      </c>
      <c r="H2656" s="11">
        <v>2194.0</v>
      </c>
    </row>
    <row r="2657">
      <c r="A2657" s="10">
        <v>45025.0</v>
      </c>
      <c r="B2657" s="11">
        <v>2208.0</v>
      </c>
      <c r="C2657" s="12">
        <v>0.5058</v>
      </c>
      <c r="D2657" s="2">
        <v>0.0015162037037037036</v>
      </c>
      <c r="E2657" s="12">
        <v>1.06</v>
      </c>
      <c r="F2657" s="12">
        <v>3.21</v>
      </c>
      <c r="G2657" s="11">
        <v>7484.0</v>
      </c>
      <c r="H2657" s="11">
        <v>2333.0</v>
      </c>
    </row>
    <row r="2658">
      <c r="A2658" s="10">
        <v>45026.0</v>
      </c>
      <c r="B2658" s="11">
        <v>3541.0</v>
      </c>
      <c r="C2658" s="12">
        <v>0.4099</v>
      </c>
      <c r="D2658" s="2">
        <v>0.0018981481481481482</v>
      </c>
      <c r="E2658" s="12">
        <v>1.04</v>
      </c>
      <c r="F2658" s="12">
        <v>3.97</v>
      </c>
      <c r="G2658" s="11">
        <v>14649.0</v>
      </c>
      <c r="H2658" s="11">
        <v>3694.0</v>
      </c>
    </row>
    <row r="2659">
      <c r="A2659" s="10">
        <v>45027.0</v>
      </c>
      <c r="B2659" s="11">
        <v>2999.0</v>
      </c>
      <c r="C2659" s="12">
        <v>0.3612</v>
      </c>
      <c r="D2659" s="2">
        <v>0.004039351851851852</v>
      </c>
      <c r="E2659" s="12">
        <v>1.17</v>
      </c>
      <c r="F2659" s="12">
        <v>5.41</v>
      </c>
      <c r="G2659" s="11">
        <v>18926.0</v>
      </c>
      <c r="H2659" s="11">
        <v>3499.0</v>
      </c>
    </row>
    <row r="2660">
      <c r="A2660" s="10">
        <v>45028.0</v>
      </c>
      <c r="B2660" s="11">
        <v>3263.0</v>
      </c>
      <c r="C2660" s="12">
        <v>0.4544</v>
      </c>
      <c r="D2660" s="2">
        <v>0.0035185185185185185</v>
      </c>
      <c r="E2660" s="12">
        <v>1.12</v>
      </c>
      <c r="F2660" s="12">
        <v>4.97</v>
      </c>
      <c r="G2660" s="11">
        <v>18204.0</v>
      </c>
      <c r="H2660" s="11">
        <v>3666.0</v>
      </c>
    </row>
    <row r="2661">
      <c r="A2661" s="10">
        <v>45029.0</v>
      </c>
      <c r="B2661" s="11">
        <v>2597.0</v>
      </c>
      <c r="C2661" s="12">
        <v>0.448</v>
      </c>
      <c r="D2661" s="2">
        <v>0.002638888888888889</v>
      </c>
      <c r="E2661" s="12">
        <v>1.13</v>
      </c>
      <c r="F2661" s="12">
        <v>3.93</v>
      </c>
      <c r="G2661" s="11">
        <v>11567.0</v>
      </c>
      <c r="H2661" s="11">
        <v>2944.0</v>
      </c>
    </row>
    <row r="2662">
      <c r="A2662" s="10">
        <v>45030.0</v>
      </c>
      <c r="B2662" s="11">
        <v>2874.0</v>
      </c>
      <c r="C2662" s="12">
        <v>0.489</v>
      </c>
      <c r="D2662" s="2">
        <v>0.0019675925925925924</v>
      </c>
      <c r="E2662" s="12">
        <v>1.08</v>
      </c>
      <c r="F2662" s="12">
        <v>3.86</v>
      </c>
      <c r="G2662" s="11">
        <v>11941.0</v>
      </c>
      <c r="H2662" s="11">
        <v>3096.0</v>
      </c>
    </row>
    <row r="2663">
      <c r="A2663" s="10">
        <v>45031.0</v>
      </c>
      <c r="B2663" s="11">
        <v>2083.0</v>
      </c>
      <c r="C2663" s="12">
        <v>0.596</v>
      </c>
      <c r="D2663" s="2">
        <v>0.0011226851851851851</v>
      </c>
      <c r="E2663" s="12">
        <v>1.04</v>
      </c>
      <c r="F2663" s="12">
        <v>3.13</v>
      </c>
      <c r="G2663" s="11">
        <v>6776.0</v>
      </c>
      <c r="H2663" s="11">
        <v>2166.0</v>
      </c>
    </row>
    <row r="2664">
      <c r="A2664" s="10">
        <v>45032.0</v>
      </c>
      <c r="B2664" s="11">
        <v>1514.0</v>
      </c>
      <c r="C2664" s="12">
        <v>0.5342</v>
      </c>
      <c r="D2664" s="2">
        <v>0.0011111111111111111</v>
      </c>
      <c r="E2664" s="12">
        <v>1.08</v>
      </c>
      <c r="F2664" s="12">
        <v>2.65</v>
      </c>
      <c r="G2664" s="11">
        <v>4346.0</v>
      </c>
      <c r="H2664" s="11">
        <v>1638.0</v>
      </c>
    </row>
    <row r="2665">
      <c r="A2665" s="10">
        <v>45033.0</v>
      </c>
      <c r="B2665" s="11">
        <v>2277.0</v>
      </c>
      <c r="C2665" s="12">
        <v>0.4372</v>
      </c>
      <c r="D2665" s="2">
        <v>0.0021412037037037038</v>
      </c>
      <c r="E2665" s="12">
        <v>1.12</v>
      </c>
      <c r="F2665" s="12">
        <v>3.42</v>
      </c>
      <c r="G2665" s="11">
        <v>8678.0</v>
      </c>
      <c r="H2665" s="11">
        <v>2541.0</v>
      </c>
    </row>
    <row r="2666">
      <c r="A2666" s="10">
        <v>45034.0</v>
      </c>
      <c r="B2666" s="11">
        <v>3027.0</v>
      </c>
      <c r="C2666" s="12">
        <v>0.426</v>
      </c>
      <c r="D2666" s="2">
        <v>0.0027083333333333334</v>
      </c>
      <c r="E2666" s="12">
        <v>1.09</v>
      </c>
      <c r="F2666" s="12">
        <v>4.7</v>
      </c>
      <c r="G2666" s="11">
        <v>15482.0</v>
      </c>
      <c r="H2666" s="11">
        <v>3291.0</v>
      </c>
    </row>
    <row r="2667">
      <c r="A2667" s="10">
        <v>45035.0</v>
      </c>
      <c r="B2667" s="11">
        <v>2569.0</v>
      </c>
      <c r="C2667" s="12">
        <v>0.4113</v>
      </c>
      <c r="D2667" s="2">
        <v>0.0024074074074074076</v>
      </c>
      <c r="E2667" s="12">
        <v>1.06</v>
      </c>
      <c r="F2667" s="12">
        <v>3.81</v>
      </c>
      <c r="G2667" s="11">
        <v>10414.0</v>
      </c>
      <c r="H2667" s="11">
        <v>2735.0</v>
      </c>
    </row>
    <row r="2668">
      <c r="A2668" s="10">
        <v>45036.0</v>
      </c>
      <c r="B2668" s="11">
        <v>2624.0</v>
      </c>
      <c r="C2668" s="12">
        <v>0.5048</v>
      </c>
      <c r="D2668" s="2">
        <v>0.002627314814814815</v>
      </c>
      <c r="E2668" s="12">
        <v>1.12</v>
      </c>
      <c r="F2668" s="12">
        <v>4.41</v>
      </c>
      <c r="G2668" s="11">
        <v>12969.0</v>
      </c>
      <c r="H2668" s="11">
        <v>2944.0</v>
      </c>
    </row>
    <row r="2669">
      <c r="A2669" s="10">
        <v>45037.0</v>
      </c>
      <c r="B2669" s="11">
        <v>2888.0</v>
      </c>
      <c r="C2669" s="12">
        <v>0.467</v>
      </c>
      <c r="D2669" s="2">
        <v>0.0018055555555555555</v>
      </c>
      <c r="E2669" s="12">
        <v>1.09</v>
      </c>
      <c r="F2669" s="12">
        <v>3.8</v>
      </c>
      <c r="G2669" s="11">
        <v>11969.0</v>
      </c>
      <c r="H2669" s="11">
        <v>3152.0</v>
      </c>
    </row>
    <row r="2670">
      <c r="A2670" s="10">
        <v>45038.0</v>
      </c>
      <c r="B2670" s="11">
        <v>1541.0</v>
      </c>
      <c r="C2670" s="12">
        <v>0.4631</v>
      </c>
      <c r="D2670" s="2">
        <v>0.0020833333333333333</v>
      </c>
      <c r="E2670" s="12">
        <v>1.09</v>
      </c>
      <c r="F2670" s="12">
        <v>3.88</v>
      </c>
      <c r="G2670" s="11">
        <v>6512.0</v>
      </c>
      <c r="H2670" s="11">
        <v>1680.0</v>
      </c>
    </row>
    <row r="2671">
      <c r="A2671" s="10">
        <v>45039.0</v>
      </c>
      <c r="B2671" s="11">
        <v>2097.0</v>
      </c>
      <c r="C2671" s="12">
        <v>0.5116</v>
      </c>
      <c r="D2671" s="2">
        <v>0.002337962962962963</v>
      </c>
      <c r="E2671" s="12">
        <v>1.13</v>
      </c>
      <c r="F2671" s="12">
        <v>3.05</v>
      </c>
      <c r="G2671" s="11">
        <v>7193.0</v>
      </c>
      <c r="H2671" s="11">
        <v>2361.0</v>
      </c>
    </row>
    <row r="2672">
      <c r="A2672" s="10">
        <v>45040.0</v>
      </c>
      <c r="B2672" s="11">
        <v>2888.0</v>
      </c>
      <c r="C2672" s="12">
        <v>0.4521</v>
      </c>
      <c r="D2672" s="2">
        <v>0.0021180555555555558</v>
      </c>
      <c r="E2672" s="12">
        <v>1.11</v>
      </c>
      <c r="F2672" s="12">
        <v>3.79</v>
      </c>
      <c r="G2672" s="11">
        <v>12094.0</v>
      </c>
      <c r="H2672" s="11">
        <v>3194.0</v>
      </c>
    </row>
    <row r="2673">
      <c r="A2673" s="10">
        <v>45041.0</v>
      </c>
      <c r="B2673" s="11">
        <v>3124.0</v>
      </c>
      <c r="C2673" s="12">
        <v>0.4773</v>
      </c>
      <c r="D2673" s="2">
        <v>0.0019328703703703704</v>
      </c>
      <c r="E2673" s="12">
        <v>1.07</v>
      </c>
      <c r="F2673" s="12">
        <v>3.54</v>
      </c>
      <c r="G2673" s="11">
        <v>11830.0</v>
      </c>
      <c r="H2673" s="11">
        <v>3346.0</v>
      </c>
    </row>
    <row r="2674">
      <c r="A2674" s="10">
        <v>45042.0</v>
      </c>
      <c r="B2674" s="11">
        <v>2722.0</v>
      </c>
      <c r="C2674" s="12">
        <v>0.477</v>
      </c>
      <c r="D2674" s="2">
        <v>0.0024305555555555556</v>
      </c>
      <c r="E2674" s="12">
        <v>1.11</v>
      </c>
      <c r="F2674" s="12">
        <v>3.69</v>
      </c>
      <c r="G2674" s="11">
        <v>11178.0</v>
      </c>
      <c r="H2674" s="11">
        <v>3027.0</v>
      </c>
    </row>
    <row r="2675">
      <c r="A2675" s="10">
        <v>45043.0</v>
      </c>
      <c r="B2675" s="11">
        <v>2624.0</v>
      </c>
      <c r="C2675" s="12">
        <v>0.4802</v>
      </c>
      <c r="D2675" s="2">
        <v>0.0017708333333333332</v>
      </c>
      <c r="E2675" s="12">
        <v>1.07</v>
      </c>
      <c r="F2675" s="12">
        <v>3.89</v>
      </c>
      <c r="G2675" s="11">
        <v>10900.0</v>
      </c>
      <c r="H2675" s="11">
        <v>2805.0</v>
      </c>
    </row>
    <row r="2676">
      <c r="A2676" s="10">
        <v>45044.0</v>
      </c>
      <c r="B2676" s="11">
        <v>2138.0</v>
      </c>
      <c r="C2676" s="12">
        <v>0.4882</v>
      </c>
      <c r="D2676" s="2">
        <v>0.0021064814814814813</v>
      </c>
      <c r="E2676" s="12">
        <v>1.09</v>
      </c>
      <c r="F2676" s="12">
        <v>4.45</v>
      </c>
      <c r="G2676" s="11">
        <v>10372.0</v>
      </c>
      <c r="H2676" s="11">
        <v>2333.0</v>
      </c>
    </row>
    <row r="2677">
      <c r="A2677" s="10">
        <v>45045.0</v>
      </c>
      <c r="B2677" s="11">
        <v>1472.0</v>
      </c>
      <c r="C2677" s="12">
        <v>0.5678</v>
      </c>
      <c r="D2677" s="2">
        <v>0.0018981481481481482</v>
      </c>
      <c r="E2677" s="12">
        <v>1.11</v>
      </c>
      <c r="F2677" s="12">
        <v>3.53</v>
      </c>
      <c r="G2677" s="11">
        <v>5790.0</v>
      </c>
      <c r="H2677" s="11">
        <v>1638.0</v>
      </c>
    </row>
    <row r="2678">
      <c r="A2678" s="10">
        <v>45046.0</v>
      </c>
      <c r="B2678" s="11">
        <v>1264.0</v>
      </c>
      <c r="C2678" s="12">
        <v>0.5336</v>
      </c>
      <c r="D2678" s="2">
        <v>0.0015972222222222223</v>
      </c>
      <c r="E2678" s="12">
        <v>1.15</v>
      </c>
      <c r="F2678" s="12">
        <v>2.91</v>
      </c>
      <c r="G2678" s="11">
        <v>4249.0</v>
      </c>
      <c r="H2678" s="11">
        <v>1458.0</v>
      </c>
    </row>
    <row r="2679">
      <c r="A2679" s="10">
        <v>45047.0</v>
      </c>
      <c r="B2679" s="11">
        <v>2305.0</v>
      </c>
      <c r="C2679" s="12">
        <v>0.4722</v>
      </c>
      <c r="D2679" s="2">
        <v>0.0024189814814814816</v>
      </c>
      <c r="E2679" s="12">
        <v>1.08</v>
      </c>
      <c r="F2679" s="12">
        <v>4.55</v>
      </c>
      <c r="G2679" s="11">
        <v>11372.0</v>
      </c>
      <c r="H2679" s="11">
        <v>2499.0</v>
      </c>
    </row>
    <row r="2680">
      <c r="A2680" s="10">
        <v>45048.0</v>
      </c>
      <c r="B2680" s="11">
        <v>2874.0</v>
      </c>
      <c r="C2680" s="12">
        <v>0.4315</v>
      </c>
      <c r="D2680" s="2">
        <v>0.002349537037037037</v>
      </c>
      <c r="E2680" s="12">
        <v>1.13</v>
      </c>
      <c r="F2680" s="12">
        <v>3.78</v>
      </c>
      <c r="G2680" s="11">
        <v>12275.0</v>
      </c>
      <c r="H2680" s="11">
        <v>3249.0</v>
      </c>
    </row>
    <row r="2681">
      <c r="A2681" s="10">
        <v>45049.0</v>
      </c>
      <c r="B2681" s="11">
        <v>2610.0</v>
      </c>
      <c r="C2681" s="12">
        <v>0.5023</v>
      </c>
      <c r="D2681" s="2">
        <v>0.0017939814814814815</v>
      </c>
      <c r="E2681" s="12">
        <v>1.09</v>
      </c>
      <c r="F2681" s="12">
        <v>3.23</v>
      </c>
      <c r="G2681" s="11">
        <v>9206.0</v>
      </c>
      <c r="H2681" s="11">
        <v>2847.0</v>
      </c>
    </row>
    <row r="2682">
      <c r="A2682" s="10">
        <v>45050.0</v>
      </c>
      <c r="B2682" s="11">
        <v>2569.0</v>
      </c>
      <c r="C2682" s="12">
        <v>0.4616</v>
      </c>
      <c r="D2682" s="2">
        <v>0.002476851851851852</v>
      </c>
      <c r="E2682" s="12">
        <v>1.12</v>
      </c>
      <c r="F2682" s="12">
        <v>3.82</v>
      </c>
      <c r="G2682" s="11">
        <v>11025.0</v>
      </c>
      <c r="H2682" s="11">
        <v>2888.0</v>
      </c>
    </row>
    <row r="2683">
      <c r="A2683" s="10">
        <v>45051.0</v>
      </c>
      <c r="B2683" s="11">
        <v>2430.0</v>
      </c>
      <c r="C2683" s="12">
        <v>0.4604</v>
      </c>
      <c r="D2683" s="2">
        <v>0.0027546296296296294</v>
      </c>
      <c r="E2683" s="12">
        <v>1.08</v>
      </c>
      <c r="F2683" s="12">
        <v>4.52</v>
      </c>
      <c r="G2683" s="11">
        <v>11872.0</v>
      </c>
      <c r="H2683" s="11">
        <v>2624.0</v>
      </c>
    </row>
    <row r="2684">
      <c r="A2684" s="10">
        <v>45052.0</v>
      </c>
      <c r="B2684" s="11">
        <v>1861.0</v>
      </c>
      <c r="C2684" s="12">
        <v>0.462</v>
      </c>
      <c r="D2684" s="2">
        <v>0.0022916666666666667</v>
      </c>
      <c r="E2684" s="12">
        <v>1.08</v>
      </c>
      <c r="F2684" s="12">
        <v>3.87</v>
      </c>
      <c r="G2684" s="11">
        <v>7790.0</v>
      </c>
      <c r="H2684" s="11">
        <v>2013.0</v>
      </c>
    </row>
  </sheetData>
  <autoFilter ref="$A$1:$H$2684"/>
  <drawing r:id="rId1"/>
</worksheet>
</file>