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"/>
    </mc:Choice>
  </mc:AlternateContent>
  <bookViews>
    <workbookView xWindow="3280" yWindow="920" windowWidth="19760" windowHeight="14020" tabRatio="500" firstSheet="1" activeTab="4"/>
  </bookViews>
  <sheets>
    <sheet name="Sheet1" sheetId="1" state="hidden" r:id="rId1"/>
    <sheet name="FirstInIndex" sheetId="3" r:id="rId2"/>
    <sheet name="Sheet3" sheetId="4" r:id="rId3"/>
    <sheet name="field19" sheetId="5" r:id="rId4"/>
    <sheet name="Adult" sheetId="11" r:id="rId5"/>
    <sheet name="p-value" sheetId="10" r:id="rId6"/>
    <sheet name="field18&amp;field7" sheetId="6" r:id="rId7"/>
    <sheet name="field7&amp;field9&amp;field6" sheetId="7" r:id="rId8"/>
    <sheet name="Lift" sheetId="8" r:id="rId9"/>
  </sheets>
  <externalReferences>
    <externalReference r:id="rId10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11" l="1"/>
  <c r="K25" i="11"/>
  <c r="K26" i="11"/>
  <c r="K27" i="11"/>
  <c r="K28" i="11"/>
  <c r="K29" i="11"/>
  <c r="K23" i="11"/>
  <c r="K12" i="11"/>
  <c r="K13" i="11"/>
  <c r="K14" i="11"/>
  <c r="K15" i="11"/>
  <c r="K16" i="11"/>
  <c r="K17" i="11"/>
  <c r="K11" i="11"/>
  <c r="O7" i="5"/>
  <c r="L7" i="5"/>
  <c r="C10" i="11"/>
  <c r="C8" i="11"/>
  <c r="C6" i="11"/>
  <c r="B3" i="11"/>
  <c r="C3" i="11"/>
  <c r="C2" i="11"/>
  <c r="O8" i="5"/>
  <c r="O9" i="5"/>
  <c r="C20" i="5"/>
  <c r="C14" i="5"/>
  <c r="L9" i="5"/>
  <c r="C13" i="5"/>
  <c r="C21" i="5"/>
  <c r="L8" i="5"/>
  <c r="C2" i="5"/>
  <c r="C27" i="5"/>
  <c r="C28" i="5"/>
  <c r="K23" i="10"/>
  <c r="J23" i="10"/>
  <c r="J24" i="10"/>
  <c r="I27" i="10"/>
  <c r="K7" i="10"/>
  <c r="J7" i="10"/>
  <c r="J8" i="10"/>
  <c r="G33" i="5"/>
  <c r="G32" i="5"/>
  <c r="G34" i="5"/>
  <c r="G29" i="5"/>
  <c r="G28" i="5"/>
  <c r="G30" i="5"/>
  <c r="C2" i="8"/>
  <c r="D2" i="8"/>
  <c r="C18" i="8"/>
  <c r="D18" i="8"/>
  <c r="C15" i="8"/>
  <c r="C14" i="8"/>
  <c r="C8" i="8"/>
  <c r="C7" i="8"/>
  <c r="C3" i="8"/>
  <c r="C15" i="7"/>
  <c r="C14" i="7"/>
  <c r="C2" i="7"/>
  <c r="B17" i="7"/>
  <c r="C8" i="7"/>
  <c r="C7" i="7"/>
  <c r="B11" i="7"/>
  <c r="B10" i="7"/>
  <c r="B18" i="7"/>
  <c r="C25" i="7"/>
  <c r="C24" i="7"/>
  <c r="D25" i="7"/>
  <c r="E25" i="7"/>
  <c r="C23" i="7"/>
  <c r="C22" i="7"/>
  <c r="E23" i="7"/>
  <c r="D23" i="7"/>
  <c r="C3" i="7"/>
  <c r="C6" i="6"/>
  <c r="C21" i="6"/>
  <c r="I5" i="6"/>
  <c r="C20" i="6"/>
  <c r="C7" i="6"/>
  <c r="I6" i="6"/>
  <c r="C2" i="6"/>
  <c r="C8" i="6"/>
  <c r="I4" i="6"/>
  <c r="C9" i="6"/>
  <c r="D9" i="6"/>
  <c r="C7" i="5"/>
  <c r="C6" i="5"/>
  <c r="B9" i="5"/>
  <c r="G20" i="5"/>
  <c r="G19" i="5"/>
  <c r="F23" i="5"/>
  <c r="F22" i="5"/>
  <c r="C15" i="6"/>
  <c r="C14" i="6"/>
  <c r="E15" i="6"/>
  <c r="D15" i="6"/>
  <c r="C13" i="6"/>
  <c r="C12" i="6"/>
  <c r="E13" i="6"/>
  <c r="D13" i="6"/>
  <c r="E9" i="6"/>
  <c r="E7" i="6"/>
  <c r="D7" i="6"/>
  <c r="C3" i="6"/>
  <c r="G12" i="5"/>
  <c r="G11" i="5"/>
  <c r="F15" i="5"/>
  <c r="F14" i="5"/>
  <c r="B24" i="5"/>
  <c r="B23" i="5"/>
  <c r="B17" i="5"/>
  <c r="B16" i="5"/>
  <c r="B10" i="5"/>
  <c r="C3" i="5"/>
  <c r="C48" i="4"/>
  <c r="C47" i="4"/>
  <c r="C2" i="4"/>
  <c r="B54" i="4"/>
  <c r="B53" i="4"/>
  <c r="B52" i="4"/>
  <c r="B49" i="4"/>
  <c r="B51" i="4"/>
  <c r="B50" i="4"/>
  <c r="B44" i="4"/>
  <c r="C39" i="4"/>
  <c r="B41" i="4"/>
  <c r="B43" i="4"/>
  <c r="B42" i="4"/>
  <c r="C40" i="4"/>
  <c r="C32" i="4"/>
  <c r="C31" i="4"/>
  <c r="B36" i="4"/>
  <c r="B33" i="4"/>
  <c r="B34" i="4"/>
  <c r="B35" i="4"/>
  <c r="B28" i="4"/>
  <c r="B26" i="4"/>
  <c r="C23" i="4"/>
  <c r="B27" i="4"/>
  <c r="B25" i="4"/>
  <c r="B19" i="4"/>
  <c r="B17" i="4"/>
  <c r="C14" i="4"/>
  <c r="B18" i="4"/>
  <c r="B16" i="4"/>
  <c r="B11" i="4"/>
  <c r="C6" i="4"/>
  <c r="B9" i="4"/>
  <c r="B10" i="4"/>
  <c r="B8" i="4"/>
  <c r="C24" i="4"/>
  <c r="C15" i="4"/>
  <c r="C7" i="4"/>
  <c r="C3" i="4"/>
  <c r="C33" i="3"/>
  <c r="C32" i="3"/>
  <c r="C2" i="3"/>
  <c r="B35" i="3"/>
  <c r="B34" i="3"/>
  <c r="C27" i="3"/>
  <c r="C26" i="3"/>
  <c r="B29" i="3"/>
  <c r="B28" i="3"/>
  <c r="C12" i="3"/>
  <c r="C19" i="3"/>
  <c r="C20" i="3"/>
  <c r="B23" i="3"/>
  <c r="B22" i="3"/>
  <c r="C13" i="3"/>
  <c r="B16" i="3"/>
  <c r="B15" i="3"/>
  <c r="C6" i="3"/>
  <c r="C5" i="3"/>
  <c r="B9" i="3"/>
  <c r="B8" i="3"/>
  <c r="C3" i="3"/>
  <c r="I7" i="3"/>
  <c r="H7" i="3"/>
  <c r="I6" i="3"/>
</calcChain>
</file>

<file path=xl/sharedStrings.xml><?xml version="1.0" encoding="utf-8"?>
<sst xmlns="http://schemas.openxmlformats.org/spreadsheetml/2006/main" count="382" uniqueCount="202">
  <si>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</si>
  <si>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</si>
  <si>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</si>
  <si>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</si>
  <si>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</si>
  <si>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</si>
  <si>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</si>
  <si>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</si>
  <si>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</si>
  <si>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</si>
  <si>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</si>
  <si>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</si>
  <si>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</si>
  <si>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</si>
  <si>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</si>
  <si>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</si>
  <si>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</si>
  <si>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</si>
  <si>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</si>
  <si>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</si>
  <si>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</si>
  <si>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</si>
  <si>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</si>
  <si>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</si>
  <si>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</si>
  <si>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</si>
  <si>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</si>
  <si>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</si>
  <si>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</si>
  <si>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</si>
  <si>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</si>
  <si>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</si>
  <si>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</si>
  <si>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</si>
  <si>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</si>
  <si>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</si>
  <si>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</si>
  <si>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</si>
  <si>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</si>
  <si>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</si>
  <si>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</si>
  <si>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</si>
  <si>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</si>
  <si>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</si>
  <si>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</si>
  <si>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</si>
  <si>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</si>
  <si>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</si>
  <si>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</si>
  <si>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</si>
  <si>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</si>
  <si>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</si>
  <si>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</si>
  <si>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</si>
  <si>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</si>
  <si>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</si>
  <si>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</si>
  <si>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</si>
  <si>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</si>
  <si>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</si>
  <si>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</si>
  <si>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</si>
  <si>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</si>
  <si>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</si>
  <si>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</si>
  <si>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</si>
  <si>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</si>
  <si>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</si>
  <si>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</si>
  <si>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</si>
  <si>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</si>
  <si>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</si>
  <si>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</si>
  <si>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</si>
  <si>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</si>
  <si>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</si>
  <si>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</si>
  <si>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</si>
  <si>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</si>
  <si>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</si>
  <si>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</si>
  <si>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</si>
  <si>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</si>
  <si>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</si>
  <si>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</si>
  <si>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</si>
  <si>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</si>
  <si>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</si>
  <si>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EDIBLE</t>
  </si>
  <si>
    <t>POISONOUS</t>
  </si>
  <si>
    <t>!A</t>
  </si>
  <si>
    <t>A</t>
  </si>
  <si>
    <t>field2 = CONVEX</t>
  </si>
  <si>
    <t>!B</t>
  </si>
  <si>
    <t>field2 != CONVEX</t>
  </si>
  <si>
    <t>B</t>
  </si>
  <si>
    <t>EDIBLE/field2 = CONVEX</t>
  </si>
  <si>
    <t>Lift</t>
  </si>
  <si>
    <t>Leverage</t>
  </si>
  <si>
    <t>field6 = NONE</t>
  </si>
  <si>
    <t>EDIBLE/field6 = NONE</t>
  </si>
  <si>
    <t>field9 = BROAD</t>
  </si>
  <si>
    <t>EDIBLE/field9 = BROAD</t>
  </si>
  <si>
    <t>field6 = NONE/field9 = BROAD</t>
  </si>
  <si>
    <t>49, 31, -1</t>
  </si>
  <si>
    <t>EDIBLE/field6 = NONE/field9 = BROAD</t>
  </si>
  <si>
    <t>-1, 49, 31, 18</t>
  </si>
  <si>
    <t>field20 = PENDANT/field6 = NONE/field9 = BROAD</t>
  </si>
  <si>
    <t>EDIBLE/field20 = PENDANT/field6 = NONE/field9 = BROAD</t>
  </si>
  <si>
    <t>field7 = FREE</t>
  </si>
  <si>
    <t>EDIBLE/field7 = FREE</t>
  </si>
  <si>
    <t>upper bound - leverage</t>
  </si>
  <si>
    <t>field11 = TAPERING</t>
  </si>
  <si>
    <t>field13 = SMOOTH</t>
  </si>
  <si>
    <t>field14 = SMOOTH</t>
  </si>
  <si>
    <t>EDIBLE/field11 = TAPERING</t>
  </si>
  <si>
    <t>EDIBLE/field13 = SMOOTH</t>
  </si>
  <si>
    <t>EDIBLE/field14 = SMOOTH</t>
  </si>
  <si>
    <t>&lt;=0.5</t>
  </si>
  <si>
    <t>&gt;0.5</t>
  </si>
  <si>
    <t>upper bound - lift</t>
  </si>
  <si>
    <t>field19 = ONE</t>
  </si>
  <si>
    <t>EDIBLE/field19 = ONE</t>
  </si>
  <si>
    <t>actual - leverage</t>
  </si>
  <si>
    <t>actual - lift</t>
  </si>
  <si>
    <t>leverage</t>
  </si>
  <si>
    <t>lift</t>
  </si>
  <si>
    <t>field19 = ONE/field6 = NONE</t>
  </si>
  <si>
    <t>field19 = ONE/field6 = NONE/EDIBLE</t>
  </si>
  <si>
    <t>field18 = WHITE</t>
  </si>
  <si>
    <t>EDIBLE/field18 = WHITE</t>
  </si>
  <si>
    <t>EDIBLE/field18 = WHITE/field6 = NONE</t>
  </si>
  <si>
    <t>field18 = WHITE/field6 = NONE</t>
  </si>
  <si>
    <t>field7 = FREE/field6 = NONE</t>
  </si>
  <si>
    <t>EDIBLE/field7 = FREE/field6 = NONE</t>
  </si>
  <si>
    <t>field19 = ONE/field9 = BROAD/field6 = NONE</t>
  </si>
  <si>
    <t>EDIBLE/field19 = ONE/field9 = BROAD/field6 = NONE</t>
  </si>
  <si>
    <t>S1</t>
  </si>
  <si>
    <t>S2</t>
  </si>
  <si>
    <t>S = 0.4153</t>
  </si>
  <si>
    <t>{EDIBLE}</t>
  </si>
  <si>
    <t>{field18 = WHITE, field6 = NONE}</t>
  </si>
  <si>
    <t>S1 * S2</t>
  </si>
  <si>
    <t>{field18 = WHITE}</t>
  </si>
  <si>
    <t>{EDIBLE, field6 = NONE}</t>
  </si>
  <si>
    <t>{field6 = NONE}</t>
  </si>
  <si>
    <t>{EDIBLE, field18 = WHITE}</t>
  </si>
  <si>
    <t>field21 = BROWN</t>
  </si>
  <si>
    <t>field7 = ATTACHED</t>
  </si>
  <si>
    <t>EDIBLE/field21 = BROWN</t>
  </si>
  <si>
    <t>EDIBLE/field7 = ATTACHED</t>
  </si>
  <si>
    <t>EDIBLE/field21 = BROWN/field7 = ATTACHED</t>
  </si>
  <si>
    <t>field4 = PURPLE</t>
  </si>
  <si>
    <t>EDIBLE/field4 = PURPLE</t>
  </si>
  <si>
    <t>field10 = BROWN</t>
  </si>
  <si>
    <t>EDIBLE/field10 = BROWN</t>
  </si>
  <si>
    <t>field10 = WHITE</t>
  </si>
  <si>
    <t>EDIBLE/field10 = WHITE</t>
  </si>
  <si>
    <t>field19 = ONE/field9 = BROAD</t>
  </si>
  <si>
    <t>a, bcd</t>
  </si>
  <si>
    <t>b, acd</t>
  </si>
  <si>
    <t>c, abd</t>
  </si>
  <si>
    <t>d, abc</t>
  </si>
  <si>
    <t>ab, cd</t>
  </si>
  <si>
    <t>ac, bd</t>
  </si>
  <si>
    <t>ad, bc</t>
  </si>
  <si>
    <t>BigML(7.0858E-58)</t>
  </si>
  <si>
    <t>FISHER addIn</t>
  </si>
  <si>
    <t>OpusMiner</t>
  </si>
  <si>
    <t>1.00000000009649</t>
  </si>
  <si>
    <t>BigML(4.28846E-26)</t>
  </si>
  <si>
    <t>a, cd</t>
  </si>
  <si>
    <t>c, ad</t>
  </si>
  <si>
    <t>d, ac</t>
  </si>
  <si>
    <t>Exclusive domain of field19 = ONE is 648</t>
  </si>
  <si>
    <t>support</t>
  </si>
  <si>
    <t>EDIBLE/field6 = NONE/field9 = BROAD/ edom(S)</t>
  </si>
  <si>
    <t>S</t>
  </si>
  <si>
    <t>cov(S1) &amp; edom(S)</t>
  </si>
  <si>
    <t>cov(S2) &amp; edom(S)</t>
  </si>
  <si>
    <t>RHS</t>
  </si>
  <si>
    <t>&gt;50K</t>
  </si>
  <si>
    <t>&lt;=50K</t>
  </si>
  <si>
    <t>field1 = Age41-50</t>
  </si>
  <si>
    <t>field4 = EduNum15</t>
  </si>
  <si>
    <t>field2 = Self-emp-inc</t>
  </si>
  <si>
    <t>&gt;50K &amp; field1 = Age41-50 &amp; field4 = EduNum15 &amp; field2 = Self-emp-inc</t>
  </si>
  <si>
    <t>field1 = Age41-50 &amp; field4 = EduNum15 &amp; field2 = Self-emp-inc</t>
  </si>
  <si>
    <t>field6 = Exec-managerial (Exclusive domain)</t>
  </si>
  <si>
    <t>&gt;50K &amp; field1 = Age41-50 &amp; field4 = EduNum15 &amp; field2 = Self-emp-inc &amp; edom()</t>
  </si>
  <si>
    <t>&gt;50K &amp; field4 = EduNum15 &amp; field2 = Self-emp-inc</t>
  </si>
  <si>
    <t xml:space="preserve">field1 = Age41-50 </t>
  </si>
  <si>
    <t>&gt;50K &amp; field1 = Age41-50 &amp; field2 = Self-emp-inc</t>
  </si>
  <si>
    <t>&gt;50K &amp; field1 = Age41-50 &amp; field4 = EduNum15</t>
  </si>
  <si>
    <t>&gt;50K &amp; field1 = Age41-50</t>
  </si>
  <si>
    <t>field4 = EduNum15 &amp; field2 = Self-emp-inc</t>
  </si>
  <si>
    <t>field1 = Age41-50 &amp; field2 = Self-emp-inc</t>
  </si>
  <si>
    <t>&gt;50K &amp; field4 = EduNum15</t>
  </si>
  <si>
    <t>field1 = Age41-50 &amp; field4 = EduNum15</t>
  </si>
  <si>
    <t>&gt;50K &amp; field2 = Self-emp-inc</t>
  </si>
  <si>
    <t>Itemset</t>
  </si>
  <si>
    <t>field10 = Hour36-50 (Exclusive domain)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</si>
</sst>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quotePrefix="1" applyBorder="1"/>
    <xf numFmtId="0" fontId="0" fillId="2" borderId="0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0" xfId="0" applyFill="1" applyBorder="1"/>
    <xf numFmtId="11" fontId="0" fillId="0" borderId="0" xfId="0" applyNumberFormat="1"/>
    <xf numFmtId="11" fontId="0" fillId="5" borderId="0" xfId="0" applyNumberFormat="1" applyFill="1"/>
    <xf numFmtId="2" fontId="0" fillId="0" borderId="0" xfId="0" quotePrefix="1" applyNumberFormat="1"/>
    <xf numFmtId="0" fontId="0" fillId="0" borderId="0" xfId="0" quotePrefix="1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0</xdr:row>
      <xdr:rowOff>177800</xdr:rowOff>
    </xdr:from>
    <xdr:to>
      <xdr:col>8</xdr:col>
      <xdr:colOff>431800</xdr:colOff>
      <xdr:row>3</xdr:row>
      <xdr:rowOff>147578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1300" y="177800"/>
          <a:ext cx="5702300" cy="5793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292100</xdr:colOff>
      <xdr:row>0</xdr:row>
      <xdr:rowOff>165100</xdr:rowOff>
    </xdr:from>
    <xdr:to>
      <xdr:col>7</xdr:col>
      <xdr:colOff>2616200</xdr:colOff>
      <xdr:row>3</xdr:row>
      <xdr:rowOff>134878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165100"/>
          <a:ext cx="5702300" cy="579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tusnow/MIT%20Course%20Documents/Research/fisherexactma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e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baseColWidth="10" defaultRowHeight="16" x14ac:dyDescent="0.2"/>
  <sheetData>
    <row r="1" spans="1:14" x14ac:dyDescent="0.2">
      <c r="K1">
        <v>0</v>
      </c>
      <c r="L1" t="s">
        <v>1</v>
      </c>
    </row>
    <row r="2" spans="1:14" x14ac:dyDescent="0.2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 x14ac:dyDescent="0.2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 x14ac:dyDescent="0.2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 x14ac:dyDescent="0.2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 x14ac:dyDescent="0.2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 x14ac:dyDescent="0.2">
      <c r="K8">
        <v>0</v>
      </c>
      <c r="L8" t="s">
        <v>1</v>
      </c>
      <c r="M8">
        <v>7</v>
      </c>
      <c r="N8" t="s">
        <v>57</v>
      </c>
    </row>
    <row r="9" spans="1:14" x14ac:dyDescent="0.2">
      <c r="K9">
        <v>3</v>
      </c>
      <c r="L9" t="s">
        <v>4</v>
      </c>
      <c r="M9">
        <v>8</v>
      </c>
      <c r="N9" t="s">
        <v>58</v>
      </c>
    </row>
    <row r="10" spans="1:14" x14ac:dyDescent="0.2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 x14ac:dyDescent="0.2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 x14ac:dyDescent="0.2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 x14ac:dyDescent="0.2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 x14ac:dyDescent="0.2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 x14ac:dyDescent="0.2">
      <c r="A15" t="s">
        <v>50</v>
      </c>
      <c r="M15">
        <v>14</v>
      </c>
      <c r="N15" t="s">
        <v>12</v>
      </c>
    </row>
    <row r="16" spans="1:14" x14ac:dyDescent="0.2">
      <c r="M16">
        <v>15</v>
      </c>
    </row>
    <row r="17" spans="1:13" x14ac:dyDescent="0.2">
      <c r="M17">
        <v>16</v>
      </c>
    </row>
    <row r="18" spans="1:13" x14ac:dyDescent="0.2">
      <c r="M18">
        <v>17</v>
      </c>
    </row>
    <row r="19" spans="1:13" x14ac:dyDescent="0.2">
      <c r="G19" s="1" t="s">
        <v>54</v>
      </c>
      <c r="M19">
        <v>18</v>
      </c>
    </row>
    <row r="20" spans="1:13" x14ac:dyDescent="0.2">
      <c r="G20" s="2" t="s">
        <v>51</v>
      </c>
      <c r="M20">
        <v>19</v>
      </c>
    </row>
    <row r="21" spans="1:13" x14ac:dyDescent="0.2">
      <c r="G21" t="s">
        <v>52</v>
      </c>
    </row>
    <row r="22" spans="1:13" x14ac:dyDescent="0.2">
      <c r="G22" t="s">
        <v>53</v>
      </c>
    </row>
    <row r="24" spans="1:13" x14ac:dyDescent="0.2">
      <c r="D24" t="s">
        <v>0</v>
      </c>
    </row>
    <row r="25" spans="1:13" x14ac:dyDescent="0.2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 x14ac:dyDescent="0.2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 x14ac:dyDescent="0.2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 x14ac:dyDescent="0.2">
      <c r="A28" t="s">
        <v>80</v>
      </c>
      <c r="B28" t="s">
        <v>81</v>
      </c>
      <c r="C28" t="s">
        <v>82</v>
      </c>
      <c r="D28" t="s">
        <v>83</v>
      </c>
    </row>
    <row r="29" spans="1:13" x14ac:dyDescent="0.2">
      <c r="A2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6" workbookViewId="0">
      <selection activeCell="A27" sqref="A27"/>
    </sheetView>
  </sheetViews>
  <sheetFormatPr baseColWidth="10" defaultRowHeight="16" x14ac:dyDescent="0.2"/>
  <cols>
    <col min="1" max="1" width="48.1640625" bestFit="1" customWidth="1"/>
    <col min="5" max="5" width="12.5" bestFit="1" customWidth="1"/>
    <col min="6" max="6" width="15" bestFit="1" customWidth="1"/>
  </cols>
  <sheetData>
    <row r="1" spans="1:9" x14ac:dyDescent="0.2">
      <c r="A1" t="s">
        <v>87</v>
      </c>
      <c r="B1">
        <v>8416</v>
      </c>
    </row>
    <row r="2" spans="1:9" x14ac:dyDescent="0.2">
      <c r="A2" t="s">
        <v>88</v>
      </c>
      <c r="B2">
        <v>4488</v>
      </c>
      <c r="C2">
        <f>B2/$B$1</f>
        <v>0.53326996197718635</v>
      </c>
    </row>
    <row r="3" spans="1:9" x14ac:dyDescent="0.2">
      <c r="A3" t="s">
        <v>89</v>
      </c>
      <c r="B3">
        <v>3928</v>
      </c>
      <c r="C3">
        <f>B3/$B$1</f>
        <v>0.46673003802281371</v>
      </c>
      <c r="E3" s="5"/>
      <c r="F3" s="5"/>
      <c r="G3" s="6" t="s">
        <v>90</v>
      </c>
      <c r="H3" s="6" t="s">
        <v>91</v>
      </c>
      <c r="I3" s="5"/>
    </row>
    <row r="4" spans="1:9" x14ac:dyDescent="0.2">
      <c r="E4" s="5"/>
      <c r="F4" s="5"/>
      <c r="G4" s="5" t="s">
        <v>89</v>
      </c>
      <c r="H4" s="5" t="s">
        <v>88</v>
      </c>
      <c r="I4" s="5"/>
    </row>
    <row r="5" spans="1:9" x14ac:dyDescent="0.2">
      <c r="A5" s="7" t="s">
        <v>92</v>
      </c>
      <c r="B5" s="8">
        <v>3796</v>
      </c>
      <c r="C5" s="9">
        <f>B5/$B$1</f>
        <v>0.45104562737642584</v>
      </c>
      <c r="E5" s="6" t="s">
        <v>93</v>
      </c>
      <c r="F5" s="5" t="s">
        <v>94</v>
      </c>
      <c r="G5" s="5">
        <v>3928</v>
      </c>
      <c r="H5" s="5">
        <v>2404</v>
      </c>
      <c r="I5" s="5"/>
    </row>
    <row r="6" spans="1:9" x14ac:dyDescent="0.2">
      <c r="A6" s="10" t="s">
        <v>96</v>
      </c>
      <c r="B6" s="11">
        <v>2084</v>
      </c>
      <c r="C6" s="12">
        <f>B6/$B$1</f>
        <v>0.24762357414448669</v>
      </c>
      <c r="E6" s="6" t="s">
        <v>95</v>
      </c>
      <c r="F6" s="5" t="s">
        <v>92</v>
      </c>
      <c r="G6" s="5">
        <v>0</v>
      </c>
      <c r="H6" s="5">
        <v>2084</v>
      </c>
      <c r="I6" s="5">
        <f>G6+H6</f>
        <v>2084</v>
      </c>
    </row>
    <row r="7" spans="1:9" x14ac:dyDescent="0.2">
      <c r="A7" s="10"/>
      <c r="B7" s="11"/>
      <c r="C7" s="12"/>
      <c r="E7" s="5"/>
      <c r="F7" s="5"/>
      <c r="G7" s="5"/>
      <c r="H7" s="5">
        <f>H5+H6</f>
        <v>4488</v>
      </c>
      <c r="I7" s="5">
        <f>G5+H5+G6+H6</f>
        <v>8416</v>
      </c>
    </row>
    <row r="8" spans="1:9" x14ac:dyDescent="0.2">
      <c r="A8" s="10" t="s">
        <v>97</v>
      </c>
      <c r="B8" s="11">
        <f>C6/(C5*$C$2)</f>
        <v>1.0294953502044557</v>
      </c>
      <c r="C8" s="12"/>
    </row>
    <row r="9" spans="1:9" x14ac:dyDescent="0.2">
      <c r="A9" s="13" t="s">
        <v>98</v>
      </c>
      <c r="B9" s="14">
        <f>C6-C5*$C$2</f>
        <v>7.0944895834839095E-3</v>
      </c>
      <c r="C9" s="15"/>
    </row>
    <row r="11" spans="1:9" x14ac:dyDescent="0.2">
      <c r="A11">
        <v>49</v>
      </c>
    </row>
    <row r="12" spans="1:9" x14ac:dyDescent="0.2">
      <c r="A12" s="7" t="s">
        <v>99</v>
      </c>
      <c r="B12" s="8">
        <v>3808</v>
      </c>
      <c r="C12" s="9">
        <f>B12/$B$1</f>
        <v>0.45247148288973382</v>
      </c>
    </row>
    <row r="13" spans="1:9" x14ac:dyDescent="0.2">
      <c r="A13" s="10" t="s">
        <v>100</v>
      </c>
      <c r="B13" s="11">
        <v>3688</v>
      </c>
      <c r="C13" s="12">
        <f>B13/$B$1</f>
        <v>0.43821292775665399</v>
      </c>
    </row>
    <row r="14" spans="1:9" x14ac:dyDescent="0.2">
      <c r="A14" s="10"/>
      <c r="B14" s="11"/>
      <c r="C14" s="12"/>
    </row>
    <row r="15" spans="1:9" x14ac:dyDescent="0.2">
      <c r="A15" s="10" t="s">
        <v>97</v>
      </c>
      <c r="B15" s="11">
        <f>C13/(C12*$C$2)</f>
        <v>1.8161296604203176</v>
      </c>
      <c r="C15" s="12"/>
    </row>
    <row r="16" spans="1:9" x14ac:dyDescent="0.2">
      <c r="A16" s="13" t="s">
        <v>98</v>
      </c>
      <c r="B16" s="14">
        <f>C13-C12*$C$2</f>
        <v>0.1969234772802845</v>
      </c>
      <c r="C16" s="15"/>
    </row>
    <row r="18" spans="1:3" x14ac:dyDescent="0.2">
      <c r="A18">
        <v>31</v>
      </c>
    </row>
    <row r="19" spans="1:3" x14ac:dyDescent="0.2">
      <c r="A19" s="7" t="s">
        <v>101</v>
      </c>
      <c r="B19" s="8">
        <v>5880</v>
      </c>
      <c r="C19" s="9">
        <f>B19/$B$1</f>
        <v>0.6986692015209125</v>
      </c>
    </row>
    <row r="20" spans="1:3" x14ac:dyDescent="0.2">
      <c r="A20" s="10" t="s">
        <v>102</v>
      </c>
      <c r="B20" s="11">
        <v>4176</v>
      </c>
      <c r="C20" s="12">
        <f>B20/$B$1</f>
        <v>0.49619771863117873</v>
      </c>
    </row>
    <row r="21" spans="1:3" x14ac:dyDescent="0.2">
      <c r="A21" s="10"/>
      <c r="B21" s="11"/>
      <c r="C21" s="12"/>
    </row>
    <row r="22" spans="1:3" x14ac:dyDescent="0.2">
      <c r="A22" s="10" t="s">
        <v>97</v>
      </c>
      <c r="B22" s="11">
        <f>C20/(C19*$C$2)</f>
        <v>1.3317908981774529</v>
      </c>
      <c r="C22" s="12"/>
    </row>
    <row r="23" spans="1:3" x14ac:dyDescent="0.2">
      <c r="A23" s="13" t="s">
        <v>98</v>
      </c>
      <c r="B23" s="14">
        <f>C20-C19*$C$2</f>
        <v>0.1236184201014906</v>
      </c>
      <c r="C23" s="15"/>
    </row>
    <row r="25" spans="1:3" x14ac:dyDescent="0.2">
      <c r="A25" s="7" t="s">
        <v>104</v>
      </c>
      <c r="B25" s="8"/>
      <c r="C25" s="9"/>
    </row>
    <row r="26" spans="1:3" x14ac:dyDescent="0.2">
      <c r="A26" s="16" t="s">
        <v>103</v>
      </c>
      <c r="B26" s="11">
        <v>3544</v>
      </c>
      <c r="C26" s="12">
        <f>B26/$B$1</f>
        <v>0.42110266159695819</v>
      </c>
    </row>
    <row r="27" spans="1:3" x14ac:dyDescent="0.2">
      <c r="A27" s="10" t="s">
        <v>105</v>
      </c>
      <c r="B27" s="11">
        <v>3472</v>
      </c>
      <c r="C27" s="12">
        <f>B27/$B$1</f>
        <v>0.41254752851711024</v>
      </c>
    </row>
    <row r="28" spans="1:3" x14ac:dyDescent="0.2">
      <c r="A28" s="10" t="s">
        <v>97</v>
      </c>
      <c r="B28" s="11">
        <f>C27/(C26*$C$2)</f>
        <v>1.8371257388652156</v>
      </c>
      <c r="C28" s="12"/>
    </row>
    <row r="29" spans="1:3" x14ac:dyDescent="0.2">
      <c r="A29" s="13" t="s">
        <v>98</v>
      </c>
      <c r="B29" s="14">
        <f>C27-C26*$C$2</f>
        <v>0.18798612817880839</v>
      </c>
      <c r="C29" s="15"/>
    </row>
    <row r="31" spans="1:3" x14ac:dyDescent="0.2">
      <c r="A31" s="17" t="s">
        <v>106</v>
      </c>
    </row>
    <row r="32" spans="1:3" x14ac:dyDescent="0.2">
      <c r="A32" t="s">
        <v>107</v>
      </c>
      <c r="B32">
        <v>2328</v>
      </c>
      <c r="C32" s="12">
        <f>B32/$B$1</f>
        <v>0.27661596958174905</v>
      </c>
    </row>
    <row r="33" spans="1:3" x14ac:dyDescent="0.2">
      <c r="A33" t="s">
        <v>108</v>
      </c>
      <c r="B33">
        <v>2256</v>
      </c>
      <c r="C33" s="12">
        <f>B33/$B$1</f>
        <v>0.26806083650190116</v>
      </c>
    </row>
    <row r="34" spans="1:3" x14ac:dyDescent="0.2">
      <c r="A34" s="10" t="s">
        <v>97</v>
      </c>
      <c r="B34" s="11">
        <f>C33/(C32*$C$2)</f>
        <v>1.8172262344487933</v>
      </c>
    </row>
    <row r="35" spans="1:3" x14ac:dyDescent="0.2">
      <c r="A35" s="13" t="s">
        <v>98</v>
      </c>
      <c r="B35" s="14">
        <f>C33-C32*$C$2</f>
        <v>0.12054984892075929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3"/>
    </sheetView>
  </sheetViews>
  <sheetFormatPr baseColWidth="10" defaultRowHeight="16" x14ac:dyDescent="0.2"/>
  <cols>
    <col min="1" max="1" width="20.1640625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5" spans="1:3" x14ac:dyDescent="0.2">
      <c r="A5">
        <v>5</v>
      </c>
    </row>
    <row r="6" spans="1:3" x14ac:dyDescent="0.2">
      <c r="A6" t="s">
        <v>109</v>
      </c>
      <c r="B6">
        <v>8200</v>
      </c>
      <c r="C6">
        <f>B6/$B$1</f>
        <v>0.9743346007604563</v>
      </c>
    </row>
    <row r="7" spans="1:3" x14ac:dyDescent="0.2">
      <c r="A7" t="s">
        <v>110</v>
      </c>
      <c r="B7">
        <v>4296</v>
      </c>
      <c r="C7">
        <f>B7/$B$1</f>
        <v>0.51045627376425851</v>
      </c>
    </row>
    <row r="8" spans="1:3" x14ac:dyDescent="0.2">
      <c r="A8" s="17" t="s">
        <v>118</v>
      </c>
      <c r="B8">
        <f>MIN(C6,$C$2) - C6 * $C$2</f>
        <v>1.3686586476600815E-2</v>
      </c>
    </row>
    <row r="9" spans="1:3" x14ac:dyDescent="0.2">
      <c r="A9" t="s">
        <v>119</v>
      </c>
      <c r="B9" s="1">
        <f>MIN($C$2, 0.5) - $C$2 * 0.5</f>
        <v>0.23336501901140683</v>
      </c>
    </row>
    <row r="10" spans="1:3" x14ac:dyDescent="0.2">
      <c r="A10" t="s">
        <v>111</v>
      </c>
      <c r="B10">
        <f>IF(C6 &lt;= 0.5, B8, B9)</f>
        <v>0.23336501901140683</v>
      </c>
    </row>
    <row r="11" spans="1:3" x14ac:dyDescent="0.2">
      <c r="A11" t="s">
        <v>120</v>
      </c>
      <c r="B11" s="1">
        <f>1/$C$2</f>
        <v>1.8752228163992868</v>
      </c>
    </row>
    <row r="13" spans="1:3" x14ac:dyDescent="0.2">
      <c r="A13">
        <v>9</v>
      </c>
    </row>
    <row r="14" spans="1:3" x14ac:dyDescent="0.2">
      <c r="A14" t="s">
        <v>112</v>
      </c>
      <c r="B14">
        <v>4864</v>
      </c>
      <c r="C14">
        <f>B14/$B$1</f>
        <v>0.57794676806083645</v>
      </c>
    </row>
    <row r="15" spans="1:3" x14ac:dyDescent="0.2">
      <c r="A15" t="s">
        <v>115</v>
      </c>
      <c r="B15">
        <v>2848</v>
      </c>
      <c r="C15">
        <f>B15/$B$1</f>
        <v>0.33840304182509506</v>
      </c>
    </row>
    <row r="16" spans="1:3" x14ac:dyDescent="0.2">
      <c r="A16" s="17" t="s">
        <v>118</v>
      </c>
      <c r="B16">
        <f>MIN(C14,$C$2) - C14 * $C$2</f>
        <v>0.22506831094854635</v>
      </c>
    </row>
    <row r="17" spans="1:3" x14ac:dyDescent="0.2">
      <c r="A17" t="s">
        <v>119</v>
      </c>
      <c r="B17" s="1">
        <f>MIN($C$2, 0.5) - $C$2 * 0.5</f>
        <v>0.23336501901140683</v>
      </c>
    </row>
    <row r="18" spans="1:3" x14ac:dyDescent="0.2">
      <c r="A18" t="s">
        <v>111</v>
      </c>
      <c r="B18">
        <f>IF(C14 &lt;= 0.5, B16, B17)</f>
        <v>0.23336501901140683</v>
      </c>
    </row>
    <row r="19" spans="1:3" x14ac:dyDescent="0.2">
      <c r="A19" t="s">
        <v>120</v>
      </c>
      <c r="B19" s="1">
        <f>1/$C$2</f>
        <v>1.8752228163992868</v>
      </c>
    </row>
    <row r="22" spans="1:3" x14ac:dyDescent="0.2">
      <c r="A22">
        <v>11</v>
      </c>
    </row>
    <row r="23" spans="1:3" x14ac:dyDescent="0.2">
      <c r="A23" t="s">
        <v>113</v>
      </c>
      <c r="B23">
        <v>5316</v>
      </c>
      <c r="C23">
        <f>B23/$B$1</f>
        <v>0.63165399239543729</v>
      </c>
    </row>
    <row r="24" spans="1:3" x14ac:dyDescent="0.2">
      <c r="A24" t="s">
        <v>116</v>
      </c>
      <c r="B24">
        <v>3780</v>
      </c>
      <c r="C24">
        <f>B24/$B$1</f>
        <v>0.44914448669201523</v>
      </c>
    </row>
    <row r="25" spans="1:3" x14ac:dyDescent="0.2">
      <c r="A25" s="17" t="s">
        <v>118</v>
      </c>
      <c r="B25">
        <f>MIN(C23,$C$2) - C23 * $C$2</f>
        <v>0.19642786146973357</v>
      </c>
    </row>
    <row r="26" spans="1:3" x14ac:dyDescent="0.2">
      <c r="A26" t="s">
        <v>119</v>
      </c>
      <c r="B26" s="1">
        <f>MIN($C$2, 0.5) - $C$2 * 0.5</f>
        <v>0.23336501901140683</v>
      </c>
    </row>
    <row r="27" spans="1:3" x14ac:dyDescent="0.2">
      <c r="A27" t="s">
        <v>111</v>
      </c>
      <c r="B27">
        <f>IF(C23 &lt;= 0.5, B25, B26)</f>
        <v>0.23336501901140683</v>
      </c>
    </row>
    <row r="28" spans="1:3" x14ac:dyDescent="0.2">
      <c r="A28" t="s">
        <v>120</v>
      </c>
      <c r="B28" s="1">
        <f>1/$C$2</f>
        <v>1.8752228163992868</v>
      </c>
    </row>
    <row r="30" spans="1:3" x14ac:dyDescent="0.2">
      <c r="A30">
        <v>12</v>
      </c>
    </row>
    <row r="31" spans="1:3" x14ac:dyDescent="0.2">
      <c r="A31" t="s">
        <v>114</v>
      </c>
      <c r="B31">
        <v>5076</v>
      </c>
      <c r="C31">
        <f>B31/$B$1</f>
        <v>0.60313688212927752</v>
      </c>
    </row>
    <row r="32" spans="1:3" x14ac:dyDescent="0.2">
      <c r="A32" t="s">
        <v>117</v>
      </c>
      <c r="B32">
        <v>3540</v>
      </c>
      <c r="C32">
        <f>B32/$B$1</f>
        <v>0.42062737642585551</v>
      </c>
    </row>
    <row r="33" spans="1:3" x14ac:dyDescent="0.2">
      <c r="A33" s="17" t="s">
        <v>118</v>
      </c>
      <c r="B33">
        <f>MIN(C31,$C$2) - C31 * $C$2</f>
        <v>0.21163517977706781</v>
      </c>
    </row>
    <row r="34" spans="1:3" x14ac:dyDescent="0.2">
      <c r="A34" t="s">
        <v>119</v>
      </c>
      <c r="B34" s="1">
        <f>MIN($C$2, 0.5) - $C$2 * 0.5</f>
        <v>0.23336501901140683</v>
      </c>
    </row>
    <row r="35" spans="1:3" x14ac:dyDescent="0.2">
      <c r="A35" t="s">
        <v>111</v>
      </c>
      <c r="B35">
        <f>IF(C31 &lt;= 0.5, B33, B34)</f>
        <v>0.23336501901140683</v>
      </c>
    </row>
    <row r="36" spans="1:3" x14ac:dyDescent="0.2">
      <c r="A36" t="s">
        <v>120</v>
      </c>
      <c r="B36" s="1">
        <f>1/$C$2</f>
        <v>1.8752228163992868</v>
      </c>
    </row>
    <row r="37" spans="1:3" ht="17" thickBot="1" x14ac:dyDescent="0.25"/>
    <row r="38" spans="1:3" x14ac:dyDescent="0.2">
      <c r="A38" s="18">
        <v>0</v>
      </c>
      <c r="B38" s="19"/>
      <c r="C38" s="20"/>
    </row>
    <row r="39" spans="1:3" x14ac:dyDescent="0.2">
      <c r="A39" s="21" t="s">
        <v>92</v>
      </c>
      <c r="B39" s="11">
        <v>3796</v>
      </c>
      <c r="C39" s="22">
        <f>B39/$B$1</f>
        <v>0.45104562737642584</v>
      </c>
    </row>
    <row r="40" spans="1:3" x14ac:dyDescent="0.2">
      <c r="A40" s="21" t="s">
        <v>96</v>
      </c>
      <c r="B40" s="11">
        <v>2084</v>
      </c>
      <c r="C40" s="22">
        <f>B40/$B$1</f>
        <v>0.24762357414448669</v>
      </c>
    </row>
    <row r="41" spans="1:3" x14ac:dyDescent="0.2">
      <c r="A41" s="23" t="s">
        <v>118</v>
      </c>
      <c r="B41" s="11">
        <f>MIN(C39,$C$2) - C39 * $C$2</f>
        <v>0.21051654281542306</v>
      </c>
      <c r="C41" s="22"/>
    </row>
    <row r="42" spans="1:3" x14ac:dyDescent="0.2">
      <c r="A42" s="21" t="s">
        <v>119</v>
      </c>
      <c r="B42" s="24">
        <f>MIN($C$2, 0.5) - $C$2 * 0.5</f>
        <v>0.23336501901140683</v>
      </c>
      <c r="C42" s="22"/>
    </row>
    <row r="43" spans="1:3" x14ac:dyDescent="0.2">
      <c r="A43" s="21" t="s">
        <v>111</v>
      </c>
      <c r="B43" s="11">
        <f>IF(C39 &lt;= 0.5, B41, B42)</f>
        <v>0.21051654281542306</v>
      </c>
      <c r="C43" s="22"/>
    </row>
    <row r="44" spans="1:3" ht="17" thickBot="1" x14ac:dyDescent="0.25">
      <c r="A44" s="25" t="s">
        <v>120</v>
      </c>
      <c r="B44" s="26">
        <f>1/$C$2</f>
        <v>1.8752228163992868</v>
      </c>
      <c r="C44" s="27"/>
    </row>
    <row r="47" spans="1:3" x14ac:dyDescent="0.2">
      <c r="A47" t="s">
        <v>121</v>
      </c>
      <c r="B47">
        <v>3600</v>
      </c>
      <c r="C47" s="22">
        <f>B47/$B$1</f>
        <v>0.42775665399239543</v>
      </c>
    </row>
    <row r="48" spans="1:3" x14ac:dyDescent="0.2">
      <c r="A48" t="s">
        <v>122</v>
      </c>
      <c r="B48">
        <v>1904</v>
      </c>
      <c r="C48" s="22">
        <f>B48/$B$1</f>
        <v>0.22623574144486691</v>
      </c>
    </row>
    <row r="49" spans="1:2" x14ac:dyDescent="0.2">
      <c r="A49" s="23" t="s">
        <v>118</v>
      </c>
      <c r="B49" s="11">
        <f>MIN(C47,$C$2) - C47 * $C$2</f>
        <v>0.19964687938238226</v>
      </c>
    </row>
    <row r="50" spans="1:2" x14ac:dyDescent="0.2">
      <c r="A50" s="21" t="s">
        <v>119</v>
      </c>
      <c r="B50" s="24">
        <f>MIN($C$2, 0.5) - $C$2 * 0.5</f>
        <v>0.23336501901140683</v>
      </c>
    </row>
    <row r="51" spans="1:2" x14ac:dyDescent="0.2">
      <c r="A51" s="21" t="s">
        <v>111</v>
      </c>
      <c r="B51" s="11">
        <f>IF(C47 &lt;= 0.5, B49, B50)</f>
        <v>0.19964687938238226</v>
      </c>
    </row>
    <row r="52" spans="1:2" ht="17" thickBot="1" x14ac:dyDescent="0.25">
      <c r="A52" s="25" t="s">
        <v>120</v>
      </c>
      <c r="B52" s="26">
        <f>1/$C$2</f>
        <v>1.8752228163992868</v>
      </c>
    </row>
    <row r="53" spans="1:2" x14ac:dyDescent="0.2">
      <c r="A53" s="28" t="s">
        <v>123</v>
      </c>
      <c r="B53">
        <f>C48 - C47 * $C$2</f>
        <v>-1.874033165146255E-3</v>
      </c>
    </row>
    <row r="54" spans="1:2" x14ac:dyDescent="0.2">
      <c r="A54" s="28" t="s">
        <v>124</v>
      </c>
      <c r="B54">
        <f>C48/(C47*$C$2)</f>
        <v>0.99178451178451166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E1" workbookViewId="0">
      <selection activeCell="M6" sqref="M6:O6"/>
    </sheetView>
  </sheetViews>
  <sheetFormatPr baseColWidth="10" defaultRowHeight="16" x14ac:dyDescent="0.2"/>
  <cols>
    <col min="1" max="1" width="19.83203125" bestFit="1" customWidth="1"/>
    <col min="5" max="5" width="37.5" bestFit="1" customWidth="1"/>
    <col min="10" max="10" width="14.83203125" customWidth="1"/>
    <col min="11" max="11" width="25.6640625" bestFit="1" customWidth="1"/>
    <col min="13" max="14" width="16.1640625" bestFit="1" customWidth="1"/>
  </cols>
  <sheetData>
    <row r="1" spans="1:15" x14ac:dyDescent="0.2">
      <c r="A1" s="7" t="s">
        <v>87</v>
      </c>
      <c r="B1" s="8">
        <v>8416</v>
      </c>
      <c r="C1" s="9"/>
    </row>
    <row r="2" spans="1:15" x14ac:dyDescent="0.2">
      <c r="A2" s="10" t="s">
        <v>88</v>
      </c>
      <c r="B2" s="11">
        <v>4488</v>
      </c>
      <c r="C2" s="12">
        <f>B2/$B$1</f>
        <v>0.53326996197718635</v>
      </c>
    </row>
    <row r="3" spans="1:15" x14ac:dyDescent="0.2">
      <c r="A3" s="13" t="s">
        <v>89</v>
      </c>
      <c r="B3" s="14">
        <v>3928</v>
      </c>
      <c r="C3" s="15">
        <f>B3/$B$1</f>
        <v>0.46673003802281371</v>
      </c>
      <c r="J3" t="s">
        <v>174</v>
      </c>
      <c r="L3">
        <v>648</v>
      </c>
    </row>
    <row r="5" spans="1:15" x14ac:dyDescent="0.2">
      <c r="A5">
        <v>17</v>
      </c>
    </row>
    <row r="6" spans="1:15" x14ac:dyDescent="0.2">
      <c r="A6" s="7" t="s">
        <v>121</v>
      </c>
      <c r="B6" s="8">
        <v>7768</v>
      </c>
      <c r="C6" s="9">
        <f>B6/$B$1</f>
        <v>0.9230038022813688</v>
      </c>
      <c r="E6" t="s">
        <v>158</v>
      </c>
      <c r="L6" t="s">
        <v>175</v>
      </c>
      <c r="M6" t="s">
        <v>178</v>
      </c>
      <c r="N6" t="s">
        <v>179</v>
      </c>
      <c r="O6" t="s">
        <v>180</v>
      </c>
    </row>
    <row r="7" spans="1:15" x14ac:dyDescent="0.2">
      <c r="A7" s="10" t="s">
        <v>122</v>
      </c>
      <c r="B7" s="11">
        <v>3960</v>
      </c>
      <c r="C7" s="12">
        <f>B7/$B$1</f>
        <v>0.47053231939163498</v>
      </c>
      <c r="J7" t="s">
        <v>88</v>
      </c>
      <c r="K7" t="s">
        <v>103</v>
      </c>
      <c r="L7">
        <f>C2*C27</f>
        <v>0.22456140033830185</v>
      </c>
      <c r="M7">
        <v>528</v>
      </c>
      <c r="N7">
        <v>600</v>
      </c>
      <c r="O7">
        <f>(M7*N7)/$L$3</f>
        <v>488.88888888888891</v>
      </c>
    </row>
    <row r="8" spans="1:15" x14ac:dyDescent="0.2">
      <c r="A8" s="10"/>
      <c r="B8" s="11"/>
      <c r="C8" s="12"/>
      <c r="J8" t="s">
        <v>99</v>
      </c>
      <c r="K8" t="s">
        <v>102</v>
      </c>
      <c r="L8">
        <f>C13*C21</f>
        <v>0.22451531755555235</v>
      </c>
      <c r="M8">
        <v>600</v>
      </c>
      <c r="N8">
        <v>528</v>
      </c>
      <c r="O8">
        <f t="shared" ref="O8:O9" si="0">(M8*N8)/$L$3</f>
        <v>488.88888888888891</v>
      </c>
    </row>
    <row r="9" spans="1:15" x14ac:dyDescent="0.2">
      <c r="A9" s="10" t="s">
        <v>125</v>
      </c>
      <c r="B9" s="11">
        <f>C7-C6*C2</f>
        <v>-2.1677883155748978E-2</v>
      </c>
      <c r="C9" s="12"/>
      <c r="J9" t="s">
        <v>101</v>
      </c>
      <c r="K9" t="s">
        <v>100</v>
      </c>
      <c r="L9">
        <f>C20*C14</f>
        <v>0.30616587633188275</v>
      </c>
      <c r="M9">
        <v>648</v>
      </c>
      <c r="N9">
        <v>528</v>
      </c>
      <c r="O9">
        <f t="shared" si="0"/>
        <v>528</v>
      </c>
    </row>
    <row r="10" spans="1:15" x14ac:dyDescent="0.2">
      <c r="A10" s="13" t="s">
        <v>126</v>
      </c>
      <c r="B10" s="14">
        <f>C7/(C6*C2)</f>
        <v>0.95595807839098557</v>
      </c>
      <c r="C10" s="15"/>
    </row>
    <row r="11" spans="1:15" x14ac:dyDescent="0.2">
      <c r="E11" t="s">
        <v>127</v>
      </c>
      <c r="F11">
        <v>3208</v>
      </c>
      <c r="G11">
        <f>F11/$B$1</f>
        <v>0.38117870722433461</v>
      </c>
      <c r="I11" t="s">
        <v>177</v>
      </c>
      <c r="J11" s="10" t="s">
        <v>176</v>
      </c>
      <c r="K11">
        <v>528</v>
      </c>
    </row>
    <row r="12" spans="1:15" x14ac:dyDescent="0.2">
      <c r="A12">
        <v>49</v>
      </c>
      <c r="E12" t="s">
        <v>128</v>
      </c>
      <c r="F12">
        <v>3160</v>
      </c>
      <c r="G12">
        <f>F12/$B$1</f>
        <v>0.37547528517110268</v>
      </c>
    </row>
    <row r="13" spans="1:15" x14ac:dyDescent="0.2">
      <c r="A13" s="7" t="s">
        <v>99</v>
      </c>
      <c r="B13" s="8">
        <v>3808</v>
      </c>
      <c r="C13" s="9">
        <f>B13/$B$1</f>
        <v>0.45247148288973382</v>
      </c>
    </row>
    <row r="14" spans="1:15" x14ac:dyDescent="0.2">
      <c r="A14" s="10" t="s">
        <v>100</v>
      </c>
      <c r="B14" s="11">
        <v>3688</v>
      </c>
      <c r="C14" s="12">
        <f>B14/$B$1</f>
        <v>0.43821292775665399</v>
      </c>
      <c r="E14" t="s">
        <v>125</v>
      </c>
      <c r="F14">
        <f>G12-G11*C2</f>
        <v>0.17220413046306871</v>
      </c>
    </row>
    <row r="15" spans="1:15" x14ac:dyDescent="0.2">
      <c r="A15" s="10"/>
      <c r="B15" s="11"/>
      <c r="C15" s="12"/>
      <c r="E15" t="s">
        <v>126</v>
      </c>
      <c r="F15">
        <f>G12/(G11*C2)</f>
        <v>1.8471646196451827</v>
      </c>
    </row>
    <row r="16" spans="1:15" x14ac:dyDescent="0.2">
      <c r="A16" s="10" t="s">
        <v>97</v>
      </c>
      <c r="B16" s="11">
        <f>C14/(C13*$C$2)</f>
        <v>1.8161296604203176</v>
      </c>
      <c r="C16" s="12"/>
    </row>
    <row r="17" spans="1:7" x14ac:dyDescent="0.2">
      <c r="A17" s="13" t="s">
        <v>98</v>
      </c>
      <c r="B17" s="14">
        <f>C14-C13*$C$2</f>
        <v>0.1969234772802845</v>
      </c>
      <c r="C17" s="15"/>
    </row>
    <row r="19" spans="1:7" x14ac:dyDescent="0.2">
      <c r="A19">
        <v>31</v>
      </c>
      <c r="E19" t="s">
        <v>135</v>
      </c>
      <c r="F19">
        <v>2944</v>
      </c>
      <c r="G19">
        <f>F19/B1</f>
        <v>0.34980988593155893</v>
      </c>
    </row>
    <row r="20" spans="1:7" x14ac:dyDescent="0.2">
      <c r="A20" s="7" t="s">
        <v>101</v>
      </c>
      <c r="B20" s="8">
        <v>5880</v>
      </c>
      <c r="C20" s="9">
        <f>B20/$B$1</f>
        <v>0.6986692015209125</v>
      </c>
      <c r="E20" t="s">
        <v>136</v>
      </c>
      <c r="F20">
        <v>2944</v>
      </c>
      <c r="G20">
        <f>F20/B1</f>
        <v>0.34980988593155893</v>
      </c>
    </row>
    <row r="21" spans="1:7" x14ac:dyDescent="0.2">
      <c r="A21" s="10" t="s">
        <v>102</v>
      </c>
      <c r="B21" s="11">
        <v>4176</v>
      </c>
      <c r="C21" s="12">
        <f>B21/$B$1</f>
        <v>0.49619771863117873</v>
      </c>
    </row>
    <row r="22" spans="1:7" x14ac:dyDescent="0.2">
      <c r="A22" s="10"/>
      <c r="B22" s="11"/>
      <c r="C22" s="12"/>
      <c r="E22" t="s">
        <v>125</v>
      </c>
      <c r="F22">
        <f>G20-G19*C2</f>
        <v>0.16326678136159262</v>
      </c>
    </row>
    <row r="23" spans="1:7" x14ac:dyDescent="0.2">
      <c r="A23" s="10" t="s">
        <v>97</v>
      </c>
      <c r="B23" s="11">
        <f>C21/(C20*$C$2)</f>
        <v>1.3317908981774529</v>
      </c>
      <c r="C23" s="12"/>
      <c r="E23" t="s">
        <v>126</v>
      </c>
      <c r="F23">
        <f>G20/(G19*C2)</f>
        <v>1.875222816399287</v>
      </c>
    </row>
    <row r="24" spans="1:7" x14ac:dyDescent="0.2">
      <c r="A24" s="13" t="s">
        <v>98</v>
      </c>
      <c r="B24" s="14">
        <f>C21-C20*$C$2</f>
        <v>0.1236184201014906</v>
      </c>
      <c r="C24" s="15"/>
    </row>
    <row r="27" spans="1:7" ht="32" x14ac:dyDescent="0.2">
      <c r="A27" s="16" t="s">
        <v>103</v>
      </c>
      <c r="B27" s="11">
        <v>3544</v>
      </c>
      <c r="C27">
        <f>B27/B1</f>
        <v>0.42110266159695819</v>
      </c>
    </row>
    <row r="28" spans="1:7" x14ac:dyDescent="0.2">
      <c r="A28" s="10" t="s">
        <v>105</v>
      </c>
      <c r="B28" s="11">
        <v>3472</v>
      </c>
      <c r="C28">
        <f>B28/B1</f>
        <v>0.41254752851711024</v>
      </c>
      <c r="E28" t="s">
        <v>154</v>
      </c>
      <c r="F28">
        <v>1112</v>
      </c>
      <c r="G28">
        <f>F28/B1</f>
        <v>0.13212927756653992</v>
      </c>
    </row>
    <row r="29" spans="1:7" x14ac:dyDescent="0.2">
      <c r="E29" t="s">
        <v>155</v>
      </c>
      <c r="F29">
        <v>1000</v>
      </c>
      <c r="G29">
        <f>F29/B1</f>
        <v>0.1188212927756654</v>
      </c>
    </row>
    <row r="30" spans="1:7" x14ac:dyDescent="0.2">
      <c r="G30">
        <f>G29-G28*C2</f>
        <v>4.8360717951683563E-2</v>
      </c>
    </row>
    <row r="32" spans="1:7" x14ac:dyDescent="0.2">
      <c r="E32" t="s">
        <v>156</v>
      </c>
      <c r="F32">
        <v>1232</v>
      </c>
      <c r="G32">
        <f>F32/B1</f>
        <v>0.14638783269961977</v>
      </c>
    </row>
    <row r="33" spans="5:7" x14ac:dyDescent="0.2">
      <c r="E33" t="s">
        <v>157</v>
      </c>
      <c r="F33">
        <v>980</v>
      </c>
      <c r="G33">
        <f>F33/B1</f>
        <v>0.11644486692015209</v>
      </c>
    </row>
    <row r="34" spans="5:7" x14ac:dyDescent="0.2">
      <c r="G34">
        <f>G33-G32*C2</f>
        <v>3.8380632942503129E-2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F1" workbookViewId="0">
      <selection activeCell="H14" sqref="H14"/>
    </sheetView>
  </sheetViews>
  <sheetFormatPr baseColWidth="10" defaultRowHeight="16" x14ac:dyDescent="0.2"/>
  <cols>
    <col min="1" max="1" width="17.83203125" bestFit="1" customWidth="1"/>
    <col min="4" max="6" width="7.83203125" customWidth="1"/>
    <col min="7" max="7" width="36.5" bestFit="1" customWidth="1"/>
    <col min="8" max="8" width="52.1640625" bestFit="1" customWidth="1"/>
    <col min="9" max="10" width="16.1640625" bestFit="1" customWidth="1"/>
    <col min="11" max="11" width="4.33203125" bestFit="1" customWidth="1"/>
  </cols>
  <sheetData>
    <row r="1" spans="1:11" x14ac:dyDescent="0.2">
      <c r="A1" s="7" t="s">
        <v>87</v>
      </c>
      <c r="B1" s="8">
        <v>32561</v>
      </c>
      <c r="C1" s="9"/>
    </row>
    <row r="2" spans="1:11" x14ac:dyDescent="0.2">
      <c r="A2" s="10" t="s">
        <v>181</v>
      </c>
      <c r="B2" s="11">
        <v>7841</v>
      </c>
      <c r="C2" s="12">
        <f>B2/$B$1</f>
        <v>0.24080955744602439</v>
      </c>
    </row>
    <row r="3" spans="1:11" x14ac:dyDescent="0.2">
      <c r="A3" s="13" t="s">
        <v>182</v>
      </c>
      <c r="B3" s="14">
        <f>B1-B2</f>
        <v>24720</v>
      </c>
      <c r="C3" s="15">
        <f>B3/$B$1</f>
        <v>0.75919044255397561</v>
      </c>
    </row>
    <row r="6" spans="1:11" x14ac:dyDescent="0.2">
      <c r="A6" t="s">
        <v>183</v>
      </c>
      <c r="B6">
        <v>6983</v>
      </c>
      <c r="C6">
        <f>B6/$B$1</f>
        <v>0.21445901538650533</v>
      </c>
    </row>
    <row r="8" spans="1:11" x14ac:dyDescent="0.2">
      <c r="A8" t="s">
        <v>184</v>
      </c>
      <c r="B8">
        <v>576</v>
      </c>
      <c r="C8">
        <f>B8/$B$1</f>
        <v>1.7689874389607198E-2</v>
      </c>
      <c r="G8" t="s">
        <v>188</v>
      </c>
      <c r="H8">
        <v>28495</v>
      </c>
    </row>
    <row r="10" spans="1:11" x14ac:dyDescent="0.2">
      <c r="A10" t="s">
        <v>185</v>
      </c>
      <c r="B10">
        <v>1116</v>
      </c>
      <c r="C10">
        <f>B10/$B$1</f>
        <v>3.4274131629863945E-2</v>
      </c>
      <c r="G10" t="s">
        <v>137</v>
      </c>
      <c r="H10" t="s">
        <v>138</v>
      </c>
      <c r="I10" t="s">
        <v>178</v>
      </c>
      <c r="J10" t="s">
        <v>179</v>
      </c>
      <c r="K10" t="s">
        <v>180</v>
      </c>
    </row>
    <row r="11" spans="1:11" x14ac:dyDescent="0.2">
      <c r="G11" s="10" t="s">
        <v>181</v>
      </c>
      <c r="H11" t="s">
        <v>187</v>
      </c>
      <c r="I11">
        <v>5873</v>
      </c>
      <c r="J11">
        <v>34</v>
      </c>
      <c r="K11">
        <f>(I11*J11)/$H$8</f>
        <v>7.0076153711177396</v>
      </c>
    </row>
    <row r="12" spans="1:11" x14ac:dyDescent="0.2">
      <c r="G12" t="s">
        <v>191</v>
      </c>
      <c r="H12" t="s">
        <v>190</v>
      </c>
      <c r="I12">
        <v>5794</v>
      </c>
      <c r="J12">
        <v>74</v>
      </c>
      <c r="K12">
        <f>(I12*J12)/$H$8</f>
        <v>15.046709949113879</v>
      </c>
    </row>
    <row r="13" spans="1:11" x14ac:dyDescent="0.2">
      <c r="G13" t="s">
        <v>184</v>
      </c>
      <c r="H13" t="s">
        <v>192</v>
      </c>
      <c r="I13">
        <v>524</v>
      </c>
      <c r="J13">
        <v>135</v>
      </c>
      <c r="K13">
        <f>(I13*J13)/$H$8</f>
        <v>2.482540796630988</v>
      </c>
    </row>
    <row r="14" spans="1:11" x14ac:dyDescent="0.2">
      <c r="A14" t="s">
        <v>200</v>
      </c>
      <c r="G14" t="s">
        <v>185</v>
      </c>
      <c r="H14" t="s">
        <v>193</v>
      </c>
      <c r="I14">
        <v>716</v>
      </c>
      <c r="J14">
        <v>150</v>
      </c>
      <c r="K14">
        <f>(I14*J14)/$H$8</f>
        <v>3.7690822951394982</v>
      </c>
    </row>
    <row r="15" spans="1:11" x14ac:dyDescent="0.2">
      <c r="A15" t="s">
        <v>186</v>
      </c>
      <c r="G15" t="s">
        <v>194</v>
      </c>
      <c r="H15" t="s">
        <v>195</v>
      </c>
      <c r="I15">
        <v>1951</v>
      </c>
      <c r="J15">
        <v>76</v>
      </c>
      <c r="K15">
        <f>(I15*J15)/$H$8</f>
        <v>5.203579575364099</v>
      </c>
    </row>
    <row r="16" spans="1:11" x14ac:dyDescent="0.2">
      <c r="G16" t="s">
        <v>197</v>
      </c>
      <c r="H16" t="s">
        <v>196</v>
      </c>
      <c r="I16">
        <v>385</v>
      </c>
      <c r="J16">
        <v>233</v>
      </c>
      <c r="K16">
        <f>(I16*J16)/$H$8</f>
        <v>3.1480961572205648</v>
      </c>
    </row>
    <row r="17" spans="7:11" x14ac:dyDescent="0.2">
      <c r="G17" t="s">
        <v>199</v>
      </c>
      <c r="H17" t="s">
        <v>198</v>
      </c>
      <c r="I17">
        <v>368</v>
      </c>
      <c r="J17">
        <v>173</v>
      </c>
      <c r="K17">
        <f>(I17*J17)/$H$8</f>
        <v>2.2342165292156517</v>
      </c>
    </row>
    <row r="18" spans="7:11" x14ac:dyDescent="0.2">
      <c r="G18" t="s">
        <v>177</v>
      </c>
      <c r="H18" t="s">
        <v>189</v>
      </c>
      <c r="I18">
        <v>33</v>
      </c>
    </row>
    <row r="21" spans="7:11" x14ac:dyDescent="0.2">
      <c r="G21" t="s">
        <v>201</v>
      </c>
      <c r="H21">
        <v>10523</v>
      </c>
    </row>
    <row r="22" spans="7:11" x14ac:dyDescent="0.2">
      <c r="G22" t="s">
        <v>137</v>
      </c>
      <c r="H22" t="s">
        <v>138</v>
      </c>
      <c r="I22" t="s">
        <v>178</v>
      </c>
      <c r="J22" t="s">
        <v>179</v>
      </c>
      <c r="K22" t="s">
        <v>180</v>
      </c>
    </row>
    <row r="23" spans="7:11" x14ac:dyDescent="0.2">
      <c r="G23" s="10" t="s">
        <v>181</v>
      </c>
      <c r="H23" t="s">
        <v>187</v>
      </c>
      <c r="I23">
        <v>2086</v>
      </c>
      <c r="J23">
        <v>19</v>
      </c>
      <c r="K23">
        <f>(I23*J23)/$H$21</f>
        <v>3.7664164211726692</v>
      </c>
    </row>
    <row r="24" spans="7:11" x14ac:dyDescent="0.2">
      <c r="G24" t="s">
        <v>191</v>
      </c>
      <c r="H24" t="s">
        <v>190</v>
      </c>
      <c r="I24">
        <v>1784</v>
      </c>
      <c r="J24">
        <v>38</v>
      </c>
      <c r="K24">
        <f t="shared" ref="K24:K29" si="0">(I24*J24)/$H$21</f>
        <v>6.4422693148341725</v>
      </c>
    </row>
    <row r="25" spans="7:11" x14ac:dyDescent="0.2">
      <c r="G25" t="s">
        <v>184</v>
      </c>
      <c r="H25" t="s">
        <v>192</v>
      </c>
      <c r="I25">
        <v>254</v>
      </c>
      <c r="J25">
        <v>104</v>
      </c>
      <c r="K25">
        <f t="shared" si="0"/>
        <v>2.5103107478855842</v>
      </c>
    </row>
    <row r="26" spans="7:11" x14ac:dyDescent="0.2">
      <c r="G26" t="s">
        <v>185</v>
      </c>
      <c r="H26" t="s">
        <v>193</v>
      </c>
      <c r="I26">
        <v>483</v>
      </c>
      <c r="J26">
        <v>72</v>
      </c>
      <c r="K26">
        <f t="shared" si="0"/>
        <v>3.3047609997149103</v>
      </c>
    </row>
    <row r="27" spans="7:11" x14ac:dyDescent="0.2">
      <c r="G27" t="s">
        <v>194</v>
      </c>
      <c r="H27" t="s">
        <v>195</v>
      </c>
      <c r="I27">
        <v>667</v>
      </c>
      <c r="J27">
        <v>38</v>
      </c>
      <c r="K27">
        <f t="shared" si="0"/>
        <v>2.4086287180461845</v>
      </c>
    </row>
    <row r="28" spans="7:11" x14ac:dyDescent="0.2">
      <c r="G28" t="s">
        <v>197</v>
      </c>
      <c r="H28" t="s">
        <v>196</v>
      </c>
      <c r="I28">
        <v>181</v>
      </c>
      <c r="J28">
        <v>175</v>
      </c>
      <c r="K28">
        <f t="shared" si="0"/>
        <v>3.0100731730495105</v>
      </c>
    </row>
    <row r="29" spans="7:11" x14ac:dyDescent="0.2">
      <c r="G29" t="s">
        <v>199</v>
      </c>
      <c r="H29" t="s">
        <v>198</v>
      </c>
      <c r="I29">
        <v>264</v>
      </c>
      <c r="J29">
        <v>79</v>
      </c>
      <c r="K29">
        <f t="shared" si="0"/>
        <v>1.9819443124584244</v>
      </c>
    </row>
    <row r="30" spans="7:11" x14ac:dyDescent="0.2">
      <c r="G30" t="s">
        <v>177</v>
      </c>
      <c r="H30" t="s">
        <v>189</v>
      </c>
      <c r="I30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K26" sqref="K26"/>
    </sheetView>
  </sheetViews>
  <sheetFormatPr baseColWidth="10" defaultRowHeight="16" x14ac:dyDescent="0.2"/>
  <cols>
    <col min="1" max="1" width="6.6640625" bestFit="1" customWidth="1"/>
    <col min="2" max="3" width="13.5" bestFit="1" customWidth="1"/>
    <col min="4" max="4" width="12.5" bestFit="1" customWidth="1"/>
    <col min="5" max="5" width="11.83203125" bestFit="1" customWidth="1"/>
    <col min="6" max="6" width="17.5" bestFit="1" customWidth="1"/>
    <col min="7" max="7" width="16.83203125" bestFit="1" customWidth="1"/>
    <col min="9" max="10" width="12" bestFit="1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14</v>
      </c>
    </row>
    <row r="2" spans="1:12" x14ac:dyDescent="0.2">
      <c r="A2">
        <v>-1</v>
      </c>
      <c r="B2">
        <v>17</v>
      </c>
      <c r="C2">
        <v>31</v>
      </c>
      <c r="D2">
        <v>49</v>
      </c>
    </row>
    <row r="3" spans="1:12" x14ac:dyDescent="0.2">
      <c r="A3" t="s">
        <v>88</v>
      </c>
      <c r="B3" s="7" t="s">
        <v>121</v>
      </c>
      <c r="C3" s="7" t="s">
        <v>101</v>
      </c>
      <c r="D3" s="7" t="s">
        <v>99</v>
      </c>
    </row>
    <row r="4" spans="1:12" x14ac:dyDescent="0.2">
      <c r="A4">
        <v>4488</v>
      </c>
      <c r="B4" s="8">
        <v>7768</v>
      </c>
      <c r="C4" s="8">
        <v>5880</v>
      </c>
      <c r="D4" s="8">
        <v>3808</v>
      </c>
      <c r="E4" s="28">
        <v>2944</v>
      </c>
      <c r="F4" s="28"/>
    </row>
    <row r="5" spans="1:12" x14ac:dyDescent="0.2">
      <c r="B5" s="11"/>
      <c r="C5" s="11"/>
      <c r="D5" s="11"/>
      <c r="E5" t="s">
        <v>167</v>
      </c>
      <c r="F5" t="s">
        <v>166</v>
      </c>
      <c r="G5" t="s">
        <v>168</v>
      </c>
    </row>
    <row r="6" spans="1:12" x14ac:dyDescent="0.2">
      <c r="A6">
        <v>1</v>
      </c>
      <c r="B6" t="s">
        <v>159</v>
      </c>
      <c r="C6">
        <v>4488</v>
      </c>
      <c r="D6">
        <v>2944</v>
      </c>
      <c r="E6">
        <v>0</v>
      </c>
      <c r="G6">
        <v>0</v>
      </c>
      <c r="J6" t="s">
        <v>90</v>
      </c>
      <c r="K6" t="s">
        <v>91</v>
      </c>
    </row>
    <row r="7" spans="1:12" x14ac:dyDescent="0.2">
      <c r="A7">
        <v>2</v>
      </c>
      <c r="B7" t="s">
        <v>160</v>
      </c>
      <c r="C7" s="8">
        <v>7768</v>
      </c>
      <c r="D7">
        <v>3472</v>
      </c>
      <c r="E7" s="30">
        <v>7.5999999999999999E-106</v>
      </c>
      <c r="G7" s="31" t="s">
        <v>169</v>
      </c>
      <c r="I7" t="s">
        <v>93</v>
      </c>
      <c r="J7">
        <f>L9-K9-L8+K8</f>
        <v>2440</v>
      </c>
      <c r="K7">
        <f>K9-K8</f>
        <v>744</v>
      </c>
    </row>
    <row r="8" spans="1:12" x14ac:dyDescent="0.2">
      <c r="A8">
        <v>3</v>
      </c>
      <c r="B8" t="s">
        <v>161</v>
      </c>
      <c r="C8" s="8">
        <v>5880</v>
      </c>
      <c r="D8">
        <v>3160</v>
      </c>
      <c r="E8">
        <v>0</v>
      </c>
      <c r="G8">
        <v>0</v>
      </c>
      <c r="I8" t="s">
        <v>95</v>
      </c>
      <c r="J8">
        <f>L8-K8</f>
        <v>2288</v>
      </c>
      <c r="K8">
        <v>2944</v>
      </c>
      <c r="L8">
        <v>5232</v>
      </c>
    </row>
    <row r="9" spans="1:12" x14ac:dyDescent="0.2">
      <c r="A9">
        <v>4</v>
      </c>
      <c r="B9" t="s">
        <v>162</v>
      </c>
      <c r="C9" s="8">
        <v>3808</v>
      </c>
      <c r="D9">
        <v>3648</v>
      </c>
      <c r="E9">
        <v>0</v>
      </c>
      <c r="G9">
        <v>0</v>
      </c>
      <c r="K9">
        <v>3688</v>
      </c>
      <c r="L9">
        <v>8416</v>
      </c>
    </row>
    <row r="10" spans="1:12" x14ac:dyDescent="0.2">
      <c r="A10">
        <v>5</v>
      </c>
      <c r="B10" t="s">
        <v>163</v>
      </c>
      <c r="C10" s="11">
        <v>3960</v>
      </c>
      <c r="D10">
        <v>3544</v>
      </c>
      <c r="E10">
        <v>0</v>
      </c>
      <c r="G10">
        <v>0</v>
      </c>
    </row>
    <row r="11" spans="1:12" x14ac:dyDescent="0.2">
      <c r="A11">
        <v>6</v>
      </c>
      <c r="B11" t="s">
        <v>164</v>
      </c>
      <c r="C11" s="8">
        <v>4176</v>
      </c>
      <c r="D11">
        <v>3208</v>
      </c>
      <c r="E11" s="32">
        <v>0</v>
      </c>
      <c r="G11">
        <v>0</v>
      </c>
    </row>
    <row r="12" spans="1:12" x14ac:dyDescent="0.2">
      <c r="A12">
        <v>7</v>
      </c>
      <c r="B12" t="s">
        <v>165</v>
      </c>
      <c r="C12" s="11">
        <v>3688</v>
      </c>
      <c r="D12">
        <v>5232</v>
      </c>
      <c r="E12" s="33">
        <v>6.6020999999999996E-199</v>
      </c>
      <c r="G12" s="29">
        <v>6.6020823731771101E-199</v>
      </c>
    </row>
    <row r="17" spans="1:12" x14ac:dyDescent="0.2">
      <c r="A17" t="s">
        <v>1</v>
      </c>
      <c r="B17" t="s">
        <v>3</v>
      </c>
      <c r="C17" t="s">
        <v>4</v>
      </c>
      <c r="D17" t="s">
        <v>13</v>
      </c>
    </row>
    <row r="18" spans="1:12" x14ac:dyDescent="0.2">
      <c r="A18">
        <v>-1</v>
      </c>
      <c r="B18">
        <v>31</v>
      </c>
      <c r="C18">
        <v>49</v>
      </c>
    </row>
    <row r="19" spans="1:12" x14ac:dyDescent="0.2">
      <c r="A19" t="s">
        <v>88</v>
      </c>
      <c r="B19" s="7" t="s">
        <v>101</v>
      </c>
      <c r="C19" s="7" t="s">
        <v>99</v>
      </c>
    </row>
    <row r="20" spans="1:12" x14ac:dyDescent="0.2">
      <c r="A20">
        <v>4488</v>
      </c>
      <c r="B20" s="8">
        <v>5880</v>
      </c>
      <c r="C20" s="8">
        <v>3808</v>
      </c>
      <c r="D20" s="28">
        <v>3472</v>
      </c>
    </row>
    <row r="21" spans="1:12" x14ac:dyDescent="0.2">
      <c r="E21" t="s">
        <v>167</v>
      </c>
      <c r="F21" t="s">
        <v>170</v>
      </c>
      <c r="G21" t="s">
        <v>168</v>
      </c>
    </row>
    <row r="22" spans="1:12" x14ac:dyDescent="0.2">
      <c r="A22">
        <v>1</v>
      </c>
      <c r="B22" t="s">
        <v>171</v>
      </c>
      <c r="C22">
        <v>4488</v>
      </c>
      <c r="D22">
        <v>3544</v>
      </c>
      <c r="E22">
        <v>0</v>
      </c>
      <c r="G22">
        <v>0</v>
      </c>
      <c r="J22" t="s">
        <v>90</v>
      </c>
      <c r="K22" t="s">
        <v>91</v>
      </c>
    </row>
    <row r="23" spans="1:12" x14ac:dyDescent="0.2">
      <c r="A23">
        <v>2</v>
      </c>
      <c r="B23" t="s">
        <v>172</v>
      </c>
      <c r="C23">
        <v>5880</v>
      </c>
      <c r="D23">
        <v>3960</v>
      </c>
      <c r="E23" s="29">
        <v>5.4391872495198214E-262</v>
      </c>
      <c r="G23" s="29">
        <v>5.4391872495483502E-262</v>
      </c>
      <c r="I23" t="s">
        <v>93</v>
      </c>
      <c r="J23">
        <f>L25-K25-L24+K24</f>
        <v>3904</v>
      </c>
      <c r="K23">
        <f>K25-K24</f>
        <v>704</v>
      </c>
    </row>
    <row r="24" spans="1:12" x14ac:dyDescent="0.2">
      <c r="A24">
        <v>3</v>
      </c>
      <c r="B24" t="s">
        <v>173</v>
      </c>
      <c r="C24">
        <v>3808</v>
      </c>
      <c r="D24">
        <v>4176</v>
      </c>
      <c r="E24">
        <v>0</v>
      </c>
      <c r="G24">
        <v>0</v>
      </c>
      <c r="I24" t="s">
        <v>95</v>
      </c>
      <c r="J24">
        <f>L24-K24</f>
        <v>336</v>
      </c>
      <c r="K24">
        <v>3472</v>
      </c>
      <c r="L24">
        <v>3808</v>
      </c>
    </row>
    <row r="25" spans="1:12" x14ac:dyDescent="0.2">
      <c r="K25">
        <v>4176</v>
      </c>
      <c r="L25">
        <v>8416</v>
      </c>
    </row>
    <row r="27" spans="1:12" x14ac:dyDescent="0.2">
      <c r="I27">
        <f>[1]!fet(J23,K23,J24,K24)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:E15"/>
    </sheetView>
  </sheetViews>
  <sheetFormatPr baseColWidth="10" defaultRowHeight="16" x14ac:dyDescent="0.2"/>
  <cols>
    <col min="1" max="1" width="32.6640625" bestFit="1" customWidth="1"/>
    <col min="7" max="7" width="15.33203125" bestFit="1" customWidth="1"/>
    <col min="8" max="8" width="27.6640625" bestFit="1" customWidth="1"/>
  </cols>
  <sheetData>
    <row r="1" spans="1:9" x14ac:dyDescent="0.2">
      <c r="A1" s="7" t="s">
        <v>87</v>
      </c>
      <c r="B1" s="8">
        <v>8416</v>
      </c>
      <c r="C1" s="9"/>
    </row>
    <row r="2" spans="1:9" x14ac:dyDescent="0.2">
      <c r="A2" s="10" t="s">
        <v>88</v>
      </c>
      <c r="B2" s="11">
        <v>4488</v>
      </c>
      <c r="C2" s="12">
        <f>B2/$B$1</f>
        <v>0.53326996197718635</v>
      </c>
      <c r="I2" t="s">
        <v>139</v>
      </c>
    </row>
    <row r="3" spans="1:9" x14ac:dyDescent="0.2">
      <c r="A3" s="13" t="s">
        <v>89</v>
      </c>
      <c r="B3" s="14">
        <v>3928</v>
      </c>
      <c r="C3" s="15">
        <f>B3/$B$1</f>
        <v>0.46673003802281371</v>
      </c>
      <c r="G3" t="s">
        <v>137</v>
      </c>
      <c r="H3" t="s">
        <v>138</v>
      </c>
      <c r="I3" t="s">
        <v>142</v>
      </c>
    </row>
    <row r="4" spans="1:9" x14ac:dyDescent="0.2">
      <c r="G4" t="s">
        <v>140</v>
      </c>
      <c r="H4" t="s">
        <v>141</v>
      </c>
      <c r="I4">
        <f>C2*C8</f>
        <v>0.22861668522025763</v>
      </c>
    </row>
    <row r="5" spans="1:9" x14ac:dyDescent="0.2">
      <c r="A5">
        <v>16</v>
      </c>
      <c r="D5" t="s">
        <v>125</v>
      </c>
      <c r="E5" t="s">
        <v>126</v>
      </c>
      <c r="G5" t="s">
        <v>143</v>
      </c>
      <c r="H5" t="s">
        <v>144</v>
      </c>
      <c r="I5">
        <f>C6*C21</f>
        <v>0.42779912243924301</v>
      </c>
    </row>
    <row r="6" spans="1:9" x14ac:dyDescent="0.2">
      <c r="A6" t="s">
        <v>129</v>
      </c>
      <c r="B6">
        <v>8216</v>
      </c>
      <c r="C6" s="12">
        <f>B6/$B$1</f>
        <v>0.97623574144486691</v>
      </c>
      <c r="G6" t="s">
        <v>145</v>
      </c>
      <c r="H6" t="s">
        <v>146</v>
      </c>
      <c r="I6">
        <f>C20*C7</f>
        <v>0.23096690714048199</v>
      </c>
    </row>
    <row r="7" spans="1:9" x14ac:dyDescent="0.2">
      <c r="A7" t="s">
        <v>130</v>
      </c>
      <c r="B7">
        <v>4296</v>
      </c>
      <c r="C7" s="12">
        <f>B7/$B$1</f>
        <v>0.51045627376425851</v>
      </c>
      <c r="D7">
        <f>C7-C6*C2</f>
        <v>-1.0140922956816012E-2</v>
      </c>
      <c r="E7">
        <f>C7/(C6*C2)</f>
        <v>0.98052059630615085</v>
      </c>
    </row>
    <row r="8" spans="1:9" x14ac:dyDescent="0.2">
      <c r="A8" t="s">
        <v>132</v>
      </c>
      <c r="B8">
        <v>3608</v>
      </c>
      <c r="C8" s="12">
        <f>B8/$B$1</f>
        <v>0.42870722433460073</v>
      </c>
    </row>
    <row r="9" spans="1:9" x14ac:dyDescent="0.2">
      <c r="A9" t="s">
        <v>131</v>
      </c>
      <c r="B9">
        <v>3496</v>
      </c>
      <c r="C9" s="12">
        <f>B9/$B$1</f>
        <v>0.41539923954372626</v>
      </c>
      <c r="D9">
        <f>C9-C2*C8</f>
        <v>0.18678255432346863</v>
      </c>
      <c r="E9">
        <f>C9/(C8*C2)</f>
        <v>1.8170119085731451</v>
      </c>
    </row>
    <row r="10" spans="1:9" x14ac:dyDescent="0.2">
      <c r="C10" s="11"/>
    </row>
    <row r="11" spans="1:9" x14ac:dyDescent="0.2">
      <c r="A11">
        <v>5</v>
      </c>
      <c r="D11" t="s">
        <v>125</v>
      </c>
      <c r="E11" t="s">
        <v>126</v>
      </c>
    </row>
    <row r="12" spans="1:9" x14ac:dyDescent="0.2">
      <c r="A12" t="s">
        <v>109</v>
      </c>
      <c r="B12">
        <v>8200</v>
      </c>
      <c r="C12" s="12">
        <f>B12/$B$1</f>
        <v>0.9743346007604563</v>
      </c>
    </row>
    <row r="13" spans="1:9" x14ac:dyDescent="0.2">
      <c r="A13" t="s">
        <v>110</v>
      </c>
      <c r="B13">
        <v>4296</v>
      </c>
      <c r="C13" s="12">
        <f>B13/$B$1</f>
        <v>0.51045627376425851</v>
      </c>
      <c r="D13">
        <f>C13-C12*C2</f>
        <v>-9.1271017363270257E-3</v>
      </c>
      <c r="E13">
        <f>C13/(C12*C2)</f>
        <v>0.98243380722577267</v>
      </c>
    </row>
    <row r="14" spans="1:9" x14ac:dyDescent="0.2">
      <c r="A14" t="s">
        <v>133</v>
      </c>
      <c r="B14">
        <v>3616</v>
      </c>
      <c r="C14" s="12">
        <f>B14/$B$1</f>
        <v>0.42965779467680609</v>
      </c>
    </row>
    <row r="15" spans="1:9" x14ac:dyDescent="0.2">
      <c r="A15" t="s">
        <v>134</v>
      </c>
      <c r="B15">
        <v>3496</v>
      </c>
      <c r="C15" s="12">
        <f>B15/$B$1</f>
        <v>0.41539923954372626</v>
      </c>
      <c r="D15">
        <f>C15-C14*C2</f>
        <v>0.18627564371322414</v>
      </c>
      <c r="E15">
        <f>C15/(C14*C2)</f>
        <v>1.8129919707223194</v>
      </c>
    </row>
    <row r="19" spans="1:3" x14ac:dyDescent="0.2">
      <c r="A19">
        <v>49</v>
      </c>
    </row>
    <row r="20" spans="1:3" x14ac:dyDescent="0.2">
      <c r="A20" s="7" t="s">
        <v>99</v>
      </c>
      <c r="B20" s="8">
        <v>3808</v>
      </c>
      <c r="C20" s="9">
        <f>B20/$B$1</f>
        <v>0.45247148288973382</v>
      </c>
    </row>
    <row r="21" spans="1:3" x14ac:dyDescent="0.2">
      <c r="A21" s="10" t="s">
        <v>100</v>
      </c>
      <c r="B21" s="11">
        <v>3688</v>
      </c>
      <c r="C21" s="12">
        <f>B21/$B$1</f>
        <v>0.43821292775665399</v>
      </c>
    </row>
    <row r="22" spans="1:3" x14ac:dyDescent="0.2">
      <c r="A22" s="10"/>
      <c r="B22" s="11"/>
      <c r="C22" s="12"/>
    </row>
    <row r="23" spans="1:3" x14ac:dyDescent="0.2">
      <c r="A23" s="10"/>
      <c r="B23" s="11"/>
      <c r="C23" s="12"/>
    </row>
    <row r="24" spans="1:3" x14ac:dyDescent="0.2">
      <c r="A24" s="13"/>
      <c r="B24" s="14"/>
      <c r="C2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C3"/>
    </sheetView>
  </sheetViews>
  <sheetFormatPr baseColWidth="10" defaultRowHeight="16" x14ac:dyDescent="0.2"/>
  <cols>
    <col min="1" max="1" width="30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6" spans="1:3" x14ac:dyDescent="0.2">
      <c r="A6">
        <v>49</v>
      </c>
    </row>
    <row r="7" spans="1:3" x14ac:dyDescent="0.2">
      <c r="A7" s="7" t="s">
        <v>99</v>
      </c>
      <c r="B7" s="8">
        <v>3808</v>
      </c>
      <c r="C7" s="9">
        <f>B7/$B$1</f>
        <v>0.45247148288973382</v>
      </c>
    </row>
    <row r="8" spans="1:3" x14ac:dyDescent="0.2">
      <c r="A8" s="10" t="s">
        <v>100</v>
      </c>
      <c r="B8" s="11">
        <v>3688</v>
      </c>
      <c r="C8" s="12">
        <f>B8/$B$1</f>
        <v>0.43821292775665399</v>
      </c>
    </row>
    <row r="9" spans="1:3" x14ac:dyDescent="0.2">
      <c r="A9" s="10"/>
      <c r="B9" s="11"/>
      <c r="C9" s="12"/>
    </row>
    <row r="10" spans="1:3" x14ac:dyDescent="0.2">
      <c r="A10" s="10" t="s">
        <v>97</v>
      </c>
      <c r="B10" s="11">
        <f>C8/(C7*$C$2)</f>
        <v>1.8161296604203176</v>
      </c>
      <c r="C10" s="12"/>
    </row>
    <row r="11" spans="1:3" x14ac:dyDescent="0.2">
      <c r="A11" s="13" t="s">
        <v>98</v>
      </c>
      <c r="B11" s="14">
        <f>C8-C7*$C$2</f>
        <v>0.1969234772802845</v>
      </c>
      <c r="C11" s="15"/>
    </row>
    <row r="13" spans="1:3" x14ac:dyDescent="0.2">
      <c r="A13">
        <v>31</v>
      </c>
    </row>
    <row r="14" spans="1:3" x14ac:dyDescent="0.2">
      <c r="A14" s="7" t="s">
        <v>101</v>
      </c>
      <c r="B14" s="8">
        <v>5880</v>
      </c>
      <c r="C14" s="9">
        <f>B14/$B$1</f>
        <v>0.6986692015209125</v>
      </c>
    </row>
    <row r="15" spans="1:3" x14ac:dyDescent="0.2">
      <c r="A15" s="10" t="s">
        <v>102</v>
      </c>
      <c r="B15" s="11">
        <v>4176</v>
      </c>
      <c r="C15" s="12">
        <f>B15/$B$1</f>
        <v>0.49619771863117873</v>
      </c>
    </row>
    <row r="16" spans="1:3" x14ac:dyDescent="0.2">
      <c r="A16" s="10"/>
      <c r="B16" s="11"/>
      <c r="C16" s="12"/>
    </row>
    <row r="17" spans="1:5" x14ac:dyDescent="0.2">
      <c r="A17" s="10" t="s">
        <v>97</v>
      </c>
      <c r="B17" s="11">
        <f>C15/(C14*$C$2)</f>
        <v>1.3317908981774529</v>
      </c>
      <c r="C17" s="12"/>
    </row>
    <row r="18" spans="1:5" x14ac:dyDescent="0.2">
      <c r="A18" s="13" t="s">
        <v>98</v>
      </c>
      <c r="B18" s="14">
        <f>C15-C14*$C$2</f>
        <v>0.1236184201014906</v>
      </c>
      <c r="C18" s="15"/>
    </row>
    <row r="21" spans="1:5" x14ac:dyDescent="0.2">
      <c r="A21">
        <v>5</v>
      </c>
      <c r="D21" t="s">
        <v>125</v>
      </c>
      <c r="E21" t="s">
        <v>126</v>
      </c>
    </row>
    <row r="22" spans="1:5" x14ac:dyDescent="0.2">
      <c r="A22" t="s">
        <v>109</v>
      </c>
      <c r="B22">
        <v>8200</v>
      </c>
      <c r="C22" s="12">
        <f>B22/$B$1</f>
        <v>0.9743346007604563</v>
      </c>
    </row>
    <row r="23" spans="1:5" x14ac:dyDescent="0.2">
      <c r="A23" t="s">
        <v>110</v>
      </c>
      <c r="B23">
        <v>4296</v>
      </c>
      <c r="C23" s="12">
        <f>B23/$B$1</f>
        <v>0.51045627376425851</v>
      </c>
      <c r="D23">
        <f>C23-C22*C2</f>
        <v>-9.1271017363270257E-3</v>
      </c>
      <c r="E23">
        <f>C23/(C22*C2)</f>
        <v>0.98243380722577267</v>
      </c>
    </row>
    <row r="24" spans="1:5" x14ac:dyDescent="0.2">
      <c r="A24" t="s">
        <v>133</v>
      </c>
      <c r="B24">
        <v>3616</v>
      </c>
      <c r="C24" s="12">
        <f>B24/$B$1</f>
        <v>0.42965779467680609</v>
      </c>
    </row>
    <row r="25" spans="1:5" x14ac:dyDescent="0.2">
      <c r="A25" t="s">
        <v>134</v>
      </c>
      <c r="B25">
        <v>3496</v>
      </c>
      <c r="C25" s="12">
        <f>B25/$B$1</f>
        <v>0.41539923954372626</v>
      </c>
      <c r="D25">
        <f>C25-C24*C2</f>
        <v>0.18627564371322414</v>
      </c>
      <c r="E25">
        <f>C25/(C24*C2)</f>
        <v>1.8129919707223194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3" sqref="B23"/>
    </sheetView>
  </sheetViews>
  <sheetFormatPr baseColWidth="10" defaultRowHeight="16" x14ac:dyDescent="0.2"/>
  <cols>
    <col min="1" max="1" width="16.33203125" bestFit="1" customWidth="1"/>
  </cols>
  <sheetData>
    <row r="1" spans="1:4" x14ac:dyDescent="0.2">
      <c r="A1" s="7" t="s">
        <v>87</v>
      </c>
      <c r="B1" s="8">
        <v>8416</v>
      </c>
      <c r="C1" s="9"/>
    </row>
    <row r="2" spans="1:4" x14ac:dyDescent="0.2">
      <c r="A2" s="10" t="s">
        <v>88</v>
      </c>
      <c r="B2" s="11">
        <v>4488</v>
      </c>
      <c r="C2" s="12">
        <f>B2/$B$1</f>
        <v>0.53326996197718635</v>
      </c>
      <c r="D2">
        <f>1/C2</f>
        <v>1.8752228163992868</v>
      </c>
    </row>
    <row r="3" spans="1:4" x14ac:dyDescent="0.2">
      <c r="A3" s="13" t="s">
        <v>89</v>
      </c>
      <c r="B3" s="14">
        <v>3928</v>
      </c>
      <c r="C3" s="15">
        <f>B3/$B$1</f>
        <v>0.46673003802281371</v>
      </c>
    </row>
    <row r="6" spans="1:4" x14ac:dyDescent="0.2">
      <c r="A6">
        <v>22</v>
      </c>
    </row>
    <row r="7" spans="1:4" x14ac:dyDescent="0.2">
      <c r="A7" t="s">
        <v>147</v>
      </c>
      <c r="B7">
        <v>2096</v>
      </c>
      <c r="C7" s="12">
        <f>B7/$B$1</f>
        <v>0.24904942965779467</v>
      </c>
    </row>
    <row r="8" spans="1:4" x14ac:dyDescent="0.2">
      <c r="A8" t="s">
        <v>149</v>
      </c>
      <c r="B8">
        <v>1872</v>
      </c>
      <c r="C8" s="12">
        <f>B8/$B$1</f>
        <v>0.22243346007604561</v>
      </c>
    </row>
    <row r="13" spans="1:4" x14ac:dyDescent="0.2">
      <c r="A13">
        <v>106</v>
      </c>
    </row>
    <row r="14" spans="1:4" x14ac:dyDescent="0.2">
      <c r="A14" t="s">
        <v>148</v>
      </c>
      <c r="B14">
        <v>216</v>
      </c>
      <c r="C14" s="12">
        <f>B14/$B$1</f>
        <v>2.5665399239543727E-2</v>
      </c>
    </row>
    <row r="15" spans="1:4" x14ac:dyDescent="0.2">
      <c r="A15" t="s">
        <v>150</v>
      </c>
      <c r="B15">
        <v>192</v>
      </c>
      <c r="C15" s="12">
        <f>B15/$B$1</f>
        <v>2.2813688212927757E-2</v>
      </c>
    </row>
    <row r="17" spans="1:4" x14ac:dyDescent="0.2">
      <c r="D17" t="s">
        <v>126</v>
      </c>
    </row>
    <row r="18" spans="1:4" x14ac:dyDescent="0.2">
      <c r="A18" t="s">
        <v>151</v>
      </c>
      <c r="B18">
        <v>48</v>
      </c>
      <c r="C18" s="12">
        <f>B18/$B$1</f>
        <v>5.7034220532319393E-3</v>
      </c>
      <c r="D18">
        <f>C18/(C18*C2)</f>
        <v>1.8752228163992868</v>
      </c>
    </row>
    <row r="23" spans="1:4" x14ac:dyDescent="0.2">
      <c r="A23" t="s">
        <v>152</v>
      </c>
      <c r="B23">
        <v>16</v>
      </c>
    </row>
    <row r="24" spans="1:4" x14ac:dyDescent="0.2">
      <c r="A24" t="s">
        <v>153</v>
      </c>
      <c r="B2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FirstInIndex</vt:lpstr>
      <vt:lpstr>Sheet3</vt:lpstr>
      <vt:lpstr>field19</vt:lpstr>
      <vt:lpstr>Adult</vt:lpstr>
      <vt:lpstr>p-value</vt:lpstr>
      <vt:lpstr>field18&amp;field7</vt:lpstr>
      <vt:lpstr>field7&amp;field9&amp;field6</vt:lpstr>
      <vt:lpstr>Lift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2017-06-22T12:43:24Z</dcterms:created>
  <dcterms:modified xsi:type="dcterms:W3CDTF">2017-07-25T14:21:09Z</dcterms:modified>
</cp:coreProperties>
</file>