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19"/>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628" documentId="13_ncr:1_{B3C20CFB-FE03-452E-9027-14D29E3DA195}" xr6:coauthVersionLast="45" xr6:coauthVersionMax="45" xr10:uidLastSave="{F205C712-CD89-4D31-B29C-19E2C70CE432}"/>
  <bookViews>
    <workbookView xWindow="-120" yWindow="-120" windowWidth="38640" windowHeight="15840" activeTab="3" xr2:uid="{00000000-000D-0000-FFFF-FFFF00000000}"/>
  </bookViews>
  <sheets>
    <sheet name="Fund List" sheetId="1" r:id="rId1"/>
    <sheet name="Stock List" sheetId="2" r:id="rId2"/>
    <sheet name="Strategy" sheetId="3" r:id="rId3"/>
    <sheet name="Inv. Acct Case Analysis" sheetId="4" r:id="rId4"/>
    <sheet name="Avg. Return Calc" sheetId="5" r:id="rId5"/>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22" i="4" l="1"/>
  <c r="Y21" i="4"/>
  <c r="X20" i="4"/>
  <c r="Y20" i="4" s="1"/>
  <c r="X19" i="4"/>
  <c r="Y19" i="4" s="1"/>
  <c r="X18" i="4"/>
  <c r="Y18" i="4" s="1"/>
  <c r="Y17" i="4"/>
  <c r="Y16" i="4"/>
  <c r="Y15" i="4"/>
  <c r="Y14" i="4"/>
  <c r="Y13" i="4"/>
  <c r="Y12" i="4"/>
  <c r="Y11" i="4"/>
  <c r="Y10" i="4"/>
  <c r="Y9" i="4"/>
  <c r="Y8" i="4"/>
  <c r="Y7" i="4"/>
  <c r="Y6" i="4"/>
  <c r="Y5" i="4"/>
  <c r="Y4" i="4"/>
  <c r="Y3" i="4"/>
  <c r="Y2" i="4"/>
  <c r="F4" i="4"/>
  <c r="G4" i="4"/>
  <c r="R4" i="4" s="1"/>
  <c r="F5" i="4"/>
  <c r="G5" i="4"/>
  <c r="R5" i="4" s="1"/>
  <c r="F6" i="4"/>
  <c r="G6" i="4"/>
  <c r="R6" i="4" s="1"/>
  <c r="F7" i="4"/>
  <c r="G7" i="4"/>
  <c r="R7" i="4" s="1"/>
  <c r="F8" i="4"/>
  <c r="G8" i="4"/>
  <c r="R8" i="4" s="1"/>
  <c r="F9" i="4"/>
  <c r="G9" i="4"/>
  <c r="R9" i="4" s="1"/>
  <c r="F10" i="4"/>
  <c r="G10" i="4"/>
  <c r="R10" i="4" s="1"/>
  <c r="F11" i="4"/>
  <c r="G11" i="4"/>
  <c r="R11" i="4" s="1"/>
  <c r="F12" i="4"/>
  <c r="G12" i="4"/>
  <c r="R12" i="4" s="1"/>
  <c r="F13" i="4"/>
  <c r="G13" i="4"/>
  <c r="R13" i="4" s="1"/>
  <c r="F14" i="4"/>
  <c r="G14" i="4"/>
  <c r="R14" i="4" s="1"/>
  <c r="F15" i="4"/>
  <c r="G15" i="4"/>
  <c r="R15" i="4" s="1"/>
  <c r="F16" i="4"/>
  <c r="G16" i="4"/>
  <c r="R16" i="4" s="1"/>
  <c r="F17" i="4"/>
  <c r="G17" i="4"/>
  <c r="R17" i="4" s="1"/>
  <c r="F21" i="4"/>
  <c r="G21" i="4"/>
  <c r="R21" i="4" s="1"/>
  <c r="F22" i="4"/>
  <c r="G22" i="4"/>
  <c r="R22" i="4" s="1"/>
  <c r="F2" i="4"/>
  <c r="F3" i="4"/>
  <c r="F3" i="5"/>
  <c r="F4" i="5"/>
  <c r="F5" i="5"/>
  <c r="F6" i="5"/>
  <c r="F2" i="5"/>
  <c r="G3" i="4"/>
  <c r="R3" i="4" s="1"/>
  <c r="G2" i="4"/>
  <c r="R2" i="4" s="1"/>
  <c r="E20" i="4"/>
  <c r="F20" i="4" s="1"/>
  <c r="E18" i="4"/>
  <c r="F18" i="4" s="1"/>
  <c r="E19" i="4"/>
  <c r="F19" i="4" s="1"/>
  <c r="G19" i="4" l="1"/>
  <c r="R19" i="4" s="1"/>
  <c r="H19" i="4"/>
  <c r="G18" i="4"/>
  <c r="R18" i="4" s="1"/>
  <c r="H18" i="4"/>
  <c r="G20" i="4"/>
  <c r="R20" i="4" s="1"/>
  <c r="H20" i="4"/>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K26" i="4" s="1"/>
  <c r="AA14" i="4"/>
  <c r="AB14" i="4" s="1"/>
  <c r="AC14" i="4" s="1"/>
  <c r="AD14" i="4" s="1"/>
  <c r="AE14" i="4" s="1"/>
  <c r="AF14" i="4" s="1"/>
  <c r="AG14" i="4" s="1"/>
  <c r="AH14" i="4" s="1"/>
  <c r="AI14" i="4" s="1"/>
  <c r="AJ14" i="4" s="1"/>
  <c r="AJ26" i="4" s="1"/>
  <c r="R26" i="4"/>
  <c r="I18" i="4"/>
  <c r="J18" i="4" s="1"/>
  <c r="K18" i="4" s="1"/>
  <c r="L18" i="4" s="1"/>
  <c r="M18" i="4" s="1"/>
  <c r="N18" i="4" s="1"/>
  <c r="O18" i="4" s="1"/>
  <c r="P18" i="4" s="1"/>
  <c r="Q18" i="4" s="1"/>
  <c r="I19" i="4"/>
  <c r="J19" i="4" s="1"/>
  <c r="K19" i="4" s="1"/>
  <c r="L19" i="4" s="1"/>
  <c r="M19" i="4" s="1"/>
  <c r="N19" i="4" s="1"/>
  <c r="O19" i="4" s="1"/>
  <c r="P19" i="4" s="1"/>
  <c r="Q19" i="4" s="1"/>
  <c r="I20" i="4"/>
  <c r="J20" i="4" s="1"/>
  <c r="K20" i="4" s="1"/>
  <c r="L20" i="4" s="1"/>
  <c r="M20" i="4" s="1"/>
  <c r="N20" i="4" s="1"/>
  <c r="O20" i="4" s="1"/>
  <c r="P20" i="4" s="1"/>
  <c r="Q20" i="4" s="1"/>
  <c r="B14" i="1" a="1"/>
  <c r="B14" i="1" s="1"/>
  <c r="E14" i="1" a="1"/>
  <c r="E14" i="1" s="1"/>
  <c r="F14" i="1" a="1"/>
  <c r="F14" i="1" s="1"/>
  <c r="G14" i="1" a="1"/>
  <c r="G14" i="1" s="1"/>
  <c r="H14" i="1" a="1"/>
  <c r="H14" i="1" s="1"/>
  <c r="I14" i="1" a="1"/>
  <c r="I14" i="1" s="1"/>
  <c r="J14" i="1" a="1"/>
  <c r="J14" i="1" s="1"/>
  <c r="K14" i="1" a="1"/>
  <c r="K14" i="1" s="1"/>
  <c r="L14" i="1" a="1"/>
  <c r="L14" i="1" s="1"/>
  <c r="Q26" i="4" l="1"/>
  <c r="M14" i="1"/>
  <c r="B21" i="1" a="1"/>
  <c r="B21" i="1" s="1"/>
  <c r="E21" i="1" a="1"/>
  <c r="E21" i="1" s="1"/>
  <c r="F21" i="1" a="1"/>
  <c r="F21" i="1" s="1"/>
  <c r="G21" i="1" a="1"/>
  <c r="G21" i="1" s="1"/>
  <c r="H21" i="1" a="1"/>
  <c r="H21" i="1" s="1"/>
  <c r="I21" i="1" a="1"/>
  <c r="I21" i="1" s="1"/>
  <c r="J21" i="1" a="1"/>
  <c r="J21" i="1" s="1"/>
  <c r="K21" i="1" a="1"/>
  <c r="K21" i="1" s="1"/>
  <c r="L21" i="1" a="1"/>
  <c r="L21" i="1" s="1"/>
  <c r="B19" i="1" a="1"/>
  <c r="B19" i="1" s="1"/>
  <c r="E19" i="1" a="1"/>
  <c r="E19" i="1" s="1"/>
  <c r="F19" i="1" a="1"/>
  <c r="F19" i="1" s="1"/>
  <c r="G19" i="1" a="1"/>
  <c r="G19" i="1" s="1"/>
  <c r="H19" i="1" a="1"/>
  <c r="H19" i="1" s="1"/>
  <c r="I19" i="1" a="1"/>
  <c r="I19" i="1" s="1"/>
  <c r="J19" i="1" a="1"/>
  <c r="J19" i="1" s="1"/>
  <c r="K19" i="1" a="1"/>
  <c r="K19" i="1" s="1"/>
  <c r="M19" i="1" s="1"/>
  <c r="L19" i="1" a="1"/>
  <c r="L19" i="1" s="1"/>
  <c r="B20" i="1" a="1"/>
  <c r="B20" i="1" s="1"/>
  <c r="E20" i="1" a="1"/>
  <c r="E20" i="1" s="1"/>
  <c r="F20" i="1" a="1"/>
  <c r="F20" i="1" s="1"/>
  <c r="G20" i="1" a="1"/>
  <c r="G20" i="1" s="1"/>
  <c r="H20" i="1" a="1"/>
  <c r="H20" i="1" s="1"/>
  <c r="I20" i="1" a="1"/>
  <c r="I20" i="1" s="1"/>
  <c r="J20" i="1" a="1"/>
  <c r="J20" i="1" s="1"/>
  <c r="K20" i="1" a="1"/>
  <c r="K20" i="1" s="1"/>
  <c r="M20" i="1" s="1"/>
  <c r="L20" i="1" a="1"/>
  <c r="L20" i="1" s="1"/>
  <c r="M21" i="1" l="1"/>
  <c r="B10" i="1" a="1"/>
  <c r="B10" i="1" s="1"/>
  <c r="E10" i="1" a="1"/>
  <c r="E10" i="1" s="1"/>
  <c r="F10" i="1" a="1"/>
  <c r="F10" i="1" s="1"/>
  <c r="G10" i="1" a="1"/>
  <c r="G10" i="1" s="1"/>
  <c r="H10" i="1" a="1"/>
  <c r="H10" i="1" s="1"/>
  <c r="I10" i="1" a="1"/>
  <c r="I10" i="1" s="1"/>
  <c r="J10" i="1" a="1"/>
  <c r="J10" i="1" s="1"/>
  <c r="K10" i="1" a="1"/>
  <c r="K10" i="1" s="1"/>
  <c r="L10" i="1" a="1"/>
  <c r="L10" i="1" s="1"/>
  <c r="M10" i="1" l="1"/>
  <c r="B3" i="2" a="1"/>
  <c r="B3" i="2" s="1"/>
  <c r="F3" i="2" a="1"/>
  <c r="F3" i="2" s="1"/>
  <c r="G3" i="2" a="1"/>
  <c r="G3" i="2" s="1"/>
  <c r="H3" i="2" a="1"/>
  <c r="H3" i="2" s="1"/>
  <c r="I3" i="2" a="1"/>
  <c r="I3" i="2" s="1"/>
  <c r="J3" i="2" a="1"/>
  <c r="J3" i="2" s="1"/>
  <c r="K3" i="2" a="1"/>
  <c r="K3" i="2" s="1"/>
  <c r="L3" i="2" a="1"/>
  <c r="L3" i="2" s="1"/>
  <c r="N3" i="2" s="1"/>
  <c r="M3" i="2" a="1"/>
  <c r="M3" i="2" s="1"/>
  <c r="B2" i="2" l="1" a="1"/>
  <c r="B2" i="2" s="1"/>
  <c r="F2" i="2" a="1"/>
  <c r="F2" i="2" s="1"/>
  <c r="G2" i="2" a="1"/>
  <c r="G2" i="2" s="1"/>
  <c r="H2" i="2" a="1"/>
  <c r="H2" i="2" s="1"/>
  <c r="I2" i="2" a="1"/>
  <c r="I2" i="2" s="1"/>
  <c r="J2" i="2" a="1"/>
  <c r="J2" i="2" s="1"/>
  <c r="K2" i="2" a="1"/>
  <c r="K2" i="2" s="1"/>
  <c r="L2" i="2" a="1"/>
  <c r="L2" i="2" s="1"/>
  <c r="M2" i="2" a="1"/>
  <c r="M2" i="2" s="1"/>
  <c r="B10" i="2" a="1"/>
  <c r="B10" i="2" s="1"/>
  <c r="F10" i="2" a="1"/>
  <c r="F10" i="2" s="1"/>
  <c r="G10" i="2" a="1"/>
  <c r="G10" i="2" s="1"/>
  <c r="H10" i="2" a="1"/>
  <c r="H10" i="2" s="1"/>
  <c r="I10" i="2" a="1"/>
  <c r="I10" i="2" s="1"/>
  <c r="J10" i="2" a="1"/>
  <c r="J10" i="2" s="1"/>
  <c r="K10" i="2" a="1"/>
  <c r="K10" i="2" s="1"/>
  <c r="L10" i="2" a="1"/>
  <c r="L10" i="2" s="1"/>
  <c r="M10" i="2" a="1"/>
  <c r="M10" i="2" s="1"/>
  <c r="B23" i="2" a="1"/>
  <c r="B23" i="2" s="1"/>
  <c r="F23" i="2" a="1"/>
  <c r="F23" i="2" s="1"/>
  <c r="G23" i="2" a="1"/>
  <c r="G23" i="2" s="1"/>
  <c r="H23" i="2" a="1"/>
  <c r="H23" i="2" s="1"/>
  <c r="I23" i="2" a="1"/>
  <c r="I23" i="2" s="1"/>
  <c r="J23" i="2" a="1"/>
  <c r="J23" i="2" s="1"/>
  <c r="K23" i="2" a="1"/>
  <c r="K23" i="2" s="1"/>
  <c r="L23" i="2" a="1"/>
  <c r="L23" i="2" s="1"/>
  <c r="M23" i="2" a="1"/>
  <c r="M23" i="2" s="1"/>
  <c r="B6" i="2" a="1"/>
  <c r="B6" i="2" s="1"/>
  <c r="F6" i="2" a="1"/>
  <c r="F6" i="2" s="1"/>
  <c r="G6" i="2" a="1"/>
  <c r="G6" i="2" s="1"/>
  <c r="H6" i="2" a="1"/>
  <c r="H6" i="2" s="1"/>
  <c r="I6" i="2" a="1"/>
  <c r="I6" i="2" s="1"/>
  <c r="J6" i="2" a="1"/>
  <c r="J6" i="2" s="1"/>
  <c r="K6" i="2" a="1"/>
  <c r="K6" i="2" s="1"/>
  <c r="L6" i="2" a="1"/>
  <c r="L6" i="2" s="1"/>
  <c r="M6" i="2" a="1"/>
  <c r="M6" i="2" s="1"/>
  <c r="B7" i="2" a="1"/>
  <c r="B7" i="2" s="1"/>
  <c r="F7" i="2" a="1"/>
  <c r="F7" i="2" s="1"/>
  <c r="G7" i="2" a="1"/>
  <c r="G7" i="2" s="1"/>
  <c r="H7" i="2" a="1"/>
  <c r="H7" i="2" s="1"/>
  <c r="I7" i="2" a="1"/>
  <c r="I7" i="2" s="1"/>
  <c r="J7" i="2" a="1"/>
  <c r="J7" i="2" s="1"/>
  <c r="K7" i="2" a="1"/>
  <c r="K7" i="2" s="1"/>
  <c r="L7" i="2" a="1"/>
  <c r="L7" i="2" s="1"/>
  <c r="M7" i="2" a="1"/>
  <c r="M7" i="2" s="1"/>
  <c r="B5" i="2" a="1"/>
  <c r="B5" i="2" s="1"/>
  <c r="F5" i="2" a="1"/>
  <c r="F5" i="2" s="1"/>
  <c r="G5" i="2" a="1"/>
  <c r="G5" i="2" s="1"/>
  <c r="H5" i="2" a="1"/>
  <c r="H5" i="2" s="1"/>
  <c r="I5" i="2" a="1"/>
  <c r="I5" i="2" s="1"/>
  <c r="J5" i="2" a="1"/>
  <c r="J5" i="2" s="1"/>
  <c r="K5" i="2" a="1"/>
  <c r="K5" i="2" s="1"/>
  <c r="L5" i="2" a="1"/>
  <c r="L5" i="2" s="1"/>
  <c r="M5" i="2" a="1"/>
  <c r="M5" i="2" s="1"/>
  <c r="B4" i="2" a="1"/>
  <c r="B4" i="2" s="1"/>
  <c r="F4" i="2" a="1"/>
  <c r="F4" i="2" s="1"/>
  <c r="G4" i="2" a="1"/>
  <c r="G4" i="2" s="1"/>
  <c r="H4" i="2" a="1"/>
  <c r="H4" i="2" s="1"/>
  <c r="I4" i="2" a="1"/>
  <c r="I4" i="2" s="1"/>
  <c r="J4" i="2" a="1"/>
  <c r="J4" i="2" s="1"/>
  <c r="K4" i="2" a="1"/>
  <c r="K4" i="2" s="1"/>
  <c r="L4" i="2" a="1"/>
  <c r="L4" i="2" s="1"/>
  <c r="M4" i="2" a="1"/>
  <c r="M4" i="2" s="1"/>
  <c r="B21" i="2" a="1"/>
  <c r="B21" i="2" s="1"/>
  <c r="F21" i="2" a="1"/>
  <c r="F21" i="2" s="1"/>
  <c r="G21" i="2" a="1"/>
  <c r="G21" i="2" s="1"/>
  <c r="H21" i="2" a="1"/>
  <c r="H21" i="2" s="1"/>
  <c r="I21" i="2" a="1"/>
  <c r="I21" i="2" s="1"/>
  <c r="J21" i="2" a="1"/>
  <c r="J21" i="2" s="1"/>
  <c r="K21" i="2" a="1"/>
  <c r="K21" i="2" s="1"/>
  <c r="L21" i="2" a="1"/>
  <c r="L21" i="2" s="1"/>
  <c r="M21" i="2" a="1"/>
  <c r="M21" i="2" s="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8" i="2" a="1"/>
  <c r="B18" i="2" s="1"/>
  <c r="F18" i="2" a="1"/>
  <c r="F18" i="2" s="1"/>
  <c r="G18" i="2" a="1"/>
  <c r="G18" i="2" s="1"/>
  <c r="H18" i="2" a="1"/>
  <c r="H18" i="2" s="1"/>
  <c r="I18" i="2" a="1"/>
  <c r="I18" i="2" s="1"/>
  <c r="J18" i="2" a="1"/>
  <c r="J18" i="2" s="1"/>
  <c r="K18" i="2" a="1"/>
  <c r="K18" i="2" s="1"/>
  <c r="L18" i="2" a="1"/>
  <c r="L18" i="2" s="1"/>
  <c r="M18" i="2" a="1"/>
  <c r="M18" i="2" s="1"/>
  <c r="B12" i="2" a="1"/>
  <c r="B12" i="2" s="1"/>
  <c r="F12" i="2" a="1"/>
  <c r="F12" i="2" s="1"/>
  <c r="G12" i="2" a="1"/>
  <c r="G12" i="2" s="1"/>
  <c r="H12" i="2" a="1"/>
  <c r="H12" i="2" s="1"/>
  <c r="I12" i="2" a="1"/>
  <c r="I12" i="2" s="1"/>
  <c r="J12" i="2" a="1"/>
  <c r="J12" i="2" s="1"/>
  <c r="K12" i="2" a="1"/>
  <c r="K12" i="2" s="1"/>
  <c r="L12" i="2" a="1"/>
  <c r="L12" i="2" s="1"/>
  <c r="M12" i="2" a="1"/>
  <c r="M12" i="2" s="1"/>
  <c r="B20" i="2" a="1"/>
  <c r="B20" i="2" s="1"/>
  <c r="F20" i="2" a="1"/>
  <c r="F20" i="2" s="1"/>
  <c r="G20" i="2" a="1"/>
  <c r="G20" i="2" s="1"/>
  <c r="H20" i="2" a="1"/>
  <c r="H20" i="2" s="1"/>
  <c r="I20" i="2" a="1"/>
  <c r="I20" i="2" s="1"/>
  <c r="J20" i="2" a="1"/>
  <c r="J20" i="2" s="1"/>
  <c r="K20" i="2" a="1"/>
  <c r="K20" i="2" s="1"/>
  <c r="L20" i="2" a="1"/>
  <c r="L20" i="2" s="1"/>
  <c r="M20" i="2" a="1"/>
  <c r="M20" i="2" s="1"/>
  <c r="B19" i="2" a="1"/>
  <c r="B19" i="2" s="1"/>
  <c r="F19" i="2" a="1"/>
  <c r="F19" i="2" s="1"/>
  <c r="G19" i="2" a="1"/>
  <c r="G19" i="2" s="1"/>
  <c r="H19" i="2" a="1"/>
  <c r="H19" i="2" s="1"/>
  <c r="I19" i="2" a="1"/>
  <c r="I19" i="2" s="1"/>
  <c r="J19" i="2" a="1"/>
  <c r="J19" i="2" s="1"/>
  <c r="K19" i="2" a="1"/>
  <c r="K19" i="2" s="1"/>
  <c r="L19" i="2" a="1"/>
  <c r="L19" i="2" s="1"/>
  <c r="M19" i="2" a="1"/>
  <c r="M19" i="2" s="1"/>
  <c r="B22" i="2" a="1"/>
  <c r="B22" i="2" s="1"/>
  <c r="F22" i="2" a="1"/>
  <c r="F22" i="2" s="1"/>
  <c r="G22" i="2" a="1"/>
  <c r="G22" i="2" s="1"/>
  <c r="H22" i="2" a="1"/>
  <c r="H22" i="2" s="1"/>
  <c r="I22" i="2" a="1"/>
  <c r="I22" i="2" s="1"/>
  <c r="J22" i="2" a="1"/>
  <c r="J22" i="2" s="1"/>
  <c r="K22" i="2" a="1"/>
  <c r="K22" i="2" s="1"/>
  <c r="L22" i="2" a="1"/>
  <c r="L22" i="2" s="1"/>
  <c r="M22" i="2" a="1"/>
  <c r="M22" i="2" s="1"/>
  <c r="B17" i="2" a="1"/>
  <c r="B17" i="2" s="1"/>
  <c r="F17" i="2" a="1"/>
  <c r="F17" i="2" s="1"/>
  <c r="G17" i="2" a="1"/>
  <c r="G17" i="2" s="1"/>
  <c r="H17" i="2" a="1"/>
  <c r="H17" i="2" s="1"/>
  <c r="I17" i="2" a="1"/>
  <c r="I17" i="2" s="1"/>
  <c r="J17" i="2" a="1"/>
  <c r="J17" i="2" s="1"/>
  <c r="K17" i="2" a="1"/>
  <c r="K17" i="2" s="1"/>
  <c r="L17" i="2" a="1"/>
  <c r="L17" i="2" s="1"/>
  <c r="M17" i="2" a="1"/>
  <c r="M17" i="2" s="1"/>
  <c r="B16" i="2" a="1"/>
  <c r="B16" i="2" s="1"/>
  <c r="G16" i="2" a="1"/>
  <c r="G16" i="2" s="1"/>
  <c r="H16" i="2" a="1"/>
  <c r="H16" i="2" s="1"/>
  <c r="I16" i="2" a="1"/>
  <c r="I16" i="2" s="1"/>
  <c r="J16" i="2" a="1"/>
  <c r="J16" i="2" s="1"/>
  <c r="K16" i="2" a="1"/>
  <c r="K16" i="2" s="1"/>
  <c r="L16" i="2" a="1"/>
  <c r="L16" i="2" s="1"/>
  <c r="M16" i="2" a="1"/>
  <c r="M16" i="2" s="1"/>
  <c r="B26" i="2" a="1"/>
  <c r="B26" i="2" s="1"/>
  <c r="F26" i="2" a="1"/>
  <c r="F26" i="2" s="1"/>
  <c r="G26" i="2" a="1"/>
  <c r="G26" i="2" s="1"/>
  <c r="H26" i="2" a="1"/>
  <c r="H26" i="2" s="1"/>
  <c r="I26" i="2" a="1"/>
  <c r="I26" i="2" s="1"/>
  <c r="J26" i="2" a="1"/>
  <c r="J26" i="2" s="1"/>
  <c r="K26" i="2" a="1"/>
  <c r="K26" i="2" s="1"/>
  <c r="L26" i="2" a="1"/>
  <c r="L26" i="2" s="1"/>
  <c r="M26" i="2" a="1"/>
  <c r="M26" i="2" s="1"/>
  <c r="B11" i="2" a="1"/>
  <c r="B11" i="2" s="1"/>
  <c r="F11" i="2" a="1"/>
  <c r="F11" i="2" s="1"/>
  <c r="G11" i="2" a="1"/>
  <c r="G11" i="2" s="1"/>
  <c r="H11" i="2" a="1"/>
  <c r="H11" i="2" s="1"/>
  <c r="I11" i="2" a="1"/>
  <c r="I11" i="2" s="1"/>
  <c r="J11" i="2" a="1"/>
  <c r="J11" i="2" s="1"/>
  <c r="K11" i="2" a="1"/>
  <c r="K11" i="2" s="1"/>
  <c r="L11" i="2" a="1"/>
  <c r="L11" i="2" s="1"/>
  <c r="M11" i="2" a="1"/>
  <c r="M11" i="2" s="1"/>
  <c r="B15" i="2" a="1"/>
  <c r="B15" i="2" s="1"/>
  <c r="F15" i="2" a="1"/>
  <c r="F15" i="2" s="1"/>
  <c r="G15" i="2" a="1"/>
  <c r="G15" i="2" s="1"/>
  <c r="H15" i="2" a="1"/>
  <c r="H15" i="2" s="1"/>
  <c r="I15" i="2" a="1"/>
  <c r="I15" i="2" s="1"/>
  <c r="J15" i="2" a="1"/>
  <c r="J15" i="2" s="1"/>
  <c r="K15" i="2" a="1"/>
  <c r="K15" i="2" s="1"/>
  <c r="L15" i="2" a="1"/>
  <c r="L15" i="2" s="1"/>
  <c r="M15" i="2" a="1"/>
  <c r="M15" i="2" s="1"/>
  <c r="F24" i="2" a="1"/>
  <c r="F24" i="2" s="1"/>
  <c r="F9" i="2" a="1"/>
  <c r="F9" i="2" s="1"/>
  <c r="F8" i="2" a="1"/>
  <c r="F8" i="2" s="1"/>
  <c r="B8" i="2" a="1"/>
  <c r="B8" i="2" s="1"/>
  <c r="G8" i="2" a="1"/>
  <c r="G8" i="2" s="1"/>
  <c r="H8" i="2" a="1"/>
  <c r="H8" i="2" s="1"/>
  <c r="I8" i="2" a="1"/>
  <c r="I8" i="2" s="1"/>
  <c r="J8" i="2" a="1"/>
  <c r="J8" i="2" s="1"/>
  <c r="K8" i="2" a="1"/>
  <c r="K8" i="2" s="1"/>
  <c r="L8" i="2" a="1"/>
  <c r="L8" i="2" s="1"/>
  <c r="M8" i="2" a="1"/>
  <c r="M8" i="2" s="1"/>
  <c r="B9" i="2" a="1"/>
  <c r="B9" i="2" s="1"/>
  <c r="G9" i="2" a="1"/>
  <c r="G9" i="2" s="1"/>
  <c r="H9" i="2" a="1"/>
  <c r="H9" i="2" s="1"/>
  <c r="I9" i="2" a="1"/>
  <c r="I9" i="2" s="1"/>
  <c r="J9" i="2" a="1"/>
  <c r="J9" i="2" s="1"/>
  <c r="K9" i="2" a="1"/>
  <c r="K9" i="2" s="1"/>
  <c r="L9" i="2" a="1"/>
  <c r="L9" i="2" s="1"/>
  <c r="M9" i="2" a="1"/>
  <c r="M9" i="2" s="1"/>
  <c r="B13" i="2" a="1"/>
  <c r="B13" i="2" s="1"/>
  <c r="G13" i="2" a="1"/>
  <c r="G13" i="2" s="1"/>
  <c r="H13" i="2" a="1"/>
  <c r="H13" i="2" s="1"/>
  <c r="I13" i="2" a="1"/>
  <c r="I13" i="2" s="1"/>
  <c r="J13" i="2" a="1"/>
  <c r="J13" i="2" s="1"/>
  <c r="K13" i="2" a="1"/>
  <c r="K13" i="2" s="1"/>
  <c r="L13" i="2" a="1"/>
  <c r="L13" i="2" s="1"/>
  <c r="M13" i="2" a="1"/>
  <c r="M13" i="2" s="1"/>
  <c r="B8" i="1" a="1"/>
  <c r="B8" i="1" s="1"/>
  <c r="E8" i="1" a="1"/>
  <c r="E8" i="1" s="1"/>
  <c r="F8" i="1" a="1"/>
  <c r="F8" i="1" s="1"/>
  <c r="G8" i="1" a="1"/>
  <c r="G8" i="1" s="1"/>
  <c r="H8" i="1" a="1"/>
  <c r="H8" i="1" s="1"/>
  <c r="I8" i="1" a="1"/>
  <c r="I8" i="1" s="1"/>
  <c r="J8" i="1" a="1"/>
  <c r="J8" i="1" s="1"/>
  <c r="K8" i="1" a="1"/>
  <c r="K8" i="1" s="1"/>
  <c r="L8" i="1" a="1"/>
  <c r="L8" i="1" s="1"/>
  <c r="M24" i="2" a="1"/>
  <c r="M24" i="2" s="1"/>
  <c r="L24" i="2" a="1"/>
  <c r="L24" i="2" s="1"/>
  <c r="K24" i="2" a="1"/>
  <c r="K24" i="2" s="1"/>
  <c r="J24" i="2" a="1"/>
  <c r="J24" i="2" s="1"/>
  <c r="I24" i="2" a="1"/>
  <c r="I24" i="2" s="1"/>
  <c r="H24" i="2" a="1"/>
  <c r="H24" i="2" s="1"/>
  <c r="G24" i="2" a="1"/>
  <c r="G24" i="2" s="1"/>
  <c r="B24" i="2" a="1"/>
  <c r="B24" i="2" s="1"/>
  <c r="B31" i="1" a="1"/>
  <c r="B31" i="1" s="1"/>
  <c r="E31" i="1" a="1"/>
  <c r="E31" i="1" s="1"/>
  <c r="F31" i="1" a="1"/>
  <c r="F31" i="1" s="1"/>
  <c r="G31" i="1" a="1"/>
  <c r="G31" i="1" s="1"/>
  <c r="H31" i="1" a="1"/>
  <c r="H31" i="1" s="1"/>
  <c r="I31" i="1" a="1"/>
  <c r="I31" i="1" s="1"/>
  <c r="J31" i="1" a="1"/>
  <c r="J31" i="1" s="1"/>
  <c r="K31" i="1" a="1"/>
  <c r="K31" i="1" s="1"/>
  <c r="L31" i="1" a="1"/>
  <c r="L31" i="1" s="1"/>
  <c r="B30" i="1" a="1"/>
  <c r="B30" i="1" s="1"/>
  <c r="E30" i="1" a="1"/>
  <c r="E30" i="1" s="1"/>
  <c r="F30" i="1" a="1"/>
  <c r="F30" i="1" s="1"/>
  <c r="G30" i="1" a="1"/>
  <c r="G30" i="1" s="1"/>
  <c r="H30" i="1" a="1"/>
  <c r="H30" i="1" s="1"/>
  <c r="I30" i="1" a="1"/>
  <c r="I30" i="1" s="1"/>
  <c r="J30" i="1" a="1"/>
  <c r="J30" i="1" s="1"/>
  <c r="K30" i="1" a="1"/>
  <c r="K30" i="1" s="1"/>
  <c r="L30" i="1" a="1"/>
  <c r="L30" i="1" s="1"/>
  <c r="B25" i="1" a="1"/>
  <c r="B25" i="1" s="1"/>
  <c r="E25" i="1" a="1"/>
  <c r="E25" i="1" s="1"/>
  <c r="F25" i="1" a="1"/>
  <c r="F25" i="1" s="1"/>
  <c r="G25" i="1" a="1"/>
  <c r="G25" i="1" s="1"/>
  <c r="H25" i="1" a="1"/>
  <c r="H25" i="1" s="1"/>
  <c r="I25" i="1" a="1"/>
  <c r="I25" i="1" s="1"/>
  <c r="J25" i="1" a="1"/>
  <c r="J25" i="1" s="1"/>
  <c r="K25" i="1" a="1"/>
  <c r="K25" i="1" s="1"/>
  <c r="L25" i="1" a="1"/>
  <c r="L25" i="1" s="1"/>
  <c r="B34" i="1" a="1"/>
  <c r="B34" i="1" s="1"/>
  <c r="E34" i="1" a="1"/>
  <c r="E34" i="1" s="1"/>
  <c r="F34" i="1" a="1"/>
  <c r="F34" i="1" s="1"/>
  <c r="G34" i="1" a="1"/>
  <c r="G34" i="1" s="1"/>
  <c r="H34" i="1" a="1"/>
  <c r="H34" i="1" s="1"/>
  <c r="I34" i="1" a="1"/>
  <c r="I34" i="1" s="1"/>
  <c r="J34" i="1" a="1"/>
  <c r="J34" i="1" s="1"/>
  <c r="K34" i="1" a="1"/>
  <c r="K34" i="1" s="1"/>
  <c r="L34" i="1" a="1"/>
  <c r="L34" i="1" s="1"/>
  <c r="B32" i="1" a="1"/>
  <c r="B32" i="1" s="1"/>
  <c r="E32" i="1" a="1"/>
  <c r="E32" i="1" s="1"/>
  <c r="F32" i="1" a="1"/>
  <c r="F32" i="1" s="1"/>
  <c r="G32" i="1" a="1"/>
  <c r="G32" i="1" s="1"/>
  <c r="H32" i="1" a="1"/>
  <c r="H32" i="1" s="1"/>
  <c r="I32" i="1" a="1"/>
  <c r="I32" i="1" s="1"/>
  <c r="J32" i="1" a="1"/>
  <c r="J32" i="1" s="1"/>
  <c r="K32" i="1" a="1"/>
  <c r="K32" i="1" s="1"/>
  <c r="L32" i="1" a="1"/>
  <c r="L32" i="1" s="1"/>
  <c r="B24" i="1" a="1"/>
  <c r="B24" i="1" s="1"/>
  <c r="E24" i="1" a="1"/>
  <c r="E24" i="1" s="1"/>
  <c r="F24" i="1" a="1"/>
  <c r="F24" i="1" s="1"/>
  <c r="G24" i="1" a="1"/>
  <c r="G24" i="1" s="1"/>
  <c r="H24" i="1" a="1"/>
  <c r="H24" i="1" s="1"/>
  <c r="I24" i="1" a="1"/>
  <c r="I24" i="1" s="1"/>
  <c r="J24" i="1" a="1"/>
  <c r="J24" i="1" s="1"/>
  <c r="K24" i="1" a="1"/>
  <c r="K24" i="1" s="1"/>
  <c r="L24" i="1" a="1"/>
  <c r="L24" i="1" s="1"/>
  <c r="B33" i="1" a="1"/>
  <c r="B33" i="1" s="1"/>
  <c r="E33" i="1" a="1"/>
  <c r="E33" i="1" s="1"/>
  <c r="F33" i="1" a="1"/>
  <c r="F33" i="1" s="1"/>
  <c r="G33" i="1" a="1"/>
  <c r="G33" i="1" s="1"/>
  <c r="H33" i="1" a="1"/>
  <c r="H33" i="1" s="1"/>
  <c r="I33" i="1" a="1"/>
  <c r="I33" i="1" s="1"/>
  <c r="J33" i="1" a="1"/>
  <c r="J33" i="1" s="1"/>
  <c r="K33" i="1" a="1"/>
  <c r="K33" i="1" s="1"/>
  <c r="L33" i="1" a="1"/>
  <c r="L33" i="1" s="1"/>
  <c r="M34" i="1" l="1"/>
  <c r="M8" i="1"/>
  <c r="M24" i="1"/>
  <c r="M32" i="1"/>
  <c r="N2" i="2"/>
  <c r="N9" i="2"/>
  <c r="N15" i="2"/>
  <c r="N13" i="2"/>
  <c r="M30" i="1"/>
  <c r="M33" i="1"/>
  <c r="M31" i="1"/>
  <c r="M25" i="1"/>
  <c r="N11" i="2"/>
  <c r="N26" i="2"/>
  <c r="N7" i="2"/>
  <c r="N6" i="2"/>
  <c r="N23" i="2"/>
  <c r="N10" i="2"/>
  <c r="N16" i="2"/>
  <c r="N25" i="2"/>
  <c r="N21" i="2"/>
  <c r="N4" i="2"/>
  <c r="N5" i="2"/>
  <c r="N8" i="2"/>
  <c r="N17" i="2"/>
  <c r="N22" i="2"/>
  <c r="N19" i="2"/>
  <c r="N20" i="2"/>
  <c r="N12" i="2"/>
  <c r="N18" i="2"/>
  <c r="N14" i="2"/>
  <c r="N24" i="2"/>
  <c r="E18" i="3"/>
  <c r="E19" i="3"/>
  <c r="F19" i="3" s="1"/>
  <c r="E20" i="3"/>
  <c r="F20" i="3" s="1"/>
  <c r="E21" i="3"/>
  <c r="F21" i="3" s="1"/>
  <c r="E22" i="3"/>
  <c r="E23" i="3"/>
  <c r="F23" i="3" s="1"/>
  <c r="E17" i="3"/>
  <c r="D24" i="3"/>
  <c r="F22" i="3"/>
  <c r="F18" i="3"/>
  <c r="B11" i="1" a="1"/>
  <c r="B11" i="1" s="1"/>
  <c r="E11" i="1" a="1"/>
  <c r="E11" i="1" s="1"/>
  <c r="F11" i="1" a="1"/>
  <c r="F11" i="1" s="1"/>
  <c r="G11" i="1" a="1"/>
  <c r="G11" i="1" s="1"/>
  <c r="H11" i="1" a="1"/>
  <c r="H11" i="1" s="1"/>
  <c r="I11" i="1" a="1"/>
  <c r="I11" i="1" s="1"/>
  <c r="J11" i="1" a="1"/>
  <c r="J11" i="1" s="1"/>
  <c r="K11" i="1" a="1"/>
  <c r="K11" i="1" s="1"/>
  <c r="L11" i="1" a="1"/>
  <c r="L11" i="1" s="1"/>
  <c r="B9" i="1" a="1"/>
  <c r="B9" i="1" s="1"/>
  <c r="E9" i="1" a="1"/>
  <c r="E9" i="1" s="1"/>
  <c r="F9" i="1" a="1"/>
  <c r="F9" i="1" s="1"/>
  <c r="G9" i="1" a="1"/>
  <c r="G9" i="1" s="1"/>
  <c r="H9" i="1" a="1"/>
  <c r="H9" i="1" s="1"/>
  <c r="I9" i="1" a="1"/>
  <c r="I9" i="1" s="1"/>
  <c r="J9" i="1" a="1"/>
  <c r="J9" i="1" s="1"/>
  <c r="K9" i="1" a="1"/>
  <c r="K9" i="1" s="1"/>
  <c r="L9" i="1" a="1"/>
  <c r="L9" i="1" s="1"/>
  <c r="E4" i="3"/>
  <c r="F4" i="3"/>
  <c r="E5" i="3"/>
  <c r="F5" i="3"/>
  <c r="E6" i="3"/>
  <c r="F6" i="3"/>
  <c r="E7" i="3"/>
  <c r="F7" i="3"/>
  <c r="E8" i="3"/>
  <c r="F8" i="3"/>
  <c r="E9" i="3"/>
  <c r="F9" i="3"/>
  <c r="E10" i="3"/>
  <c r="F10" i="3"/>
  <c r="E11" i="3"/>
  <c r="F11" i="3"/>
  <c r="D12" i="3"/>
  <c r="E3" i="3"/>
  <c r="F3" i="3" s="1"/>
  <c r="E2" i="3"/>
  <c r="B35" i="1" a="1"/>
  <c r="B35" i="1" s="1"/>
  <c r="E35" i="1" a="1"/>
  <c r="E35" i="1" s="1"/>
  <c r="F35" i="1" a="1"/>
  <c r="F35" i="1" s="1"/>
  <c r="G35" i="1" a="1"/>
  <c r="G35" i="1" s="1"/>
  <c r="H35" i="1" a="1"/>
  <c r="H35" i="1" s="1"/>
  <c r="I35" i="1" a="1"/>
  <c r="I35" i="1" s="1"/>
  <c r="J35" i="1" a="1"/>
  <c r="J35" i="1" s="1"/>
  <c r="K35" i="1" a="1"/>
  <c r="K35" i="1" s="1"/>
  <c r="L35" i="1" a="1"/>
  <c r="L35" i="1" s="1"/>
  <c r="M11" i="1" l="1"/>
  <c r="M35" i="1"/>
  <c r="M9" i="1"/>
  <c r="F2" i="3"/>
  <c r="F12" i="3" s="1"/>
  <c r="E12" i="3"/>
  <c r="E24" i="3"/>
  <c r="F17" i="3"/>
  <c r="F24" i="3" s="1"/>
  <c r="E16" i="1" a="1"/>
  <c r="E16" i="1" s="1"/>
  <c r="E15" i="1" a="1"/>
  <c r="E15" i="1" s="1"/>
  <c r="E18" i="1" a="1"/>
  <c r="E18" i="1" s="1"/>
  <c r="E12" i="1" a="1"/>
  <c r="E12" i="1" s="1"/>
  <c r="E17" i="1" a="1"/>
  <c r="E17" i="1" s="1"/>
  <c r="E7" i="1" a="1"/>
  <c r="E7" i="1" s="1"/>
  <c r="E6" i="1" a="1"/>
  <c r="E6" i="1" s="1"/>
  <c r="E23" i="1" a="1"/>
  <c r="E23" i="1" s="1"/>
  <c r="E27" i="1" a="1"/>
  <c r="E27" i="1" s="1"/>
  <c r="E28" i="1" a="1"/>
  <c r="E28" i="1" s="1"/>
  <c r="E29" i="1" a="1"/>
  <c r="E29" i="1" s="1"/>
  <c r="E22" i="1" a="1"/>
  <c r="E22" i="1" s="1"/>
  <c r="E13" i="1" a="1"/>
  <c r="E13" i="1" s="1"/>
  <c r="E37" i="1" a="1"/>
  <c r="E37" i="1" s="1"/>
  <c r="E36" i="1" a="1"/>
  <c r="E36" i="1" s="1"/>
  <c r="E4" i="1" a="1"/>
  <c r="E4" i="1" s="1"/>
  <c r="E26" i="1" a="1"/>
  <c r="E26" i="1" s="1"/>
  <c r="E3" i="1" a="1"/>
  <c r="E3" i="1" s="1"/>
  <c r="E2" i="1" a="1"/>
  <c r="E2" i="1" s="1"/>
  <c r="E5" i="1" a="1"/>
  <c r="E5" i="1" s="1"/>
  <c r="L36" i="1" a="1"/>
  <c r="L36" i="1" s="1"/>
  <c r="L37" i="1" a="1"/>
  <c r="L37" i="1" s="1"/>
  <c r="L28" i="1" a="1"/>
  <c r="L28" i="1" s="1"/>
  <c r="L29" i="1" a="1"/>
  <c r="L29" i="1" s="1"/>
  <c r="L27" i="1" a="1"/>
  <c r="L27" i="1" s="1"/>
  <c r="L26" i="1" a="1"/>
  <c r="L26" i="1" s="1"/>
  <c r="L23" i="1" a="1"/>
  <c r="L23" i="1" s="1"/>
  <c r="L22" i="1" a="1"/>
  <c r="L22" i="1" s="1"/>
  <c r="L16" i="1" a="1"/>
  <c r="L16" i="1" s="1"/>
  <c r="L15" i="1" a="1"/>
  <c r="L15" i="1" s="1"/>
  <c r="L18" i="1" a="1"/>
  <c r="L18" i="1" s="1"/>
  <c r="L17" i="1" a="1"/>
  <c r="L17" i="1" s="1"/>
  <c r="L13" i="1" a="1"/>
  <c r="L13" i="1" s="1"/>
  <c r="L12" i="1" a="1"/>
  <c r="L12" i="1" s="1"/>
  <c r="L4" i="1" a="1"/>
  <c r="L4" i="1" s="1"/>
  <c r="L2" i="1" a="1"/>
  <c r="L2" i="1" s="1"/>
  <c r="L3" i="1" a="1"/>
  <c r="L3" i="1" s="1"/>
  <c r="L7" i="1" a="1"/>
  <c r="L7" i="1" s="1"/>
  <c r="L5" i="1" a="1"/>
  <c r="L5" i="1" s="1"/>
  <c r="L6" i="1" a="1"/>
  <c r="L6" i="1" s="1"/>
  <c r="K36" i="1" a="1"/>
  <c r="K36" i="1" s="1"/>
  <c r="K37" i="1" a="1"/>
  <c r="K37" i="1" s="1"/>
  <c r="K28" i="1" a="1"/>
  <c r="K28" i="1" s="1"/>
  <c r="K29" i="1" a="1"/>
  <c r="K29" i="1" s="1"/>
  <c r="K27" i="1" a="1"/>
  <c r="K27" i="1" s="1"/>
  <c r="K26" i="1" a="1"/>
  <c r="K26" i="1" s="1"/>
  <c r="K23" i="1" a="1"/>
  <c r="K23" i="1" s="1"/>
  <c r="K22" i="1" a="1"/>
  <c r="K22" i="1" s="1"/>
  <c r="K16" i="1" a="1"/>
  <c r="K16" i="1" s="1"/>
  <c r="K15" i="1" a="1"/>
  <c r="K15" i="1" s="1"/>
  <c r="K18" i="1" a="1"/>
  <c r="K18" i="1" s="1"/>
  <c r="K17" i="1" a="1"/>
  <c r="K17" i="1" s="1"/>
  <c r="K13" i="1" a="1"/>
  <c r="K13" i="1" s="1"/>
  <c r="K12" i="1" a="1"/>
  <c r="K12" i="1" s="1"/>
  <c r="K4" i="1" a="1"/>
  <c r="K4" i="1" s="1"/>
  <c r="K2" i="1" a="1"/>
  <c r="K2" i="1" s="1"/>
  <c r="K3" i="1" a="1"/>
  <c r="K3" i="1" s="1"/>
  <c r="K7" i="1" a="1"/>
  <c r="K7" i="1" s="1"/>
  <c r="K5" i="1" a="1"/>
  <c r="K5" i="1" s="1"/>
  <c r="K6" i="1" a="1"/>
  <c r="K6" i="1" s="1"/>
  <c r="J36" i="1" a="1"/>
  <c r="J36" i="1" s="1"/>
  <c r="J37" i="1" a="1"/>
  <c r="J37" i="1" s="1"/>
  <c r="J28" i="1" a="1"/>
  <c r="J28" i="1" s="1"/>
  <c r="J29" i="1" a="1"/>
  <c r="J29" i="1" s="1"/>
  <c r="J27" i="1" a="1"/>
  <c r="J27" i="1" s="1"/>
  <c r="J26" i="1" a="1"/>
  <c r="J26" i="1" s="1"/>
  <c r="J23" i="1" a="1"/>
  <c r="J23" i="1" s="1"/>
  <c r="J22" i="1" a="1"/>
  <c r="J22" i="1" s="1"/>
  <c r="J16" i="1" a="1"/>
  <c r="J16" i="1" s="1"/>
  <c r="J15" i="1" a="1"/>
  <c r="J15" i="1" s="1"/>
  <c r="J18" i="1" a="1"/>
  <c r="J18" i="1" s="1"/>
  <c r="J17" i="1" a="1"/>
  <c r="J17" i="1" s="1"/>
  <c r="J13" i="1" a="1"/>
  <c r="J13" i="1" s="1"/>
  <c r="J12" i="1" a="1"/>
  <c r="J12" i="1" s="1"/>
  <c r="J4" i="1" a="1"/>
  <c r="J4" i="1" s="1"/>
  <c r="J2" i="1" a="1"/>
  <c r="J2" i="1" s="1"/>
  <c r="J3" i="1" a="1"/>
  <c r="J3" i="1" s="1"/>
  <c r="J7" i="1" a="1"/>
  <c r="J7" i="1" s="1"/>
  <c r="J5" i="1" a="1"/>
  <c r="J5" i="1" s="1"/>
  <c r="J6" i="1" a="1"/>
  <c r="J6" i="1" s="1"/>
  <c r="I36" i="1" a="1"/>
  <c r="I36" i="1" s="1"/>
  <c r="I37" i="1" a="1"/>
  <c r="I37" i="1" s="1"/>
  <c r="I28" i="1" a="1"/>
  <c r="I28" i="1" s="1"/>
  <c r="I29" i="1" a="1"/>
  <c r="I29" i="1" s="1"/>
  <c r="I27" i="1" a="1"/>
  <c r="I27" i="1" s="1"/>
  <c r="I26" i="1" a="1"/>
  <c r="I26" i="1" s="1"/>
  <c r="I23" i="1" a="1"/>
  <c r="I23" i="1" s="1"/>
  <c r="I22" i="1" a="1"/>
  <c r="I22" i="1" s="1"/>
  <c r="I16" i="1" a="1"/>
  <c r="I16" i="1" s="1"/>
  <c r="I15" i="1" a="1"/>
  <c r="I15" i="1" s="1"/>
  <c r="I18" i="1" a="1"/>
  <c r="I18" i="1" s="1"/>
  <c r="I17" i="1" a="1"/>
  <c r="I17" i="1" s="1"/>
  <c r="I13" i="1" a="1"/>
  <c r="I13" i="1" s="1"/>
  <c r="I12" i="1" a="1"/>
  <c r="I12" i="1" s="1"/>
  <c r="I4" i="1" a="1"/>
  <c r="I4" i="1" s="1"/>
  <c r="I2" i="1" a="1"/>
  <c r="I2" i="1" s="1"/>
  <c r="I3" i="1" a="1"/>
  <c r="I3" i="1" s="1"/>
  <c r="I7" i="1" a="1"/>
  <c r="I7" i="1" s="1"/>
  <c r="I5" i="1" a="1"/>
  <c r="I5" i="1" s="1"/>
  <c r="I6" i="1" a="1"/>
  <c r="I6" i="1" s="1"/>
  <c r="H36" i="1" a="1"/>
  <c r="H36" i="1" s="1"/>
  <c r="H37" i="1" a="1"/>
  <c r="H37" i="1" s="1"/>
  <c r="H28" i="1" a="1"/>
  <c r="H28" i="1" s="1"/>
  <c r="H29" i="1" a="1"/>
  <c r="H29" i="1" s="1"/>
  <c r="H27" i="1" a="1"/>
  <c r="H27" i="1" s="1"/>
  <c r="H26" i="1" a="1"/>
  <c r="H26" i="1" s="1"/>
  <c r="H23" i="1" a="1"/>
  <c r="H23" i="1" s="1"/>
  <c r="H22" i="1" a="1"/>
  <c r="H22" i="1" s="1"/>
  <c r="H16" i="1" a="1"/>
  <c r="H16" i="1" s="1"/>
  <c r="H15" i="1" a="1"/>
  <c r="H15" i="1" s="1"/>
  <c r="H18" i="1" a="1"/>
  <c r="H18" i="1" s="1"/>
  <c r="H17" i="1" a="1"/>
  <c r="H17" i="1" s="1"/>
  <c r="H13" i="1" a="1"/>
  <c r="H13" i="1" s="1"/>
  <c r="H12" i="1" a="1"/>
  <c r="H12" i="1" s="1"/>
  <c r="H4" i="1" a="1"/>
  <c r="H4" i="1" s="1"/>
  <c r="H2" i="1" a="1"/>
  <c r="H2" i="1" s="1"/>
  <c r="H3" i="1" a="1"/>
  <c r="H3" i="1" s="1"/>
  <c r="H7" i="1" a="1"/>
  <c r="H7" i="1" s="1"/>
  <c r="H5" i="1" a="1"/>
  <c r="H5" i="1" s="1"/>
  <c r="H6" i="1" a="1"/>
  <c r="H6" i="1" s="1"/>
  <c r="G36" i="1" a="1"/>
  <c r="G36" i="1" s="1"/>
  <c r="G37" i="1" a="1"/>
  <c r="G37" i="1" s="1"/>
  <c r="G28" i="1" a="1"/>
  <c r="G28" i="1" s="1"/>
  <c r="G29" i="1" a="1"/>
  <c r="G29" i="1" s="1"/>
  <c r="G27" i="1" a="1"/>
  <c r="G27" i="1" s="1"/>
  <c r="G26" i="1" a="1"/>
  <c r="G26" i="1" s="1"/>
  <c r="G23" i="1" a="1"/>
  <c r="G23" i="1" s="1"/>
  <c r="G22" i="1" a="1"/>
  <c r="G22" i="1" s="1"/>
  <c r="G16" i="1" a="1"/>
  <c r="G16" i="1" s="1"/>
  <c r="G15" i="1" a="1"/>
  <c r="G15" i="1" s="1"/>
  <c r="G18" i="1" a="1"/>
  <c r="G18" i="1" s="1"/>
  <c r="G17" i="1" a="1"/>
  <c r="G17" i="1" s="1"/>
  <c r="G13" i="1" a="1"/>
  <c r="G13" i="1" s="1"/>
  <c r="G12" i="1" a="1"/>
  <c r="G12" i="1" s="1"/>
  <c r="G4" i="1" a="1"/>
  <c r="G4" i="1" s="1"/>
  <c r="G2" i="1" a="1"/>
  <c r="G2" i="1" s="1"/>
  <c r="G3" i="1" a="1"/>
  <c r="G3" i="1" s="1"/>
  <c r="G7" i="1" a="1"/>
  <c r="G7" i="1" s="1"/>
  <c r="G5" i="1" a="1"/>
  <c r="G5" i="1" s="1"/>
  <c r="G6" i="1" a="1"/>
  <c r="G6" i="1" s="1"/>
  <c r="F36" i="1" a="1"/>
  <c r="F36" i="1" s="1"/>
  <c r="F37" i="1" a="1"/>
  <c r="F37" i="1" s="1"/>
  <c r="F28" i="1" a="1"/>
  <c r="F28" i="1" s="1"/>
  <c r="F29" i="1" a="1"/>
  <c r="F29" i="1" s="1"/>
  <c r="F27" i="1" a="1"/>
  <c r="F27" i="1" s="1"/>
  <c r="F26" i="1" a="1"/>
  <c r="F26" i="1" s="1"/>
  <c r="F23" i="1" a="1"/>
  <c r="F23" i="1" s="1"/>
  <c r="F22" i="1" a="1"/>
  <c r="F22" i="1" s="1"/>
  <c r="F16" i="1" a="1"/>
  <c r="F16" i="1" s="1"/>
  <c r="F15" i="1" a="1"/>
  <c r="F15" i="1" s="1"/>
  <c r="F18" i="1" a="1"/>
  <c r="F18" i="1" s="1"/>
  <c r="F17" i="1" a="1"/>
  <c r="F17" i="1" s="1"/>
  <c r="F13" i="1" a="1"/>
  <c r="F13" i="1" s="1"/>
  <c r="F12" i="1" a="1"/>
  <c r="F12" i="1" s="1"/>
  <c r="F4" i="1" a="1"/>
  <c r="F4" i="1" s="1"/>
  <c r="F2" i="1" a="1"/>
  <c r="F2" i="1" s="1"/>
  <c r="F3" i="1" a="1"/>
  <c r="F3" i="1" s="1"/>
  <c r="F7" i="1" a="1"/>
  <c r="F7" i="1" s="1"/>
  <c r="F5" i="1" a="1"/>
  <c r="F5" i="1" s="1"/>
  <c r="F6" i="1" a="1"/>
  <c r="F6" i="1" s="1"/>
  <c r="B36" i="1" a="1"/>
  <c r="B36" i="1" s="1"/>
  <c r="B37" i="1" a="1"/>
  <c r="B37" i="1" s="1"/>
  <c r="B28" i="1" a="1"/>
  <c r="B28" i="1" s="1"/>
  <c r="B29" i="1" a="1"/>
  <c r="B29" i="1" s="1"/>
  <c r="B27" i="1" a="1"/>
  <c r="B27" i="1" s="1"/>
  <c r="B26" i="1" a="1"/>
  <c r="B26" i="1" s="1"/>
  <c r="B23" i="1" a="1"/>
  <c r="B23" i="1" s="1"/>
  <c r="B22" i="1" a="1"/>
  <c r="B22" i="1" s="1"/>
  <c r="B16" i="1" a="1"/>
  <c r="B16" i="1" s="1"/>
  <c r="B15" i="1" a="1"/>
  <c r="B15" i="1" s="1"/>
  <c r="B18" i="1" a="1"/>
  <c r="B18" i="1" s="1"/>
  <c r="B17" i="1" a="1"/>
  <c r="B17" i="1" s="1"/>
  <c r="B13" i="1" a="1"/>
  <c r="B13" i="1" s="1"/>
  <c r="B12" i="1" a="1"/>
  <c r="B12" i="1" s="1"/>
  <c r="B4" i="1" a="1"/>
  <c r="B4" i="1" s="1"/>
  <c r="B2" i="1" a="1"/>
  <c r="B2" i="1" s="1"/>
  <c r="B3" i="1" a="1"/>
  <c r="B3" i="1" s="1"/>
  <c r="B7" i="1" a="1"/>
  <c r="B7" i="1" s="1"/>
  <c r="B5" i="1" a="1"/>
  <c r="B5" i="1" s="1"/>
  <c r="B6" i="1" a="1"/>
  <c r="B6" i="1" s="1"/>
  <c r="M6" i="1" l="1"/>
  <c r="M5" i="1"/>
  <c r="M7" i="1"/>
  <c r="M3" i="1"/>
  <c r="M2" i="1"/>
  <c r="M4" i="1"/>
  <c r="M12" i="1"/>
  <c r="M13" i="1"/>
  <c r="M17" i="1"/>
  <c r="M18" i="1"/>
  <c r="M15" i="1"/>
  <c r="M16" i="1"/>
  <c r="M22" i="1"/>
  <c r="M23" i="1"/>
  <c r="M26" i="1"/>
  <c r="M27" i="1"/>
  <c r="M29" i="1"/>
  <c r="M28" i="1"/>
  <c r="M37" i="1"/>
  <c r="M3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2">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5"/>
        </ext>
      </extLst>
    </bk>
    <bk>
      <extLst>
        <ext uri="{3e2802c4-a4d2-4d8b-9148-e3be6c30e623}">
          <xlrd:rvb i="121"/>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42"/>
        </ext>
      </extLst>
    </bk>
    <bk>
      <extLst>
        <ext uri="{3e2802c4-a4d2-4d8b-9148-e3be6c30e623}">
          <xlrd:rvb i="148"/>
        </ext>
      </extLst>
    </bk>
    <bk>
      <extLst>
        <ext uri="{3e2802c4-a4d2-4d8b-9148-e3be6c30e623}">
          <xlrd:rvb i="154"/>
        </ext>
      </extLst>
    </bk>
    <bk>
      <extLst>
        <ext uri="{3e2802c4-a4d2-4d8b-9148-e3be6c30e623}">
          <xlrd:rvb i="160"/>
        </ext>
      </extLst>
    </bk>
    <bk>
      <extLst>
        <ext uri="{3e2802c4-a4d2-4d8b-9148-e3be6c30e623}">
          <xlrd:rvb i="166"/>
        </ext>
      </extLst>
    </bk>
    <bk>
      <extLst>
        <ext uri="{3e2802c4-a4d2-4d8b-9148-e3be6c30e623}">
          <xlrd:rvb i="169"/>
        </ext>
      </extLst>
    </bk>
    <bk>
      <extLst>
        <ext uri="{3e2802c4-a4d2-4d8b-9148-e3be6c30e623}">
          <xlrd:rvb i="176"/>
        </ext>
      </extLst>
    </bk>
    <bk>
      <extLst>
        <ext uri="{3e2802c4-a4d2-4d8b-9148-e3be6c30e623}">
          <xlrd:rvb i="182"/>
        </ext>
      </extLst>
    </bk>
    <bk>
      <extLst>
        <ext uri="{3e2802c4-a4d2-4d8b-9148-e3be6c30e623}">
          <xlrd:rvb i="185"/>
        </ext>
      </extLst>
    </bk>
    <bk>
      <extLst>
        <ext uri="{3e2802c4-a4d2-4d8b-9148-e3be6c30e623}">
          <xlrd:rvb i="191"/>
        </ext>
      </extLst>
    </bk>
    <bk>
      <extLst>
        <ext uri="{3e2802c4-a4d2-4d8b-9148-e3be6c30e623}">
          <xlrd:rvb i="197"/>
        </ext>
      </extLst>
    </bk>
    <bk>
      <extLst>
        <ext uri="{3e2802c4-a4d2-4d8b-9148-e3be6c30e623}">
          <xlrd:rvb i="203"/>
        </ext>
      </extLst>
    </bk>
    <bk>
      <extLst>
        <ext uri="{3e2802c4-a4d2-4d8b-9148-e3be6c30e623}">
          <xlrd:rvb i="206"/>
        </ext>
      </extLst>
    </bk>
    <bk>
      <extLst>
        <ext uri="{3e2802c4-a4d2-4d8b-9148-e3be6c30e623}">
          <xlrd:rvb i="212"/>
        </ext>
      </extLst>
    </bk>
    <bk>
      <extLst>
        <ext uri="{3e2802c4-a4d2-4d8b-9148-e3be6c30e623}">
          <xlrd:rvb i="219"/>
        </ext>
      </extLst>
    </bk>
    <bk>
      <extLst>
        <ext uri="{3e2802c4-a4d2-4d8b-9148-e3be6c30e623}">
          <xlrd:rvb i="225"/>
        </ext>
      </extLst>
    </bk>
    <bk>
      <extLst>
        <ext uri="{3e2802c4-a4d2-4d8b-9148-e3be6c30e623}">
          <xlrd:rvb i="232"/>
        </ext>
      </extLst>
    </bk>
    <bk>
      <extLst>
        <ext uri="{3e2802c4-a4d2-4d8b-9148-e3be6c30e623}">
          <xlrd:rvb i="238"/>
        </ext>
      </extLst>
    </bk>
    <bk>
      <extLst>
        <ext uri="{3e2802c4-a4d2-4d8b-9148-e3be6c30e623}">
          <xlrd:rvb i="241"/>
        </ext>
      </extLst>
    </bk>
  </futureMetadata>
  <cellMetadata count="1">
    <bk>
      <rc t="1" v="0"/>
    </bk>
  </cellMetadata>
  <valueMetadata count="6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valueMetadata>
</metadata>
</file>

<file path=xl/sharedStrings.xml><?xml version="1.0" encoding="utf-8"?>
<sst xmlns="http://schemas.openxmlformats.org/spreadsheetml/2006/main" count="402" uniqueCount="125">
  <si>
    <t>Funds</t>
  </si>
  <si>
    <t>Ticker</t>
  </si>
  <si>
    <t>Account</t>
  </si>
  <si>
    <t>Bucket</t>
  </si>
  <si>
    <t>Expense Ratio</t>
  </si>
  <si>
    <t>Open</t>
  </si>
  <si>
    <t>High</t>
  </si>
  <si>
    <t>Low</t>
  </si>
  <si>
    <t>Close</t>
  </si>
  <si>
    <t>Change (%)</t>
  </si>
  <si>
    <t>52 week high</t>
  </si>
  <si>
    <t>52 week low</t>
  </si>
  <si>
    <t>Deviation from 52 Week High</t>
  </si>
  <si>
    <t>Investment</t>
  </si>
  <si>
    <t>Cloud</t>
  </si>
  <si>
    <t>Commodity</t>
  </si>
  <si>
    <t>Dividend</t>
  </si>
  <si>
    <t>Healthcare</t>
  </si>
  <si>
    <t>Others - Intl. Growth</t>
  </si>
  <si>
    <t>Others - Mid Cap Growth</t>
  </si>
  <si>
    <t>Real Estate</t>
  </si>
  <si>
    <t>Semiconductors</t>
  </si>
  <si>
    <t>Technology</t>
  </si>
  <si>
    <t>Total Market</t>
  </si>
  <si>
    <t>Sector</t>
  </si>
  <si>
    <t>Industry</t>
  </si>
  <si>
    <t>Exchange abbreviation</t>
  </si>
  <si>
    <t>Consumer Cyclicals</t>
  </si>
  <si>
    <t>Financial Services</t>
  </si>
  <si>
    <t>Energy</t>
  </si>
  <si>
    <t>Oil &amp; Gas</t>
  </si>
  <si>
    <t>Fund / Stocks</t>
  </si>
  <si>
    <t>Allocation %</t>
  </si>
  <si>
    <t>Monthly Allocation</t>
  </si>
  <si>
    <t>Yearly Allocation</t>
  </si>
  <si>
    <t>VTI, FSKAX</t>
  </si>
  <si>
    <t>S&amp;P 500</t>
  </si>
  <si>
    <t>IVV, VOO, FXAIX, SPY</t>
  </si>
  <si>
    <t>VGT (40%), FTEC (40%), FSCSX, ARKW (60%), ARKK (60%)</t>
  </si>
  <si>
    <t>Semiconductor</t>
  </si>
  <si>
    <t>SMH, XSD</t>
  </si>
  <si>
    <t>Healthcare Services</t>
  </si>
  <si>
    <t>VHT (40%), FHLC (40%), XLV (40%), ARKG (60%), FBT</t>
  </si>
  <si>
    <t>Medical Devices</t>
  </si>
  <si>
    <t>IHI</t>
  </si>
  <si>
    <t>Dividend Stocks</t>
  </si>
  <si>
    <t>VYM (2.5%), SCHD (2.5%), QYLD (2.5), SRET (2.5),  SDIV, IDV, WFC, KO, T, HBI</t>
  </si>
  <si>
    <t>Other Stocks / ETF</t>
  </si>
  <si>
    <t>SKYY, WCLD, CLOU, RCKT, ERIC, MRVL, CHGG</t>
  </si>
  <si>
    <t>Bonds</t>
  </si>
  <si>
    <t>AGG, BIV (OR BND), FNBGX (1 ETF &amp; 1 BOND)</t>
  </si>
  <si>
    <t>Precious Metals</t>
  </si>
  <si>
    <t>GLDM, SLV, GLD, PALL</t>
  </si>
  <si>
    <t>Total</t>
  </si>
  <si>
    <t>FSKAX</t>
  </si>
  <si>
    <t>FXAIX</t>
  </si>
  <si>
    <t>FSCSX</t>
  </si>
  <si>
    <t>FSELX, SMH, XSD</t>
  </si>
  <si>
    <t>FSPHX</t>
  </si>
  <si>
    <t>Biotechnology</t>
  </si>
  <si>
    <t>FBIOX</t>
  </si>
  <si>
    <t>Special</t>
  </si>
  <si>
    <t>FFNOX</t>
  </si>
  <si>
    <t>OTHER FUNDS TO CONSIDER</t>
  </si>
  <si>
    <t>Fund</t>
  </si>
  <si>
    <t>Category</t>
  </si>
  <si>
    <t>Notes</t>
  </si>
  <si>
    <t>QYLD</t>
  </si>
  <si>
    <t>International</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</si>
  <si>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</si>
  <si>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</si>
  <si>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</si>
  <si>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</si>
  <si>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</si>
  <si>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</si>
  <si>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</si>
  <si>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</si>
  <si>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ARKQ</t>
  </si>
  <si>
    <t>Innovation</t>
  </si>
  <si>
    <t>Innovation on automation, robotics, 3D Printing etc.. https://ark-funds.com/arkq</t>
  </si>
  <si>
    <t>ARKK</t>
  </si>
  <si>
    <t>Technology Innovation</t>
  </si>
  <si>
    <t>Avg. Return</t>
  </si>
  <si>
    <t>Monthly Alloc.</t>
  </si>
  <si>
    <t>Yearly Alloc.</t>
  </si>
  <si>
    <t>CY</t>
  </si>
  <si>
    <t>CY+1</t>
  </si>
  <si>
    <t>CY+2</t>
  </si>
  <si>
    <t>CY+3</t>
  </si>
  <si>
    <t>CY+4</t>
  </si>
  <si>
    <t>CY+5</t>
  </si>
  <si>
    <t>CY+6</t>
  </si>
  <si>
    <t>CY+7</t>
  </si>
  <si>
    <t>CY+8</t>
  </si>
  <si>
    <t>CY+9</t>
  </si>
  <si>
    <t>Total Investment</t>
  </si>
  <si>
    <t>VTI</t>
  </si>
  <si>
    <t>IVV</t>
  </si>
  <si>
    <t>VOO</t>
  </si>
  <si>
    <t>VGT</t>
  </si>
  <si>
    <t>FTEC</t>
  </si>
  <si>
    <t>VHT</t>
  </si>
  <si>
    <t>FHLC</t>
  </si>
  <si>
    <t>Medical Device</t>
  </si>
  <si>
    <t>SMH</t>
  </si>
  <si>
    <t>XSD</t>
  </si>
  <si>
    <t>VYM</t>
  </si>
  <si>
    <t>SCHD</t>
  </si>
  <si>
    <t>Other Stocks</t>
  </si>
  <si>
    <t>WCLD</t>
  </si>
  <si>
    <t>ARKG</t>
  </si>
  <si>
    <t>SKYY</t>
  </si>
  <si>
    <t>ARKW</t>
  </si>
  <si>
    <t>Bond</t>
  </si>
  <si>
    <t>AGG</t>
  </si>
  <si>
    <t>BND</t>
  </si>
  <si>
    <t>FNBGX</t>
  </si>
  <si>
    <t>GLDM</t>
  </si>
  <si>
    <t>SLV</t>
  </si>
  <si>
    <t>ZZZ</t>
  </si>
  <si>
    <t>Year 1</t>
  </si>
  <si>
    <t>Year 3</t>
  </si>
  <si>
    <t>Year 5</t>
  </si>
  <si>
    <t>Year 10</t>
  </si>
  <si>
    <t>https://www.begintoinvest.com/expense-ratio-calculator/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</si>
</sst>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6" formatCode="_([$$-409]* #,##0.00_);_([$$-409]* \(#,##0.00\);_([$$-409]* &quot;-&quot;??_);_(@_)"/>
    <numFmt numFmtId="167" formatCode="_(&quot;$&quot;* #,##0.00_);_(&quot;$&quot;* \(#,##0.00\);_(&quot;$&quot;* &quot;-&quot;??_);_(@_)"/>
    <numFmt numFmtId="168" formatCode="_(&quot;$&quot;* #,##0_);_(&quot;$&quot;* \(#,##0\);_(&quot;$&quot;* &quot;-&quot;??_);_(@_)"/>
    <numFmt numFmtId="170" formatCode="_ * #,##0_ ;_ * \-#,##0_ ;_ * &quot;-&quot;??_ ;_ @_ "/>
    <numFmt numFmtId="171" formatCode="0.0%"/>
  </numFmts>
  <fonts count="10">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u/>
      <sz val="11"/>
      <color theme="10"/>
      <name val="Calibri"/>
      <family val="2"/>
      <scheme val="minor"/>
    </font>
    <font>
      <sz val="10"/>
      <color theme="1"/>
      <name val="Calibri"/>
    </font>
    <font>
      <b/>
      <sz val="10"/>
      <color theme="1"/>
      <name val="Calibri"/>
    </font>
    <font>
      <sz val="10"/>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s>
  <borders count="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9" fontId="5" fillId="0" borderId="0" applyFont="0" applyFill="0" applyBorder="0" applyAlignment="0" applyProtection="0"/>
    <xf numFmtId="167" fontId="5" fillId="0" borderId="0" applyFont="0" applyFill="0" applyBorder="0" applyAlignment="0" applyProtection="0"/>
    <xf numFmtId="0" fontId="6" fillId="0" borderId="0" applyNumberFormat="0" applyFill="0" applyBorder="0" applyAlignment="0" applyProtection="0"/>
  </cellStyleXfs>
  <cellXfs count="57">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3" fillId="3" borderId="0" xfId="0" applyFont="1" applyFill="1" applyAlignment="1">
      <alignment horizontal="center"/>
    </xf>
    <xf numFmtId="0" fontId="7" fillId="0" borderId="0" xfId="0" applyFont="1"/>
    <xf numFmtId="10" fontId="7" fillId="0" borderId="0" xfId="0" applyNumberFormat="1" applyFont="1"/>
    <xf numFmtId="0" fontId="7" fillId="0" borderId="3" xfId="0" applyFont="1" applyBorder="1"/>
    <xf numFmtId="0" fontId="8" fillId="4" borderId="3" xfId="0" applyFont="1" applyFill="1" applyBorder="1"/>
    <xf numFmtId="0" fontId="7" fillId="0" borderId="5" xfId="0" applyFont="1" applyBorder="1"/>
    <xf numFmtId="171" fontId="7" fillId="0" borderId="0" xfId="0" applyNumberFormat="1" applyFont="1"/>
    <xf numFmtId="0" fontId="9" fillId="0" borderId="3" xfId="0" applyFont="1" applyBorder="1"/>
    <xf numFmtId="0" fontId="9" fillId="0" borderId="0" xfId="0" applyFont="1"/>
    <xf numFmtId="0" fontId="9" fillId="0" borderId="3" xfId="0" applyFont="1" applyBorder="1" applyAlignment="1">
      <alignment horizontal="center"/>
    </xf>
    <xf numFmtId="0" fontId="9" fillId="0" borderId="3" xfId="0" applyFont="1" applyBorder="1" applyAlignment="1">
      <alignment horizontal="center" vertical="center"/>
    </xf>
    <xf numFmtId="43" fontId="9" fillId="0" borderId="3" xfId="0" applyNumberFormat="1" applyFont="1" applyBorder="1" applyAlignment="1">
      <alignment horizontal="center" vertical="center"/>
    </xf>
    <xf numFmtId="10" fontId="8" fillId="4" borderId="3" xfId="0" applyNumberFormat="1" applyFont="1" applyFill="1" applyBorder="1" applyAlignment="1">
      <alignment horizontal="center" vertical="center"/>
    </xf>
    <xf numFmtId="171" fontId="8" fillId="4" borderId="3" xfId="0" applyNumberFormat="1" applyFont="1" applyFill="1" applyBorder="1" applyAlignment="1">
      <alignment horizontal="center" vertical="center"/>
    </xf>
    <xf numFmtId="0" fontId="8" fillId="4" borderId="3" xfId="0" applyFont="1" applyFill="1" applyBorder="1" applyAlignment="1">
      <alignment horizontal="center" vertical="center"/>
    </xf>
    <xf numFmtId="10" fontId="7" fillId="0" borderId="3" xfId="0" applyNumberFormat="1" applyFont="1" applyBorder="1" applyAlignment="1">
      <alignment horizontal="center" vertical="center"/>
    </xf>
    <xf numFmtId="171" fontId="7" fillId="0" borderId="3" xfId="0" applyNumberFormat="1" applyFont="1" applyBorder="1" applyAlignment="1">
      <alignment horizontal="center" vertical="center"/>
    </xf>
    <xf numFmtId="0" fontId="7" fillId="0" borderId="3" xfId="0" applyFont="1" applyBorder="1" applyAlignment="1">
      <alignment horizontal="center" vertical="center"/>
    </xf>
    <xf numFmtId="170" fontId="7" fillId="0" borderId="3" xfId="0" applyNumberFormat="1" applyFont="1" applyBorder="1" applyAlignment="1">
      <alignment horizontal="center" vertical="center"/>
    </xf>
    <xf numFmtId="10" fontId="7" fillId="0" borderId="5" xfId="0" applyNumberFormat="1" applyFont="1" applyBorder="1" applyAlignment="1">
      <alignment horizontal="center" vertical="center"/>
    </xf>
    <xf numFmtId="171" fontId="7" fillId="0" borderId="5" xfId="0" applyNumberFormat="1" applyFont="1" applyBorder="1" applyAlignment="1">
      <alignment horizontal="center" vertical="center"/>
    </xf>
    <xf numFmtId="170" fontId="8" fillId="4" borderId="3" xfId="0" applyNumberFormat="1" applyFont="1" applyFill="1" applyBorder="1" applyAlignment="1">
      <alignment horizontal="center" vertical="center"/>
    </xf>
    <xf numFmtId="0" fontId="8" fillId="4" borderId="3" xfId="0" applyFont="1" applyFill="1" applyBorder="1" applyAlignment="1">
      <alignment vertical="center" wrapText="1"/>
    </xf>
    <xf numFmtId="10" fontId="8" fillId="4" borderId="3" xfId="0" applyNumberFormat="1" applyFont="1" applyFill="1" applyBorder="1" applyAlignment="1">
      <alignment horizontal="center" vertical="center" wrapText="1"/>
    </xf>
    <xf numFmtId="171"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0" borderId="0" xfId="0" applyFont="1" applyAlignment="1">
      <alignment vertical="center" wrapText="1"/>
    </xf>
    <xf numFmtId="0" fontId="7" fillId="5" borderId="3" xfId="0" applyFont="1" applyFill="1" applyBorder="1"/>
    <xf numFmtId="10" fontId="7" fillId="5" borderId="3" xfId="0" applyNumberFormat="1" applyFont="1" applyFill="1" applyBorder="1" applyAlignment="1">
      <alignment horizontal="center" vertical="center"/>
    </xf>
    <xf numFmtId="171" fontId="7" fillId="5" borderId="3" xfId="0" applyNumberFormat="1" applyFont="1" applyFill="1" applyBorder="1" applyAlignment="1">
      <alignment horizontal="center" vertical="center"/>
    </xf>
    <xf numFmtId="0" fontId="7" fillId="5" borderId="3" xfId="0" applyFont="1" applyFill="1" applyBorder="1" applyAlignment="1">
      <alignment horizontal="center" vertical="center"/>
    </xf>
    <xf numFmtId="170" fontId="7" fillId="5" borderId="3" xfId="0" applyNumberFormat="1" applyFont="1" applyFill="1" applyBorder="1" applyAlignment="1">
      <alignment horizontal="center" vertical="center"/>
    </xf>
    <xf numFmtId="0" fontId="7" fillId="5" borderId="4" xfId="0" applyFont="1" applyFill="1" applyBorder="1"/>
    <xf numFmtId="10" fontId="7" fillId="5" borderId="4" xfId="0" applyNumberFormat="1" applyFont="1" applyFill="1" applyBorder="1" applyAlignment="1">
      <alignment horizontal="center" vertical="center"/>
    </xf>
    <xf numFmtId="171" fontId="7" fillId="5" borderId="4" xfId="0" applyNumberFormat="1" applyFont="1" applyFill="1" applyBorder="1" applyAlignment="1">
      <alignment horizontal="center" vertical="center"/>
    </xf>
    <xf numFmtId="0" fontId="6" fillId="0" borderId="0" xfId="3"/>
  </cellXfs>
  <cellStyles count="4">
    <cellStyle name="Currency" xfId="2" builtinId="4"/>
    <cellStyle name="Hyperlink" xfId="3" builtinId="8"/>
    <cellStyle name="Normal" xfId="0" builtinId="0"/>
    <cellStyle name="Percent" xfId="1" builtinId="5"/>
  </cellStyles>
  <dxfs count="35">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242">
  <rv s="0">
    <v>https://www.bing.com/financeapi/forcetrigger?t=brfebh&amp;q=XNAS%3aWCLD&amp;form=skydnc</v>
    <v>Learn more on Bing</v>
  </rv>
  <rv s="1">
    <v>en-US</v>
    <v>brfebh</v>
    <v>268435456</v>
    <v>268435459</v>
    <v>1</v>
    <v>0</v>
    <v>WisdomTree:Cloud Cmptng (XNAS:WCLD)</v>
    <v>2</v>
    <v>3</v>
    <v>Finance</v>
    <v>4</v>
    <v>42.77</v>
    <v>18.989999999999998</v>
    <v>-0.60499999999999998</v>
    <v>-1.4695E-2</v>
    <v>USD</v>
    <v>Nasdaq Stock Market</v>
    <v>XNAS</v>
    <v>41.76</v>
    <v>ETF</v>
    <v>44033.704877603908</v>
    <v>0</v>
    <v>40.380099999999999</v>
    <v>418823144.10000002</v>
    <v>WisdomTree:Cloud Cmptng</v>
    <v>41.65</v>
    <v>41.17</v>
    <v>40.564999999999998</v>
    <v>WCLD</v>
    <v>WisdomTree:Cloud Cmptng (XNAS:WCLD)</v>
    <v>749388</v>
    <v>844492</v>
  </rv>
  <rv s="2">
    <v>1</v>
  </rv>
  <rv s="3">
    <v>12</v>
    <v>Expense ratio</v>
  </rv>
  <rv s="0">
    <v>https://www.bing.com/financeapi/forcetrigger?t=bprn6h&amp;q=XNAS%3aCLOU&amp;form=skydnc</v>
    <v>Learn more on Bing</v>
  </rv>
  <rv s="4">
    <v>en-US</v>
    <v>bprn6h</v>
    <v>268435456</v>
    <v>268435459</v>
    <v>1</v>
    <v>5</v>
    <v>Glbl X Cloud Computing (XNAS:CLOU)</v>
    <v>2</v>
    <v>6</v>
    <v>Finance</v>
    <v>4</v>
    <v>23.19</v>
    <v>12.36</v>
    <v>-0.34</v>
    <v>-1.4886E-2</v>
    <v>USD</v>
    <v>Nasdaq Stock Market</v>
    <v>XNAS</v>
    <v>6.8000000000000005E-3</v>
    <v>23.09</v>
    <v>ETF</v>
    <v>44033.705041342189</v>
    <v>4</v>
    <v>22.41</v>
    <v>806018350.36000001</v>
    <v>Glbl X Cloud Computing</v>
    <v>23.06</v>
    <v>22.84</v>
    <v>22.5</v>
    <v>CLOU</v>
    <v>Glbl X Cloud Computing (XNAS:CLOU)</v>
    <v>1082567</v>
    <v>1180394</v>
  </rv>
  <rv s="2">
    <v>5</v>
  </rv>
  <rv s="0">
    <v>https://www.bing.com/financeapi/forcetrigger?t=a232h7&amp;q=XNAS%3aSKYY&amp;form=skydnc</v>
    <v>Learn more on Bing</v>
  </rv>
  <rv s="5">
    <v>en-US</v>
    <v>a232h7</v>
    <v>268435456</v>
    <v>268435459</v>
    <v>1</v>
    <v>7</v>
    <v>Frst Tr II:CloudComp (XNAS:SKYY)</v>
    <v>2</v>
    <v>8</v>
    <v>Finance</v>
    <v>9</v>
    <v>78.92</v>
    <v>45</v>
    <v>0.90910000000000002</v>
    <v>-0.54649999999999999</v>
    <v>-7.0169999999999998E-3</v>
    <v>USD</v>
    <v>Nasdaq Stock Market</v>
    <v>XNAS</v>
    <v>6.0000000000000001E-3</v>
    <v>78.709999999999994</v>
    <v>ETF</v>
    <v>44033.715406099218</v>
    <v>7</v>
    <v>77.040000000000006</v>
    <v>4448408839.3800001</v>
    <v>Frst Tr II:CloudComp</v>
    <v>78.56</v>
    <v>77.88</v>
    <v>77.333500000000001</v>
    <v>SKYY</v>
    <v>Frst Tr II:CloudComp (XNAS:SKYY)</v>
    <v>326162</v>
    <v>546366</v>
  </rv>
  <rv s="2">
    <v>8</v>
  </rv>
  <rv s="0">
    <v>https://www.bing.com/financeapi/forcetrigger?t=a1zgdm&amp;q=ARCX%3aPALL&amp;form=skydnc</v>
    <v>Learn more on Bing</v>
  </rv>
  <rv s="5">
    <v>en-US</v>
    <v>a1zgdm</v>
    <v>268435456</v>
    <v>268435459</v>
    <v>1</v>
    <v>7</v>
    <v>Aberdeen:SP Palladium (ARCX:PALL)</v>
    <v>2</v>
    <v>8</v>
    <v>Finance</v>
    <v>9</v>
    <v>273.16379999999998</v>
    <v>130.04</v>
    <v>0.39129999999999998</v>
    <v>7.59</v>
    <v>3.9049E-2</v>
    <v>USD</v>
    <v>NYSE Arca</v>
    <v>ARCX</v>
    <v>6.0000000000000001E-3</v>
    <v>204.95</v>
    <v>ETF</v>
    <v>44033.713738425926</v>
    <v>10</v>
    <v>201.06829999999999</v>
    <v>263816104.05000001</v>
    <v>Aberdeen:SP Palladium</v>
    <v>202.8</v>
    <v>194.37</v>
    <v>201.96</v>
    <v>PALL</v>
    <v>Aberdeen:SP Palladium (ARCX:PALL)</v>
    <v>51239</v>
    <v>23613</v>
  </rv>
  <rv s="2">
    <v>11</v>
  </rv>
  <rv s="0">
    <v>https://www.bing.com/financeapi/forcetrigger?t=a233ur&amp;q=ARCX%3aSLV&amp;form=skydnc</v>
    <v>Learn more on Bing</v>
  </rv>
  <rv s="5">
    <v>en-US</v>
    <v>a233ur</v>
    <v>268435456</v>
    <v>268435459</v>
    <v>1</v>
    <v>7</v>
    <v>IShares:Silver Trust (ARCX:SLV)</v>
    <v>2</v>
    <v>8</v>
    <v>Finance</v>
    <v>9</v>
    <v>19.6401</v>
    <v>10.86</v>
    <v>1.4753000000000001</v>
    <v>1.1001000000000001</v>
    <v>5.9337000000000001E-2</v>
    <v>USD</v>
    <v>NYSE Arca</v>
    <v>ARCX</v>
    <v>5.0000000000000001E-3</v>
    <v>19.739999999999998</v>
    <v>ETF</v>
    <v>44033.714998251562</v>
    <v>13</v>
    <v>19.420000000000002</v>
    <v>8883456887.2099991</v>
    <v>IShares:Silver Trust</v>
    <v>19.52</v>
    <v>18.54</v>
    <v>19.6401</v>
    <v>SLV</v>
    <v>IShares:Silver Trust (ARCX:SLV)</v>
    <v>46414488</v>
    <v>28508134</v>
  </rv>
  <rv s="2">
    <v>14</v>
  </rv>
  <rv s="0">
    <v>https://www.bing.com/financeapi/forcetrigger?t=b1o8hw&amp;q=ARCX%3aGLDM&amp;form=skydnc</v>
    <v>Learn more on Bing</v>
  </rv>
  <rv s="4">
    <v>en-US</v>
    <v>b1o8hw</v>
    <v>268435456</v>
    <v>268435459</v>
    <v>1</v>
    <v>5</v>
    <v>SPDR Gold MiniShares Tr (ARCX:GLDM)</v>
    <v>2</v>
    <v>6</v>
    <v>Finance</v>
    <v>9</v>
    <v>18.36</v>
    <v>14.01</v>
    <v>0.23499999999999999</v>
    <v>1.2966E-2</v>
    <v>USD</v>
    <v>NYSE Arca</v>
    <v>ARCX</v>
    <v>1.8E-3</v>
    <v>18.36</v>
    <v>ETF</v>
    <v>44033.714909432812</v>
    <v>16</v>
    <v>18.275200000000002</v>
    <v>2521087257.0999999</v>
    <v>SPDR Gold MiniShares Tr</v>
    <v>18.29</v>
    <v>18.125</v>
    <v>18.36</v>
    <v>GLDM</v>
    <v>SPDR Gold MiniShares Tr (ARCX:GLDM)</v>
    <v>3905146</v>
    <v>1953731</v>
  </rv>
  <rv s="2">
    <v>17</v>
  </rv>
  <rv s="0">
    <v>https://www.bing.com/financeapi/forcetrigger?t=a267oc&amp;q=ARCX%3aXLE&amp;form=skydnc</v>
    <v>Learn more on Bing</v>
  </rv>
  <rv s="5">
    <v>en-US</v>
    <v>a267oc</v>
    <v>268435456</v>
    <v>268435459</v>
    <v>1</v>
    <v>7</v>
    <v>Sel Sector:Energy SPDR (ARCX:XLE)</v>
    <v>2</v>
    <v>8</v>
    <v>Finance</v>
    <v>9</v>
    <v>62.0443</v>
    <v>22.88</v>
    <v>1.1377999999999999</v>
    <v>2.37</v>
    <v>6.5724000000000005E-2</v>
    <v>USD</v>
    <v>NYSE Arca</v>
    <v>ARCX</v>
    <v>1.4000000000000002E-3</v>
    <v>38.548499999999997</v>
    <v>ETF</v>
    <v>44033.714846816409</v>
    <v>19</v>
    <v>36.65</v>
    <v>10403779192.91</v>
    <v>Sel Sector:Energy SPDR</v>
    <v>36.700000000000003</v>
    <v>36.06</v>
    <v>38.43</v>
    <v>XLE</v>
    <v>Sel Sector:Energy SPDR (ARCX:XLE)</v>
    <v>19138601</v>
    <v>24711472</v>
  </rv>
  <rv s="2">
    <v>20</v>
  </rv>
  <rv s="0">
    <v>https://www.bing.com/financeapi/forcetrigger?t=a25o5r&amp;q=ARCX%3aVYM&amp;form=skydnc</v>
    <v>Learn more on Bing</v>
  </rv>
  <rv s="5">
    <v>en-US</v>
    <v>a25o5r</v>
    <v>268435456</v>
    <v>268435459</v>
    <v>1</v>
    <v>7</v>
    <v>Vanguard Hi Dv Yld;ETF (ARCX:VYM)</v>
    <v>2</v>
    <v>8</v>
    <v>Finance</v>
    <v>9</v>
    <v>94.86</v>
    <v>60.07</v>
    <v>0.88419999999999999</v>
    <v>1.3893</v>
    <v>1.7156000000000001E-2</v>
    <v>USD</v>
    <v>NYSE Arca</v>
    <v>ARCX</v>
    <v>8.0000000000000004E-4</v>
    <v>82.4</v>
    <v>ETF</v>
    <v>44033.715648148151</v>
    <v>22</v>
    <v>81.5</v>
    <v>25574121725</v>
    <v>Vanguard Hi Dv Yld;ETF</v>
    <v>81.62</v>
    <v>80.98</v>
    <v>82.369299999999996</v>
    <v>VYM</v>
    <v>Vanguard Hi Dv Yld;ETF (ARCX:VYM)</v>
    <v>1122589</v>
    <v>1751598</v>
  </rv>
  <rv s="2">
    <v>23</v>
  </rv>
  <rv s="0">
    <v>https://www.bing.com/financeapi/forcetrigger?t=a21p52&amp;q=XNAS%3aQYLD&amp;form=skydnc</v>
    <v>Learn more on Bing</v>
  </rv>
  <rv s="5">
    <v>en-US</v>
    <v>a21p52</v>
    <v>268435456</v>
    <v>268435459</v>
    <v>1</v>
    <v>7</v>
    <v>Glbl X NASDAQ 100 CC (XNAS:QYLD)</v>
    <v>2</v>
    <v>8</v>
    <v>Finance</v>
    <v>9</v>
    <v>24.18</v>
    <v>17.22</v>
    <v>0.73819999999999997</v>
    <v>-0.1101</v>
    <v>-5.1259999999999995E-3</v>
    <v>USD</v>
    <v>Nasdaq Stock Market</v>
    <v>XNAS</v>
    <v>6.0000000000000001E-3</v>
    <v>21.49</v>
    <v>ETF</v>
    <v>44033.714733796296</v>
    <v>25</v>
    <v>21.33</v>
    <v>1108626120.3199999</v>
    <v>Glbl X NASDAQ 100 CC</v>
    <v>21.48</v>
    <v>21.48</v>
    <v>21.369900000000001</v>
    <v>QYLD</v>
    <v>Glbl X NASDAQ 100 CC (XNAS:QYLD)</v>
    <v>341277</v>
    <v>608860</v>
  </rv>
  <rv s="2">
    <v>26</v>
  </rv>
  <rv s="0">
    <v>https://www.bing.com/financeapi/forcetrigger?t=a22m27&amp;q=ARCX%3aSCHD&amp;form=skydnc</v>
    <v>Learn more on Bing</v>
  </rv>
  <rv s="5">
    <v>en-US</v>
    <v>a22m27</v>
    <v>268435456</v>
    <v>268435459</v>
    <v>1</v>
    <v>7</v>
    <v>Schwab Str:US Div Eq ETF (ARCX:SCHD)</v>
    <v>2</v>
    <v>8</v>
    <v>Finance</v>
    <v>9</v>
    <v>59.56</v>
    <v>38.825000000000003</v>
    <v>0.91039999999999999</v>
    <v>1.0449999999999999</v>
    <v>1.976E-2</v>
    <v>USD</v>
    <v>NYSE Arca</v>
    <v>ARCX</v>
    <v>7.000000000000001E-4</v>
    <v>53.97</v>
    <v>ETF</v>
    <v>44033.714710948436</v>
    <v>28</v>
    <v>53.34</v>
    <v>11125665085.860001</v>
    <v>Schwab Str:US Div Eq ETF</v>
    <v>53.45</v>
    <v>52.884999999999998</v>
    <v>53.93</v>
    <v>SCHD</v>
    <v>Schwab Str:US Div Eq ETF (ARCX:SCHD)</v>
    <v>811498</v>
    <v>1914443</v>
  </rv>
  <rv s="2">
    <v>29</v>
  </rv>
  <rv s="0">
    <v>https://www.bing.com/financeapi/forcetrigger?t=a1smu2&amp;q=ARCX%3aFBT&amp;form=skydnc</v>
    <v>Learn more on Bing</v>
  </rv>
  <rv s="5">
    <v>en-US</v>
    <v>a1smu2</v>
    <v>268435456</v>
    <v>268435459</v>
    <v>1</v>
    <v>7</v>
    <v>Frst Tr:NYSEArcaBiotech (ARCX:FBT)</v>
    <v>2</v>
    <v>8</v>
    <v>Finance</v>
    <v>9</v>
    <v>180.637</v>
    <v>108.08</v>
    <v>1.3794999999999999</v>
    <v>-3.3149999999999999</v>
    <v>-1.8405999999999999E-2</v>
    <v>USD</v>
    <v>NYSE Arca</v>
    <v>ARCX</v>
    <v>5.6000000000000008E-3</v>
    <v>179.88</v>
    <v>ETF</v>
    <v>44033.715138888889</v>
    <v>31</v>
    <v>175.91</v>
    <v>2154897908.5560002</v>
    <v>Frst Tr:NYSEArcaBiotech</v>
    <v>178.27</v>
    <v>180.1</v>
    <v>176.785</v>
    <v>FBT</v>
    <v>Frst Tr:NYSEArcaBiotech (ARCX:FBT)</v>
    <v>32949</v>
    <v>73270</v>
  </rv>
  <rv s="2">
    <v>32</v>
  </rv>
  <rv s="0">
    <v>https://www.bing.com/financeapi/forcetrigger?t=a1nq3m&amp;q=BATS%3aARKG&amp;form=skydnc</v>
    <v>Learn more on Bing</v>
  </rv>
  <rv s="5">
    <v>en-US</v>
    <v>a1nq3m</v>
    <v>268435456</v>
    <v>268435459</v>
    <v>1</v>
    <v>7</v>
    <v>ARK Genomic Revolution (BATS:ARKG)</v>
    <v>2</v>
    <v>8</v>
    <v>Finance</v>
    <v>9</v>
    <v>58.74</v>
    <v>24</v>
    <v>1.5559000000000001</v>
    <v>-1.0399</v>
    <v>-1.7760999999999999E-2</v>
    <v>USD</v>
    <v>CBOE BZX Exchange</v>
    <v>BATS</v>
    <v>7.4999999999999997E-3</v>
    <v>59.414999999999999</v>
    <v>ETF</v>
    <v>44033.715104166666</v>
    <v>34</v>
    <v>57.1</v>
    <v>1323941282.4159999</v>
    <v>ARK Genomic Revolution</v>
    <v>59.4</v>
    <v>58.55</v>
    <v>57.510100000000001</v>
    <v>ARKG</v>
    <v>ARK Genomic Revolution (BATS:ARKG)</v>
    <v>535762</v>
    <v>772885</v>
  </rv>
  <rv s="2">
    <v>35</v>
  </rv>
  <rv s="0">
    <v>https://www.bing.com/financeapi/forcetrigger?t=a1vyf2&amp;q=ARCX%3aIXJ&amp;form=skydnc</v>
    <v>Learn more on Bing</v>
  </rv>
  <rv s="6">
    <v>en-US</v>
    <v>a1vyf2</v>
    <v>268435456</v>
    <v>268435459</v>
    <v>1</v>
    <v>10</v>
    <v>iShares:Glbl HealthCare (ARCX:IXJ)</v>
    <v>2</v>
    <v>11</v>
    <v>Finance</v>
    <v>12</v>
    <v>72.684600000000003</v>
    <v>51.07</v>
    <v>0.8831</v>
    <v>-0.16</v>
    <v>8.3129999999999999E-4</v>
    <v>-2.212E-3</v>
    <v>0.06</v>
    <v>USD</v>
    <v>NYSE Arca</v>
    <v>ARCX</v>
    <v>4.6999999999999993E-3</v>
    <v>72.725099999999998</v>
    <v>ETF</v>
    <v>44033.84027780078</v>
    <v>37</v>
    <v>72.11</v>
    <v>2170947957.6599998</v>
    <v>iShares:Glbl HealthCare</v>
    <v>72.64</v>
    <v>72.34</v>
    <v>72.180000000000007</v>
    <v>72.239999999999995</v>
    <v>IXJ</v>
    <v>iShares:Glbl HealthCare (ARCX:IXJ)</v>
    <v>95736</v>
    <v>99452</v>
  </rv>
  <rv s="2">
    <v>38</v>
  </rv>
  <rv s="0">
    <v>https://www.bing.com/financeapi/forcetrigger?t=a1sv3m&amp;q=ARCX%3aFHLC&amp;form=skydnc</v>
    <v>Learn more on Bing</v>
  </rv>
  <rv s="5">
    <v>en-US</v>
    <v>a1sv3m</v>
    <v>268435456</v>
    <v>268435459</v>
    <v>1</v>
    <v>7</v>
    <v>Fidelity MSCI Hlth Care (ARCX:FHLC)</v>
    <v>2</v>
    <v>8</v>
    <v>Finance</v>
    <v>9</v>
    <v>53.09</v>
    <v>35.74</v>
    <v>1.0129999999999999</v>
    <v>0.11</v>
    <v>2.0830000000000002E-3</v>
    <v>USD</v>
    <v>NYSE Arca</v>
    <v>ARCX</v>
    <v>8.0000000000000004E-4</v>
    <v>53.126300000000001</v>
    <v>ETF</v>
    <v>44033.716157407405</v>
    <v>40</v>
    <v>52.75</v>
    <v>1914528525</v>
    <v>Fidelity MSCI Hlth Care</v>
    <v>52.98</v>
    <v>52.82</v>
    <v>52.93</v>
    <v>FHLC</v>
    <v>Fidelity MSCI Hlth Care (ARCX:FHLC)</v>
    <v>85872</v>
    <v>175207</v>
  </rv>
  <rv s="2">
    <v>41</v>
  </rv>
  <rv s="0">
    <v>https://www.bing.com/financeapi/forcetrigger?t=a25bqh&amp;q=ARCX%3aVHT&amp;form=skydnc</v>
    <v>Learn more on Bing</v>
  </rv>
  <rv s="5">
    <v>en-US</v>
    <v>a25bqh</v>
    <v>268435456</v>
    <v>268435459</v>
    <v>1</v>
    <v>7</v>
    <v>Vanguard Hlth Cr Idx;ETF (ARCX:VHT)</v>
    <v>2</v>
    <v>8</v>
    <v>Finance</v>
    <v>9</v>
    <v>205.61</v>
    <v>138.11000000000001</v>
    <v>1.0150999999999999</v>
    <v>0.36</v>
    <v>1.7589999999999999E-3</v>
    <v>USD</v>
    <v>NYSE Arca</v>
    <v>ARCX</v>
    <v>1E-3</v>
    <v>205.71</v>
    <v>ETF</v>
    <v>44033.714895833335</v>
    <v>43</v>
    <v>204.29</v>
    <v>10910012449</v>
    <v>Vanguard Hlth Cr Idx;ETF</v>
    <v>204.99</v>
    <v>204.66</v>
    <v>205.02</v>
    <v>VHT</v>
    <v>Vanguard Hlth Cr Idx;ETF (ARCX:VHT)</v>
    <v>258046</v>
    <v>246886</v>
  </rv>
  <rv s="2">
    <v>44</v>
  </rv>
  <rv s="0">
    <v>https://www.bing.com/financeapi/forcetrigger?t=a268hw&amp;q=ARCX%3aXLV&amp;form=skydnc</v>
    <v>Learn more on Bing</v>
  </rv>
  <rv s="5">
    <v>en-US</v>
    <v>a268hw</v>
    <v>268435456</v>
    <v>268435459</v>
    <v>1</v>
    <v>7</v>
    <v>Sel Sector:H Care SPDR (ARCX:XLV)</v>
    <v>2</v>
    <v>8</v>
    <v>Finance</v>
    <v>9</v>
    <v>106.49</v>
    <v>73.540000000000006</v>
    <v>0.96830000000000005</v>
    <v>0.44</v>
    <v>4.156E-3</v>
    <v>USD</v>
    <v>NYSE Arca</v>
    <v>ARCX</v>
    <v>1.4000000000000002E-3</v>
    <v>106.63</v>
    <v>ETF</v>
    <v>44033.715555555558</v>
    <v>46</v>
    <v>105.89</v>
    <v>23226194903.959999</v>
    <v>Sel Sector:H Care SPDR</v>
    <v>106.18</v>
    <v>105.87</v>
    <v>106.31</v>
    <v>XLV</v>
    <v>Sel Sector:H Care SPDR (ARCX:XLV)</v>
    <v>3456633</v>
    <v>9430354</v>
  </rv>
  <rv s="2">
    <v>47</v>
  </rv>
  <rv s="0">
    <v>https://www.bing.com/financeapi/forcetrigger?t=a1vf8m&amp;q=ARCX%3aIHI&amp;form=skydnc</v>
    <v>Learn more on Bing</v>
  </rv>
  <rv s="5">
    <v>en-US</v>
    <v>a1vf8m</v>
    <v>268435456</v>
    <v>268435459</v>
    <v>1</v>
    <v>7</v>
    <v>iShares:US Med Dev ETF (ARCX:IHI)</v>
    <v>2</v>
    <v>8</v>
    <v>Finance</v>
    <v>9</v>
    <v>288.64</v>
    <v>183.25</v>
    <v>1.0038</v>
    <v>1.7173</v>
    <v>5.9870000000000001E-3</v>
    <v>USD</v>
    <v>NYSE Arca</v>
    <v>ARCX</v>
    <v>4.3E-3</v>
    <v>289.77499999999998</v>
    <v>ETF</v>
    <v>44033.715185185189</v>
    <v>49</v>
    <v>288</v>
    <v>6604812034.3599997</v>
    <v>iShares:US Med Dev ETF</v>
    <v>288.64999999999998</v>
    <v>286.83</v>
    <v>288.54730000000001</v>
    <v>IHI</v>
    <v>iShares:US Med Dev ETF (ARCX:IHI)</v>
    <v>82624</v>
    <v>274816</v>
  </rv>
  <rv s="2">
    <v>50</v>
  </rv>
  <rv s="0">
    <v>https://www.bing.com/financeapi/forcetrigger?t=a1rqkr&amp;q=BATS%3aEFG&amp;form=skydnc</v>
    <v>Learn more on Bing</v>
  </rv>
  <rv s="5">
    <v>en-US</v>
    <v>a1rqkr</v>
    <v>268435456</v>
    <v>268435459</v>
    <v>1</v>
    <v>7</v>
    <v>iShares:MSCI EAFE Gro (BATS:EFG)</v>
    <v>2</v>
    <v>8</v>
    <v>Finance</v>
    <v>9</v>
    <v>88.66</v>
    <v>60.13</v>
    <v>0.87560000000000004</v>
    <v>0.74</v>
    <v>8.4460000000000004E-3</v>
    <v>USD</v>
    <v>CBOE BZX Exchange</v>
    <v>BATS</v>
    <v>4.0000000000000001E-3</v>
    <v>88.489900000000006</v>
    <v>ETF</v>
    <v>44033.777638888889</v>
    <v>52</v>
    <v>88.02</v>
    <v>7355815737.4799995</v>
    <v>iShares:MSCI EAFE Gro</v>
    <v>88.15</v>
    <v>87.62</v>
    <v>88.36</v>
    <v>EFG</v>
    <v>iShares:MSCI EAFE Gro (BATS:EFG)</v>
    <v>373781</v>
    <v>400638</v>
  </rv>
  <rv s="2">
    <v>53</v>
  </rv>
  <rv s="0">
    <v>https://www.bing.com/financeapi/forcetrigger?t=a1w6ww&amp;q=ARCX%3aJKH&amp;form=skydnc</v>
    <v>Learn more on Bing</v>
  </rv>
  <rv s="5">
    <v>en-US</v>
    <v>a1w6ww</v>
    <v>268435456</v>
    <v>268435459</v>
    <v>1</v>
    <v>7</v>
    <v>iShares:Mornstr MC-Gro (ARCX:JKH)</v>
    <v>2</v>
    <v>8</v>
    <v>Finance</v>
    <v>9</v>
    <v>312.17</v>
    <v>183.43979999999999</v>
    <v>0.98599999999999999</v>
    <v>0.47</v>
    <v>1.5079999999999998E-3</v>
    <v>USD</v>
    <v>NYSE Arca</v>
    <v>ARCX</v>
    <v>3.0000000000000001E-3</v>
    <v>312.5016</v>
    <v>ETF</v>
    <v>44033.775266203702</v>
    <v>55</v>
    <v>310.23309999999998</v>
    <v>806675466.22000003</v>
    <v>iShares:Mornstr MC-Gro</v>
    <v>311.8</v>
    <v>311.7</v>
    <v>312.17</v>
    <v>JKH</v>
    <v>iShares:Mornstr MC-Gro (ARCX:JKH)</v>
    <v>13860</v>
    <v>26035</v>
  </rv>
  <rv s="2">
    <v>56</v>
  </rv>
  <rv s="0">
    <v>https://www.bing.com/financeapi/forcetrigger?t=a266rw&amp;q=ARCX%3aXHB&amp;form=skydnc</v>
    <v>Learn more on Bing</v>
  </rv>
  <rv s="5">
    <v>en-US</v>
    <v>a266rw</v>
    <v>268435456</v>
    <v>268435459</v>
    <v>1</v>
    <v>7</v>
    <v>SPDR S&amp;P Homebuilders (ARCX:XHB)</v>
    <v>2</v>
    <v>8</v>
    <v>Finance</v>
    <v>9</v>
    <v>49.344999999999999</v>
    <v>23.95</v>
    <v>1.2615000000000001</v>
    <v>0.25</v>
    <v>5.3109999999999997E-3</v>
    <v>USD</v>
    <v>NYSE Arca</v>
    <v>ARCX</v>
    <v>3.4999999999999996E-3</v>
    <v>47.42</v>
    <v>ETF</v>
    <v>44033.784557522653</v>
    <v>58</v>
    <v>46.95</v>
    <v>808077459.72000003</v>
    <v>SPDR S&amp;P Homebuilders</v>
    <v>47.2</v>
    <v>47.07</v>
    <v>47.32</v>
    <v>XHB</v>
    <v>SPDR S&amp;P Homebuilders (ARCX:XHB)</v>
    <v>1596736</v>
    <v>2334418</v>
  </rv>
  <rv s="2">
    <v>59</v>
  </rv>
  <rv s="0">
    <v>https://www.bing.com/financeapi/forcetrigger?t=a26aur&amp;q=ARCX%3aXSD&amp;form=skydnc</v>
    <v>Learn more on Bing</v>
  </rv>
  <rv s="5">
    <v>en-US</v>
    <v>a26aur</v>
    <v>268435456</v>
    <v>268435459</v>
    <v>1</v>
    <v>7</v>
    <v>SPDR S&amp;P Semiconductor (ARCX:XSD)</v>
    <v>2</v>
    <v>8</v>
    <v>Finance</v>
    <v>9</v>
    <v>121.32</v>
    <v>68.948099999999997</v>
    <v>1.2555000000000001</v>
    <v>-1.3324</v>
    <v>-1.0995E-2</v>
    <v>USD</v>
    <v>NYSE Arca</v>
    <v>ARCX</v>
    <v>3.4999999999999996E-3</v>
    <v>122.40989999999999</v>
    <v>ETF</v>
    <v>44033.711527777778</v>
    <v>61</v>
    <v>119.75</v>
    <v>498411802.41000003</v>
    <v>SPDR S&amp;P Semiconductor</v>
    <v>122.15</v>
    <v>121.18</v>
    <v>119.8476</v>
    <v>XSD</v>
    <v>SPDR S&amp;P Semiconductor (ARCX:XSD)</v>
    <v>18083</v>
    <v>51942</v>
  </rv>
  <rv s="2">
    <v>62</v>
  </rv>
  <rv s="0">
    <v>https://www.bing.com/financeapi/forcetrigger?t=a235f2&amp;q=XNAS%3aSMH&amp;form=skydnc</v>
    <v>Learn more on Bing</v>
  </rv>
  <rv s="5">
    <v>en-US</v>
    <v>a235f2</v>
    <v>268435456</v>
    <v>268435459</v>
    <v>1</v>
    <v>7</v>
    <v>VnEck Vctrs:Semicnd ETF (XNAS:SMH)</v>
    <v>2</v>
    <v>8</v>
    <v>Finance</v>
    <v>9</v>
    <v>164.0539</v>
    <v>96</v>
    <v>1.1604000000000001</v>
    <v>-0.38</v>
    <v>-2.3250000000000002E-3</v>
    <v>USD</v>
    <v>Nasdaq Stock Market</v>
    <v>XNAS</v>
    <v>3.4999999999999996E-3</v>
    <v>165.13</v>
    <v>ETF</v>
    <v>44033.715624999997</v>
    <v>64</v>
    <v>162.38999999999999</v>
    <v>2175612032.5799999</v>
    <v>VnEck Vctrs:Semicnd ETF</v>
    <v>164.99</v>
    <v>163.41</v>
    <v>163.03</v>
    <v>SMH</v>
    <v>VnEck Vctrs:Semicnd ETF (XNAS:SMH)</v>
    <v>1630227</v>
    <v>3466047</v>
  </rv>
  <rv s="2">
    <v>65</v>
  </rv>
  <rv s="0">
    <v>https://www.bing.com/financeapi/forcetrigger?t=a1nqf2&amp;q=ARCX%3aARKW&amp;form=skydnc</v>
    <v>Learn more on Bing</v>
  </rv>
  <rv s="5">
    <v>en-US</v>
    <v>a1nqf2</v>
    <v>268435456</v>
    <v>268435459</v>
    <v>1</v>
    <v>7</v>
    <v>ARK Next Gen Int ETF (ARCX:ARKW)</v>
    <v>2</v>
    <v>8</v>
    <v>Finance</v>
    <v>9</v>
    <v>100.91</v>
    <v>40.494999999999997</v>
    <v>1.194</v>
    <v>-0.28000000000000003</v>
    <v>-2.8299999999999996E-3</v>
    <v>USD</v>
    <v>NYSE Arca</v>
    <v>ARCX</v>
    <v>7.4999999999999997E-3</v>
    <v>100.315</v>
    <v>ETF</v>
    <v>44033.715833333335</v>
    <v>67</v>
    <v>98.3001</v>
    <v>1305706301.7460001</v>
    <v>ARK Next Gen Int ETF</v>
    <v>100.13</v>
    <v>98.93</v>
    <v>98.65</v>
    <v>ARKW</v>
    <v>ARK Next Gen Int ETF (ARCX:ARKW)</v>
    <v>390090</v>
    <v>710344</v>
  </rv>
  <rv s="2">
    <v>68</v>
  </rv>
  <rv s="0">
    <v>https://www.bing.com/financeapi/forcetrigger?t=a267a2&amp;q=ARCX%3aXITK&amp;form=skydnc</v>
    <v>Learn more on Bing</v>
  </rv>
  <rv s="5">
    <v>en-US</v>
    <v>a267a2</v>
    <v>268435456</v>
    <v>268435459</v>
    <v>1</v>
    <v>7</v>
    <v>SPDR FS Innovative Tech (ARCX:XITK)</v>
    <v>2</v>
    <v>8</v>
    <v>Finance</v>
    <v>9</v>
    <v>159.9</v>
    <v>81.5</v>
    <v>1.1793</v>
    <v>-0.9073</v>
    <v>-5.764E-3</v>
    <v>USD</v>
    <v>NYSE Arca</v>
    <v>ARCX</v>
    <v>4.5000000000000005E-3</v>
    <v>158.44999999999999</v>
    <v>ETF</v>
    <v>44033.71194107578</v>
    <v>70</v>
    <v>156.11500000000001</v>
    <v>145300746.91</v>
    <v>SPDR FS Innovative Tech</v>
    <v>158.44999999999999</v>
    <v>157.41</v>
    <v>156.5027</v>
    <v>XITK</v>
    <v>SPDR FS Innovative Tech (ARCX:XITK)</v>
    <v>9794</v>
    <v>34316</v>
  </rv>
  <rv s="2">
    <v>71</v>
  </rv>
  <rv s="0">
    <v>https://www.bing.com/financeapi/forcetrigger?t=a1nq6h&amp;q=ARCX%3aARKK&amp;form=skydnc</v>
    <v>Learn more on Bing</v>
  </rv>
  <rv s="5">
    <v>en-US</v>
    <v>a1nq6h</v>
    <v>268435456</v>
    <v>268435459</v>
    <v>1</v>
    <v>7</v>
    <v>ARK Innovation (ARCX:ARKK)</v>
    <v>2</v>
    <v>8</v>
    <v>Finance</v>
    <v>9</v>
    <v>84.544399999999996</v>
    <v>33</v>
    <v>1.4609000000000001</v>
    <v>-0.99790000000000001</v>
    <v>-1.1875999999999999E-2</v>
    <v>USD</v>
    <v>NYSE Arca</v>
    <v>ARCX</v>
    <v>7.4999999999999997E-3</v>
    <v>84.95</v>
    <v>ETF</v>
    <v>44033.715648148151</v>
    <v>73</v>
    <v>82.7911</v>
    <v>4805316936.7559996</v>
    <v>ARK Innovation</v>
    <v>84.93</v>
    <v>84.03</v>
    <v>83.0321</v>
    <v>ARKK</v>
    <v>ARK Innovation (ARCX:ARKK)</v>
    <v>993327</v>
    <v>1745239</v>
  </rv>
  <rv s="2">
    <v>74</v>
  </rv>
  <rv s="0">
    <v>https://www.bing.com/financeapi/forcetrigger?t=a267zr&amp;q=ARCX%3aXLK&amp;form=skydnc</v>
    <v>Learn more on Bing</v>
  </rv>
  <rv s="5">
    <v>en-US</v>
    <v>a267zr</v>
    <v>268435456</v>
    <v>268435459</v>
    <v>1</v>
    <v>7</v>
    <v>Sel Sector:Tech SPDR (ARCX:XLK)</v>
    <v>2</v>
    <v>8</v>
    <v>Finance</v>
    <v>9</v>
    <v>109.82</v>
    <v>68.099999999999994</v>
    <v>0.98280000000000001</v>
    <v>-0.69</v>
    <v>-6.3E-3</v>
    <v>USD</v>
    <v>NYSE Arca</v>
    <v>ARCX</v>
    <v>1.4000000000000002E-3</v>
    <v>110.3597</v>
    <v>ETF</v>
    <v>44033.714988425927</v>
    <v>76</v>
    <v>108.55</v>
    <v>31691450861.5</v>
    <v>Sel Sector:Tech SPDR</v>
    <v>110.29</v>
    <v>109.52</v>
    <v>108.83</v>
    <v>XLK</v>
    <v>Sel Sector:Tech SPDR (ARCX:XLK)</v>
    <v>4754491</v>
    <v>10549406</v>
  </rv>
  <rv s="2">
    <v>77</v>
  </rv>
  <rv s="0">
    <v>https://www.bing.com/financeapi/forcetrigger?t=a25bf2&amp;q=ARCX%3aVGT&amp;form=skydnc</v>
    <v>Learn more on Bing</v>
  </rv>
  <rv s="5">
    <v>en-US</v>
    <v>a25bf2</v>
    <v>268435456</v>
    <v>268435459</v>
    <v>1</v>
    <v>7</v>
    <v>Vanguard InfoTch Idx;ETF (ARCX:VGT)</v>
    <v>2</v>
    <v>8</v>
    <v>Finance</v>
    <v>9</v>
    <v>293.04000000000002</v>
    <v>179.45</v>
    <v>1.0276000000000001</v>
    <v>-1.81</v>
    <v>-6.1900000000000002E-3</v>
    <v>USD</v>
    <v>NYSE Arca</v>
    <v>ARCX</v>
    <v>1E-3</v>
    <v>294.94</v>
    <v>ETF</v>
    <v>44033.715868055559</v>
    <v>79</v>
    <v>289.87</v>
    <v>32755672567</v>
    <v>Vanguard InfoTch Idx;ETF</v>
    <v>294.77</v>
    <v>292.42</v>
    <v>290.61</v>
    <v>VGT</v>
    <v>Vanguard InfoTch Idx;ETF (ARCX:VGT)</v>
    <v>433463</v>
    <v>761385</v>
  </rv>
  <rv s="2">
    <v>80</v>
  </rv>
  <rv s="0">
    <v>https://www.bing.com/financeapi/forcetrigger?t=a1tf77&amp;q=ARCX%3aFTEC&amp;form=skydnc</v>
    <v>Learn more on Bing</v>
  </rv>
  <rv s="5">
    <v>en-US</v>
    <v>a1tf77</v>
    <v>268435456</v>
    <v>268435459</v>
    <v>1</v>
    <v>7</v>
    <v>Fidelity MSCI Info Tech (ARCX:FTEC)</v>
    <v>2</v>
    <v>8</v>
    <v>Finance</v>
    <v>9</v>
    <v>86.58</v>
    <v>53</v>
    <v>1.0267999999999999</v>
    <v>-0.5</v>
    <v>-5.7869999999999996E-3</v>
    <v>USD</v>
    <v>NYSE Arca</v>
    <v>ARCX</v>
    <v>8.0000000000000004E-4</v>
    <v>87.1</v>
    <v>ETF</v>
    <v>44033.713750000003</v>
    <v>82</v>
    <v>85.65</v>
    <v>4067341583</v>
    <v>Fidelity MSCI Info Tech</v>
    <v>86.9</v>
    <v>86.4</v>
    <v>85.9</v>
    <v>FTEC</v>
    <v>Fidelity MSCI Info Tech (ARCX:FTEC)</v>
    <v>226949</v>
    <v>504663</v>
  </rv>
  <rv s="2">
    <v>83</v>
  </rv>
  <rv s="0">
    <v>https://www.bing.com/financeapi/forcetrigger?t=bqf977&amp;q=ARCX%3aIHAK&amp;form=skydnc</v>
    <v>Learn more on Bing</v>
  </rv>
  <rv s="1">
    <v>en-US</v>
    <v>bqf977</v>
    <v>268435456</v>
    <v>268435459</v>
    <v>1</v>
    <v>0</v>
    <v>iShares:Cybersec &amp; Tech (ARCX:IHAK)</v>
    <v>2</v>
    <v>3</v>
    <v>Finance</v>
    <v>4</v>
    <v>33.1601</v>
    <v>20.36</v>
    <v>-0.19500000000000001</v>
    <v>-5.8809999999999999E-3</v>
    <v>USD</v>
    <v>NYSE Arca</v>
    <v>ARCX</v>
    <v>33.33</v>
    <v>ETF</v>
    <v>44033.704844524997</v>
    <v>85</v>
    <v>32.958300000000001</v>
    <v>73096955</v>
    <v>iShares:Cybersec &amp; Tech</v>
    <v>33.299999999999997</v>
    <v>33.159999999999997</v>
    <v>32.965000000000003</v>
    <v>IHAK</v>
    <v>iShares:Cybersec &amp; Tech (ARCX:IHAK)</v>
    <v>35659</v>
    <v>59665</v>
  </rv>
  <rv s="2">
    <v>86</v>
  </rv>
  <rv s="0">
    <v>https://www.bing.com/financeapi/forcetrigger?t=bokc77&amp;q=ARCX%3aGDAT&amp;form=skydnc</v>
    <v>Learn more on Bing</v>
  </rv>
  <rv s="4">
    <v>en-US</v>
    <v>bokc77</v>
    <v>268435456</v>
    <v>268435459</v>
    <v>1</v>
    <v>5</v>
    <v>Goldman:Data-Dvn Wld (ARCX:GDAT)</v>
    <v>2</v>
    <v>6</v>
    <v>Finance</v>
    <v>4</v>
    <v>67.260000000000005</v>
    <v>41.99</v>
    <v>-0.28820000000000001</v>
    <v>-4.2920000000000007E-3</v>
    <v>USD</v>
    <v>NYSE Arca</v>
    <v>ARCX</v>
    <v>5.0000000000000001E-3</v>
    <v>67.62</v>
    <v>ETF</v>
    <v>44033.701885358591</v>
    <v>88</v>
    <v>66.760000000000005</v>
    <v>32948625.699999999</v>
    <v>Goldman:Data-Dvn Wld</v>
    <v>67.62</v>
    <v>67.153199999999998</v>
    <v>66.864999999999995</v>
    <v>GDAT</v>
    <v>Goldman:Data-Dvn Wld (ARCX:GDAT)</v>
    <v>2542</v>
    <v>3584</v>
  </rv>
  <rv s="2">
    <v>89</v>
  </rv>
  <rv s="0">
    <v>https://www.bing.com/financeapi/forcetrigger?t=a1nq9c&amp;q=BATS%3aARKQ&amp;form=skydnc</v>
    <v>Learn more on Bing</v>
  </rv>
  <rv s="5">
    <v>en-US</v>
    <v>a1nq9c</v>
    <v>268435456</v>
    <v>268435459</v>
    <v>1</v>
    <v>7</v>
    <v>ARK Autonomous Tch &amp; Rob (BATS:ARKQ)</v>
    <v>2</v>
    <v>8</v>
    <v>Finance</v>
    <v>9</v>
    <v>54.16</v>
    <v>26.19</v>
    <v>1.1907000000000001</v>
    <v>-0.19</v>
    <v>-3.5110000000000002E-3</v>
    <v>USD</v>
    <v>CBOE BZX Exchange</v>
    <v>BATS</v>
    <v>7.4999999999999997E-3</v>
    <v>54.85</v>
    <v>ETF</v>
    <v>44033.715208333335</v>
    <v>91</v>
    <v>53.797699999999999</v>
    <v>316721107.10100001</v>
    <v>ARK Autonomous Tch &amp; Rob</v>
    <v>54.575000000000003</v>
    <v>54.11</v>
    <v>53.92</v>
    <v>ARKQ</v>
    <v>ARK Autonomous Tch &amp; Rob (BATS:ARKQ)</v>
    <v>129630</v>
    <v>185811</v>
  </rv>
  <rv s="2">
    <v>92</v>
  </rv>
  <rv s="0">
    <v>https://www.bing.com/financeapi/forcetrigger?t=a1ueyc&amp;q=ARCX%3aHACK&amp;form=skydnc</v>
    <v>Learn more on Bing</v>
  </rv>
  <rv s="5">
    <v>en-US</v>
    <v>a1ueyc</v>
    <v>268435456</v>
    <v>268435459</v>
    <v>1</v>
    <v>7</v>
    <v>ETFMG Prime Cybr Sec ETF (ARCX:HACK)</v>
    <v>2</v>
    <v>8</v>
    <v>Finance</v>
    <v>9</v>
    <v>47.41</v>
    <v>29.02</v>
    <v>0.872</v>
    <v>0</v>
    <v>0</v>
    <v>USD</v>
    <v>NYSE Arca</v>
    <v>ARCX</v>
    <v>7.1999999999999998E-3</v>
    <v>47.71</v>
    <v>ETF</v>
    <v>44033.714368969529</v>
    <v>94</v>
    <v>47.130299999999998</v>
    <v>1412750896.53</v>
    <v>ETFMG Prime Cybr Sec ETF</v>
    <v>47.69</v>
    <v>47.32</v>
    <v>47.32</v>
    <v>HACK</v>
    <v>ETFMG Prime Cybr Sec ETF (ARCX:HACK)</v>
    <v>154062</v>
    <v>184369</v>
  </rv>
  <rv s="2">
    <v>95</v>
  </rv>
  <rv s="0">
    <v>https://www.bing.com/financeapi/forcetrigger?t=a239nm&amp;q=XNAS%3aSNSR&amp;form=skydnc</v>
    <v>Learn more on Bing</v>
  </rv>
  <rv s="5">
    <v>en-US</v>
    <v>a239nm</v>
    <v>268435456</v>
    <v>268435459</v>
    <v>1</v>
    <v>7</v>
    <v>Glbl X Itrnt of Things (XNAS:SNSR)</v>
    <v>2</v>
    <v>8</v>
    <v>Finance</v>
    <v>9</v>
    <v>25.95</v>
    <v>14.809699999999999</v>
    <v>1.1566000000000001</v>
    <v>0.17</v>
    <v>6.594E-3</v>
    <v>USD</v>
    <v>Nasdaq Stock Market</v>
    <v>XNAS</v>
    <v>6.8999999999999999E-3</v>
    <v>26.12</v>
    <v>ETF</v>
    <v>44033.714306133596</v>
    <v>97</v>
    <v>25.88</v>
    <v>221536400</v>
    <v>Glbl X Itrnt of Things</v>
    <v>26.05</v>
    <v>25.78</v>
    <v>25.95</v>
    <v>SNSR</v>
    <v>Glbl X Itrnt of Things (XNAS:SNSR)</v>
    <v>25963</v>
    <v>71137</v>
  </rv>
  <rv s="2">
    <v>98</v>
  </rv>
  <rv s="0">
    <v>https://www.bing.com/financeapi/forcetrigger?t=a25lrw&amp;q=ARCX%3aVTI&amp;form=skydnc</v>
    <v>Learn more on Bing</v>
  </rv>
  <rv s="5">
    <v>en-US</v>
    <v>a25lrw</v>
    <v>268435456</v>
    <v>268435459</v>
    <v>1</v>
    <v>7</v>
    <v>Vanguard TSM Idx;ETF (ARCX:VTI)</v>
    <v>2</v>
    <v>8</v>
    <v>Finance</v>
    <v>9</v>
    <v>172.55670000000001</v>
    <v>109.49</v>
    <v>1.0003</v>
    <v>1.0322</v>
    <v>6.2770000000000005E-3</v>
    <v>USD</v>
    <v>NYSE Arca</v>
    <v>ARCX</v>
    <v>4.0000000000000002E-4</v>
    <v>165.9</v>
    <v>ETF</v>
    <v>44033.715902777774</v>
    <v>100</v>
    <v>165.05199999999999</v>
    <v>143380330706</v>
    <v>Vanguard TSM Idx;ETF</v>
    <v>165.625</v>
    <v>164.45</v>
    <v>165.48220000000001</v>
    <v>VTI</v>
    <v>Vanguard TSM Idx;ETF (ARCX:VTI)</v>
    <v>1355234</v>
    <v>3300814</v>
  </rv>
  <rv s="2">
    <v>101</v>
  </rv>
  <rv s="0">
    <v>https://www.bing.com/financeapi/forcetrigger?t=a1vwrw&amp;q=ARCX%3aIVV&amp;form=skydnc</v>
    <v>Learn more on Bing</v>
  </rv>
  <rv s="5">
    <v>en-US</v>
    <v>a1vwrw</v>
    <v>268435456</v>
    <v>268435459</v>
    <v>1</v>
    <v>7</v>
    <v>iShares:Core S&amp;P 500 (ARCX:IVV)</v>
    <v>2</v>
    <v>8</v>
    <v>Finance</v>
    <v>9</v>
    <v>340.63119999999998</v>
    <v>220.2756</v>
    <v>1</v>
    <v>2.0299999999999998</v>
    <v>6.2360000000000002E-3</v>
    <v>USD</v>
    <v>NYSE Arca</v>
    <v>ARCX</v>
    <v>4.0000000000000002E-4</v>
    <v>328.22</v>
    <v>ETF</v>
    <v>44033.714791666665</v>
    <v>103</v>
    <v>326.76</v>
    <v>194759762074.48001</v>
    <v>iShares:Core S&amp;P 500</v>
    <v>327.71</v>
    <v>325.55</v>
    <v>327.58</v>
    <v>IVV</v>
    <v>iShares:Core S&amp;P 500 (ARCX:IVV)</v>
    <v>1600150</v>
    <v>4184263</v>
  </rv>
  <rv s="2">
    <v>104</v>
  </rv>
  <rv s="0">
    <v>https://www.bing.com/financeapi/forcetrigger?t=a25hm7&amp;q=ARCX%3aVOO&amp;form=skydnc</v>
    <v>Learn more on Bing</v>
  </rv>
  <rv s="5">
    <v>en-US</v>
    <v>a25hm7</v>
    <v>268435456</v>
    <v>268435459</v>
    <v>1</v>
    <v>7</v>
    <v>Vanguard 500 Idx;ETF (ARCX:VOO)</v>
    <v>2</v>
    <v>8</v>
    <v>Finance</v>
    <v>9</v>
    <v>311.58999999999997</v>
    <v>200.55</v>
    <v>1.0004999999999999</v>
    <v>1.825</v>
    <v>6.1260000000000004E-3</v>
    <v>USD</v>
    <v>NYSE Arca</v>
    <v>ARCX</v>
    <v>4.0000000000000002E-4</v>
    <v>300.35000000000002</v>
    <v>ETF</v>
    <v>44033.714803240742</v>
    <v>106</v>
    <v>298.99200000000002</v>
    <v>147733916353</v>
    <v>Vanguard 500 Idx;ETF</v>
    <v>299.87</v>
    <v>297.92</v>
    <v>299.745</v>
    <v>VOO</v>
    <v>Vanguard 500 Idx;ETF (ARCX:VOO)</v>
    <v>1753772</v>
    <v>3603826</v>
  </rv>
  <rv s="2">
    <v>107</v>
  </rv>
  <rv s="0">
    <v>http://en.wikipedia.org/wiki/Public_domain</v>
    <v>Public domain</v>
  </rv>
  <rv s="0">
    <v>http://en.wikipedia.org/wiki/Lowe's</v>
    <v>Wikipedia</v>
  </rv>
  <rv s="7">
    <v>109</v>
    <v>110</v>
  </rv>
  <rv s="8">
    <v>https://www.bing.com/th?id=AMMS_4afbc0a090454dfb219470553edb70e4&amp;qlt=95</v>
    <v>111</v>
    <v>https://www.bing.com/images/search?form=xlimg&amp;q=lowe%27s</v>
    <v>Image of LOWE`S COMPANIES, INC.</v>
    <v/>
  </rv>
  <rv s="0">
    <v>https://www.bing.com/financeapi/forcetrigger?t=a1x2ur&amp;q=XNYS%3aLOW&amp;form=skydnc</v>
    <v>Learn more on Bing</v>
  </rv>
  <rv s="9">
    <v>en-US</v>
    <v>a1x2ur</v>
    <v>268435456</v>
    <v>268435457</v>
    <v>1</v>
    <v>13</v>
    <v>LOWE`S COMPANIES, INC. (XNYS:LOW)</v>
    <v>15</v>
    <v>16</v>
    <v>Finance</v>
    <v>17</v>
    <v>145.26</v>
    <v>60</v>
    <v>1.419</v>
    <v>1.1200000000000001</v>
    <v>7.77E-3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145.91990000000001</v>
    <v>112</v>
    <v>Specialty Retailers</v>
    <v>Stock</v>
    <v>44033.715618310154</v>
    <v>113</v>
    <v>143.51849999999999</v>
    <v>109014900000</v>
    <v>LOWE`S COMPANIES, INC.</v>
    <v>LOWE`S COMPANIES, INC.</v>
    <v>143.96</v>
    <v>24.224799999999998</v>
    <v>144.13999999999999</v>
    <v>145.26</v>
    <v>755002800</v>
    <v>LOW</v>
    <v>LOWE`S COMPANIES, INC. (XNYS:LOW)</v>
    <v>1238626</v>
    <v>4148693</v>
    <v>1952</v>
  </rv>
  <rv s="2">
    <v>114</v>
  </rv>
  <rv s="0">
    <v>http://en.wikipedia.org/wiki/Costco</v>
    <v>Wikipedia</v>
  </rv>
  <rv s="7">
    <v>109</v>
    <v>116</v>
  </rv>
  <rv s="8">
    <v>https://www.bing.com/th?id=AMMS_90a82bf7d9bf620ad2bd5ec79a4882af&amp;qlt=95</v>
    <v>117</v>
    <v>https://www.bing.com/images/search?form=xlimg&amp;q=costco</v>
    <v>Image of COSTCO WHOLESALE CORPORATION</v>
    <v/>
  </rv>
  <rv s="0">
    <v>https://www.bing.com/financeapi/forcetrigger?t=a1q6k2&amp;q=XNAS%3aCOST&amp;form=skydnc</v>
    <v>Learn more on Bing</v>
  </rv>
  <rv s="9">
    <v>en-US</v>
    <v>a1q6k2</v>
    <v>268435456</v>
    <v>268435457</v>
    <v>1</v>
    <v>13</v>
    <v>COSTCO WHOLESALE CORPORATION (XNAS:COST)</v>
    <v>15</v>
    <v>16</v>
    <v>Finance</v>
    <v>17</v>
    <v>330.66</v>
    <v>262.70999999999998</v>
    <v>0.68769999999999998</v>
    <v>4.1500000000000004</v>
    <v>1.2709999999999999E-2</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331.15</v>
    <v>118</v>
    <v>Diversified Retail</v>
    <v>Stock</v>
    <v>44033.715150462966</v>
    <v>119</v>
    <v>326.5</v>
    <v>143402500000</v>
    <v>COSTCO WHOLESALE CORPORATION</v>
    <v>COSTCO WHOLESALE CORPORATION</v>
    <v>327</v>
    <v>38.617400000000004</v>
    <v>326.51</v>
    <v>330.66</v>
    <v>441523700</v>
    <v>COST</v>
    <v>COSTCO WHOLESALE CORPORATION (XNAS:COST)</v>
    <v>972388</v>
    <v>2448606</v>
    <v>1987</v>
  </rv>
  <rv s="2">
    <v>120</v>
  </rv>
  <rv s="0">
    <v>http://en.wikipedia.org/wiki/Honda</v>
    <v>Wikipedia</v>
  </rv>
  <rv s="7">
    <v>109</v>
    <v>122</v>
  </rv>
  <rv s="8">
    <v>https://www.bing.com/th?id=AMMS_65638ce82d623bac8d564989d24bda28&amp;qlt=95</v>
    <v>123</v>
    <v>https://www.bing.com/images/search?form=xlimg&amp;q=honda</v>
    <v>Image of HONDA MOTOR CO., LTD.</v>
    <v/>
  </rv>
  <rv s="0">
    <v>https://www.bing.com/financeapi/forcetrigger?t=a1uqyc&amp;q=XNYS%3aHMC&amp;form=skydnc</v>
    <v>Learn more on Bing</v>
  </rv>
  <rv s="9">
    <v>en-US</v>
    <v>a1uqyc</v>
    <v>268435456</v>
    <v>268435457</v>
    <v>1</v>
    <v>13</v>
    <v>HONDA MOTOR CO., LTD. (XNYS:HMC)</v>
    <v>15</v>
    <v>18</v>
    <v>Finance</v>
    <v>17</v>
    <v>29.44</v>
    <v>19.38</v>
    <v>0.92400000000000004</v>
    <v>-0.19</v>
    <v>-7.2459999999999998E-3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26.055</v>
    <v>124</v>
    <v>Automobiles &amp; Auto Parts</v>
    <v>Stock</v>
    <v>44033.715995370374</v>
    <v>125</v>
    <v>25.82</v>
    <v>47557170000</v>
    <v>HONDA MOTOR CO., LTD.</v>
    <v>HONDA MOTOR CO., LTD.</v>
    <v>25.84</v>
    <v>10.886699999999999</v>
    <v>26.22</v>
    <v>26.03</v>
    <v>1811428000</v>
    <v>HMC</v>
    <v>HONDA MOTOR CO., LTD. (XNYS:HMC)</v>
    <v>612392</v>
    <v>685213</v>
    <v>1948</v>
  </rv>
  <rv s="2">
    <v>126</v>
  </rv>
  <rv s="0">
    <v>https://www.bing.com/financeapi/forcetrigger?t=a1zfsm&amp;q=XNYS%3aPAG&amp;form=skydnc</v>
    <v>Learn more on Bing</v>
  </rv>
  <rv s="10">
    <v>en-US</v>
    <v>a1zfsm</v>
    <v>268435456</v>
    <v>268435457</v>
    <v>1</v>
    <v>19</v>
    <v>PENSKE AUTOMOTIVE GROUP, INC. (XNYS:PAG)</v>
    <v>20</v>
    <v>21</v>
    <v>Finance</v>
    <v>17</v>
    <v>53.81</v>
    <v>19.989999999999998</v>
    <v>1.7057</v>
    <v>1.01</v>
    <v>2.239E-2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46.24</v>
    <v>Specialty Retailers</v>
    <v>Stock</v>
    <v>44033.714593622659</v>
    <v>128</v>
    <v>45.23</v>
    <v>3702820000</v>
    <v>PENSKE AUTOMOTIVE GROUP, INC.</v>
    <v>PENSKE AUTOMOTIVE GROUP, INC.</v>
    <v>45.81</v>
    <v>8.5393000000000008</v>
    <v>45.11</v>
    <v>46.12</v>
    <v>80461100</v>
    <v>PAG</v>
    <v>PENSKE AUTOMOTIVE GROUP, INC. (XNYS:PAG)</v>
    <v>112118</v>
    <v>422966</v>
    <v>1990</v>
  </rv>
  <rv s="2">
    <v>129</v>
  </rv>
  <rv s="0">
    <v>https://www.bing.com/financeapi/forcetrigger?t=a1r4dm&amp;q=XNYS%3aDKS&amp;form=skydnc</v>
    <v>Learn more on Bing</v>
  </rv>
  <rv s="10">
    <v>en-US</v>
    <v>a1r4dm</v>
    <v>268435456</v>
    <v>268435457</v>
    <v>1</v>
    <v>19</v>
    <v>DICK'S SPORTING GOODS, INC. (XNYS:DKS)</v>
    <v>20</v>
    <v>21</v>
    <v>Finance</v>
    <v>17</v>
    <v>49.8</v>
    <v>13.46</v>
    <v>1.5858000000000001</v>
    <v>2.4300000000000002</v>
    <v>5.9881999999999998E-2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43.465000000000003</v>
    <v>Specialty Retailers</v>
    <v>Stock</v>
    <v>44033.716061307816</v>
    <v>131</v>
    <v>41.85</v>
    <v>3667339000</v>
    <v>DICK'S SPORTING GOODS, INC.</v>
    <v>DICK'S SPORTING GOODS, INC.</v>
    <v>42.134999999999998</v>
    <v>39.523200000000003</v>
    <v>40.58</v>
    <v>43.01</v>
    <v>89447300</v>
    <v>DKS</v>
    <v>DICK'S SPORTING GOODS, INC. (XNYS:DKS)</v>
    <v>2115425</v>
    <v>2123294</v>
    <v>1996</v>
  </rv>
  <rv s="2">
    <v>132</v>
  </rv>
  <rv s="0">
    <v>https://www.bing.com/financeapi/forcetrigger?t=a1u4fr&amp;q=XNYS%3aGPC&amp;form=skydnc</v>
    <v>Learn more on Bing</v>
  </rv>
  <rv s="10">
    <v>en-US</v>
    <v>a1u4fr</v>
    <v>268435456</v>
    <v>268435457</v>
    <v>1</v>
    <v>19</v>
    <v>GENUINE PARTS COMPANY (XNYS:GPC)</v>
    <v>20</v>
    <v>21</v>
    <v>Finance</v>
    <v>17</v>
    <v>108.58</v>
    <v>49.680999999999997</v>
    <v>1.0992</v>
    <v>1.6950000000000001</v>
    <v>1.9474000000000002E-2</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88.93</v>
    <v>Automobiles &amp; Auto Parts</v>
    <v>Stock</v>
    <v>44033.714699074073</v>
    <v>134</v>
    <v>87.08</v>
    <v>12674710000</v>
    <v>GENUINE PARTS COMPANY</v>
    <v>GENUINE PARTS COMPANY</v>
    <v>87.13</v>
    <v>21.308700000000002</v>
    <v>87.04</v>
    <v>88.734999999999999</v>
    <v>144260300</v>
    <v>GPC</v>
    <v>GENUINE PARTS COMPANY (XNYS:GPC)</v>
    <v>165943</v>
    <v>765834</v>
    <v>1928</v>
  </rv>
  <rv s="2">
    <v>135</v>
  </rv>
  <rv s="0">
    <v>http://en.wikipedia.org/wiki/The_Coca-Cola_Company</v>
    <v>Wikipedia</v>
  </rv>
  <rv s="7">
    <v>109</v>
    <v>137</v>
  </rv>
  <rv s="8">
    <v>https://www.bing.com/th?id=AMMS_c244bad2af0aa117b9f67bcd11fd44e9&amp;qlt=95</v>
    <v>138</v>
    <v>https://www.bing.com/images/search?form=xlimg&amp;q=the+coca-cola+company</v>
    <v>Image of THE COCA-COLA COMPANY</v>
    <v/>
  </rv>
  <rv s="0">
    <v>https://www.bing.com/financeapi/forcetrigger?t=a1wljc&amp;q=XNYS%3aKO&amp;form=skydnc</v>
    <v>Learn more on Bing</v>
  </rv>
  <rv s="9">
    <v>en-US</v>
    <v>a1wljc</v>
    <v>268435456</v>
    <v>268435457</v>
    <v>1</v>
    <v>13</v>
    <v>THE COCA-COLA COMPANY (XNYS:KO)</v>
    <v>15</v>
    <v>16</v>
    <v>Finance</v>
    <v>17</v>
    <v>60.13</v>
    <v>36.270000000000003</v>
    <v>0.54249999999999998</v>
    <v>1.25</v>
    <v>2.7132999999999997E-2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47.99</v>
    <v>139</v>
    <v>Beverages</v>
    <v>Stock</v>
    <v>44033.715647557816</v>
    <v>140</v>
    <v>46.935000000000002</v>
    <v>201086800000</v>
    <v>THE COCA-COLA COMPANY</v>
    <v>THE COCA-COLA COMPANY</v>
    <v>47.56</v>
    <v>19.882400000000001</v>
    <v>46.07</v>
    <v>47.32</v>
    <v>4294891000</v>
    <v>KO</v>
    <v>THE COCA-COLA COMPANY (XNYS:KO)</v>
    <v>16234319</v>
    <v>16866212</v>
    <v>1919</v>
  </rv>
  <rv s="2">
    <v>141</v>
  </rv>
  <rv s="0">
    <v>http://en.wikipedia.org/wiki/AT&amp;T</v>
    <v>Wikipedia</v>
  </rv>
  <rv s="7">
    <v>109</v>
    <v>143</v>
  </rv>
  <rv s="8">
    <v>https://www.bing.com/th?id=AMMS_25dbea32b4516ce1661da911a36f7ad2&amp;qlt=95</v>
    <v>144</v>
    <v>https://www.bing.com/images/search?form=xlimg&amp;q=at%26t</v>
    <v>Image of AT&amp;T INC.</v>
    <v/>
  </rv>
  <rv s="0">
    <v>https://www.bing.com/financeapi/forcetrigger?t=a23www&amp;q=XNYS%3aT&amp;form=skydnc</v>
    <v>Learn more on Bing</v>
  </rv>
  <rv s="9">
    <v>en-US</v>
    <v>a23www</v>
    <v>268435456</v>
    <v>268435457</v>
    <v>1</v>
    <v>13</v>
    <v>AT&amp;T INC. (XNYS:T)</v>
    <v>15</v>
    <v>16</v>
    <v>Finance</v>
    <v>17</v>
    <v>39.700000000000003</v>
    <v>26.08</v>
    <v>0.66639999999999999</v>
    <v>0.53500000000000003</v>
    <v>1.7917000000000002E-2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30.42</v>
    <v>145</v>
    <v>Telecommunications Services</v>
    <v>Stock</v>
    <v>44033.715878043753</v>
    <v>146</v>
    <v>29.85</v>
    <v>215531300000</v>
    <v>AT&amp;T INC.</v>
    <v>AT&amp;T INC.</v>
    <v>29.85</v>
    <v>15.185700000000001</v>
    <v>29.86</v>
    <v>30.395</v>
    <v>7125000000</v>
    <v>T</v>
    <v>AT&amp;T INC. (XNYS:T)</v>
    <v>18481276</v>
    <v>39258065</v>
    <v>1983</v>
  </rv>
  <rv s="2">
    <v>147</v>
  </rv>
  <rv s="0">
    <v>http://pl.wikipedia.org/wiki/Starbucks</v>
    <v>Wikipedia</v>
  </rv>
  <rv s="7">
    <v>109</v>
    <v>149</v>
  </rv>
  <rv s="8">
    <v>https://www.bing.com/th?id=AMMS_e27b6f4d10a663f3cbffe838112b48be&amp;qlt=95</v>
    <v>150</v>
    <v>https://www.bing.com/images/search?form=xlimg&amp;q=starbucks</v>
    <v>Image of STARBUCKS CORPORATION</v>
    <v/>
  </rv>
  <rv s="0">
    <v>https://www.bing.com/financeapi/forcetrigger?t=a22k9c&amp;q=XNAS%3aSBUX&amp;form=skydnc</v>
    <v>Learn more on Bing</v>
  </rv>
  <rv s="9">
    <v>en-US</v>
    <v>a22k9c</v>
    <v>268435456</v>
    <v>268435457</v>
    <v>1</v>
    <v>13</v>
    <v>STARBUCKS CORPORATION (XNAS:SBUX)</v>
    <v>15</v>
    <v>16</v>
    <v>Finance</v>
    <v>17</v>
    <v>99.72</v>
    <v>50.02</v>
    <v>0.77939999999999998</v>
    <v>1.53</v>
    <v>2.0411000000000002E-2</v>
    <v>USD</v>
    <v>Starbucks Corporation (Starbucks) is a roaster, marketer and retailer of coffee. As of October 2, 2016, the Company operated in 75 countries. The Company operates through four segments: Americas, which is inclusive of the United States, Canada, and Latin America; China/Asia Pacific (CAP); Europe, Middle East, and Africa (EMEA), and Channel Development. The Company's Americas, CAP, and EMEA segments include both company-operated and licensed stores. Its Channel Development segment includes roasted whole bean and ground coffees, Tazo teas, Starbucks- and Tazo-branded single-serve products, a range of ready-to-drink beverages, such as Frappuccino, Starbucks Doubleshot and Starbucks Refreshers beverages and other branded products sold across the world through channels, such as grocery stores, warehouse clubs, specialty retailers, convenience stores and the United States foodservice accounts.</v>
    <v>346000</v>
    <v>Nasdaq Stock Market</v>
    <v>XNAS</v>
    <v>XNAS</v>
    <v>2401 Utah Ave S, SEATTLE, WA, 98134-1436 US</v>
    <v>76.8</v>
    <v>151</v>
    <v>Hotels &amp; Entertainment Services</v>
    <v>Stock</v>
    <v>44033.714907626563</v>
    <v>152</v>
    <v>75.34</v>
    <v>86641130000</v>
    <v>STARBUCKS CORPORATION</v>
    <v>STARBUCKS CORPORATION</v>
    <v>75.739999999999995</v>
    <v>26.674399999999999</v>
    <v>74.959999999999994</v>
    <v>76.489999999999995</v>
    <v>1168300000</v>
    <v>SBUX</v>
    <v>STARBUCKS CORPORATION (XNAS:SBUX)</v>
    <v>5556977</v>
    <v>9238481</v>
    <v>1985</v>
  </rv>
  <rv s="2">
    <v>153</v>
  </rv>
  <rv s="0">
    <v>http://en.wikipedia.org/wiki/JPMorgan_Chase</v>
    <v>Wikipedia</v>
  </rv>
  <rv s="7">
    <v>109</v>
    <v>155</v>
  </rv>
  <rv s="8">
    <v>https://www.bing.com/th?id=AMMS_06392bb84e5fdc62d2356a2306f4ae1e&amp;qlt=95</v>
    <v>156</v>
    <v>https://www.bing.com/images/search?form=xlimg&amp;q=jpmorgan+chase</v>
    <v>Image of JPMORGAN CHASE &amp; CO.</v>
    <v/>
  </rv>
  <rv s="0">
    <v>https://www.bing.com/financeapi/forcetrigger?t=a1waa2&amp;q=XNYS%3aJPM&amp;form=skydnc</v>
    <v>Learn more on Bing</v>
  </rv>
  <rv s="9">
    <v>en-US</v>
    <v>a1waa2</v>
    <v>268435456</v>
    <v>268435457</v>
    <v>1</v>
    <v>13</v>
    <v>JPMORGAN CHASE &amp; CO. (XNYS:JPM)</v>
    <v>15</v>
    <v>16</v>
    <v>Finance</v>
    <v>17</v>
    <v>141.1</v>
    <v>76.91</v>
    <v>1.1632</v>
    <v>2.42</v>
    <v>2.4874E-2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100.05</v>
    <v>157</v>
    <v>Banking Services</v>
    <v>Stock</v>
    <v>44033.716089501562</v>
    <v>158</v>
    <v>97.65</v>
    <v>299095800000</v>
    <v>JPMORGAN CHASE &amp; CO.</v>
    <v>JPMORGAN CHASE &amp; CO.</v>
    <v>97.73</v>
    <v>13.1165</v>
    <v>97.29</v>
    <v>99.71</v>
    <v>3047023000</v>
    <v>JPM</v>
    <v>JPMORGAN CHASE &amp; CO. (XNYS:JPM)</v>
    <v>10015472</v>
    <v>23434871</v>
    <v>1968</v>
  </rv>
  <rv s="2">
    <v>159</v>
  </rv>
  <rv s="0">
    <v>http://en.wikipedia.org/wiki/Chevron_Corporation</v>
    <v>Wikipedia</v>
  </rv>
  <rv s="7">
    <v>109</v>
    <v>161</v>
  </rv>
  <rv s="8">
    <v>https://www.bing.com/th?id=AMMS_2d49dc55c1faf81186e7649c0d153e02&amp;qlt=95</v>
    <v>162</v>
    <v>https://www.bing.com/images/search?form=xlimg&amp;q=chevron+corporation</v>
    <v>Image of CHEVRON CORPORATION</v>
    <v/>
  </rv>
  <rv s="0">
    <v>https://www.bing.com/financeapi/forcetrigger?t=a1qlz2&amp;q=XNYS%3aCVX&amp;form=skydnc</v>
    <v>Learn more on Bing</v>
  </rv>
  <rv s="9">
    <v>en-US</v>
    <v>a1qlz2</v>
    <v>268435456</v>
    <v>268435457</v>
    <v>1</v>
    <v>13</v>
    <v>CHEVRON CORPORATION (XNYS:CVX)</v>
    <v>15</v>
    <v>16</v>
    <v>Finance</v>
    <v>17</v>
    <v>127</v>
    <v>51.6</v>
    <v>1.2721</v>
    <v>6.15</v>
    <v>7.2123999999999994E-2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91.52</v>
    <v>163</v>
    <v>Oil &amp; Gas</v>
    <v>Stock</v>
    <v>44033.715757962498</v>
    <v>164</v>
    <v>86.36</v>
    <v>162781900000</v>
    <v>CHEVRON CORPORATION</v>
    <v>CHEVRON CORPORATION</v>
    <v>86.54</v>
    <v>42.2562</v>
    <v>85.27</v>
    <v>91.42</v>
    <v>1866979000</v>
    <v>CVX</v>
    <v>CHEVRON CORPORATION (XNYS:CVX)</v>
    <v>7827383</v>
    <v>7978299</v>
    <v>1926</v>
  </rv>
  <rv s="2">
    <v>165</v>
  </rv>
  <rv s="0">
    <v>https://www.bing.com/financeapi/forcetrigger?t=a1qa5r&amp;q=XNYS%3aCQP&amp;form=skydnc</v>
    <v>Learn more on Bing</v>
  </rv>
  <rv s="11">
    <v>en-US</v>
    <v>a1qa5r</v>
    <v>268435456</v>
    <v>268435459</v>
    <v>1</v>
    <v>22</v>
    <v>CHENIERE ENERGY PARTNERS UNT (XNYS:CQP)</v>
    <v>2</v>
    <v>23</v>
    <v>Finance</v>
    <v>9</v>
    <v>49.3</v>
    <v>17.75</v>
    <v>0.98</v>
    <v>2.8815E-2</v>
    <v>USD</v>
    <v>New York Stock Exchange</v>
    <v>XNYS</v>
    <v>35.091999999999999</v>
    <v>ETF</v>
    <v>44033.714618055557</v>
    <v>167</v>
    <v>34.107999999999997</v>
    <v>CHENIERE ENERGY PARTNERS UNT</v>
    <v>34.33</v>
    <v>34.01</v>
    <v>34.99</v>
    <v>CQP</v>
    <v>CHENIERE ENERGY PARTNERS UNT (XNYS:CQP)</v>
    <v>59717</v>
    <v>372050</v>
  </rv>
  <rv s="2">
    <v>168</v>
  </rv>
  <rv s="0">
    <v>https://creativecommons.org/licenses/by/2.0</v>
    <v>CC BY 2.0</v>
  </rv>
  <rv s="0">
    <v>http://sv.wikipedia.org/wiki/Las_Vegas_Sands</v>
    <v>Wikipedia</v>
  </rv>
  <rv s="7">
    <v>170</v>
    <v>171</v>
  </rv>
  <rv s="8">
    <v>https://www.bing.com/th?id=AMMS_0906c9459990b0fab2037038e2dfe1bd&amp;qlt=95</v>
    <v>172</v>
    <v>https://www.bing.com/images/search?form=xlimg&amp;q=las+vegas+sands</v>
    <v>Image of LAS VEGAS SANDS CORP.</v>
    <v/>
  </rv>
  <rv s="0">
    <v>https://www.bing.com/financeapi/forcetrigger?t=a1x7im&amp;q=XNYS%3aLVS&amp;form=skydnc</v>
    <v>Learn more on Bing</v>
  </rv>
  <rv s="9">
    <v>en-US</v>
    <v>a1x7im</v>
    <v>268435456</v>
    <v>268435457</v>
    <v>1</v>
    <v>13</v>
    <v>LAS VEGAS SANDS CORP. (XNYS:LVS)</v>
    <v>15</v>
    <v>16</v>
    <v>Finance</v>
    <v>17</v>
    <v>74.290000000000006</v>
    <v>33.299999999999997</v>
    <v>1.5916999999999999</v>
    <v>1.34</v>
    <v>2.8354000000000001E-2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48.98</v>
    <v>173</v>
    <v>Hotels &amp; Entertainment Services</v>
    <v>Stock</v>
    <v>44033.715648148151</v>
    <v>174</v>
    <v>47.58</v>
    <v>37186000000</v>
    <v>LAS VEGAS SANDS CORP.</v>
    <v>LAS VEGAS SANDS CORP.</v>
    <v>47.79</v>
    <v>17.214300000000001</v>
    <v>47.26</v>
    <v>48.6</v>
    <v>763729700</v>
    <v>LVS</v>
    <v>LAS VEGAS SANDS CORP. (XNYS:LVS)</v>
    <v>2669973</v>
    <v>6209775</v>
    <v>2004</v>
  </rv>
  <rv s="2">
    <v>175</v>
  </rv>
  <rv s="0">
    <v>http://en.wikipedia.org/wiki/Bank_of_America</v>
    <v>Wikipedia</v>
  </rv>
  <rv s="7">
    <v>109</v>
    <v>177</v>
  </rv>
  <rv s="8">
    <v>https://www.bing.com/th?id=AMMS_0720042c42661f705c810fedd777349a&amp;qlt=95</v>
    <v>178</v>
    <v>https://www.bing.com/images/search?form=xlimg&amp;q=bank+of+america</v>
    <v>Image of BANK OF AMERICA CORPORATION</v>
    <v/>
  </rv>
  <rv s="0">
    <v>https://www.bing.com/financeapi/forcetrigger?t=a1o4sm&amp;q=XNYS%3aBAC&amp;form=skydnc</v>
    <v>Learn more on Bing</v>
  </rv>
  <rv s="9">
    <v>en-US</v>
    <v>a1o4sm</v>
    <v>268435456</v>
    <v>268435457</v>
    <v>1</v>
    <v>13</v>
    <v>BANK OF AMERICA CORPORATION (XNYS:BAC)</v>
    <v>15</v>
    <v>16</v>
    <v>Finance</v>
    <v>17</v>
    <v>35.72</v>
    <v>17.95</v>
    <v>1.5609</v>
    <v>0.85</v>
    <v>3.6032000000000002E-2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24.48</v>
    <v>179</v>
    <v>Banking Services</v>
    <v>Stock</v>
    <v>44033.715596353904</v>
    <v>180</v>
    <v>23.69</v>
    <v>201180000000</v>
    <v>BANK OF AMERICA CORPORATION</v>
    <v>BANK OF AMERICA CORPORATION</v>
    <v>23.75</v>
    <v>11.3256</v>
    <v>23.59</v>
    <v>24.44</v>
    <v>8664082000</v>
    <v>BAC</v>
    <v>BANK OF AMERICA CORPORATION (XNYS:BAC)</v>
    <v>44015701</v>
    <v>70097081</v>
    <v>1998</v>
  </rv>
  <rv s="2">
    <v>181</v>
  </rv>
  <rv s="0">
    <v>https://www.bing.com/financeapi/forcetrigger?t=a1xrr7&amp;q=XNYS%3aMMP&amp;form=skydnc</v>
    <v>Learn more on Bing</v>
  </rv>
  <rv s="11">
    <v>en-US</v>
    <v>a1xrr7</v>
    <v>268435456</v>
    <v>268435459</v>
    <v>1</v>
    <v>22</v>
    <v>MAGELLAN MIDSTREAM PARTNERS UNT (XNYS:MMP)</v>
    <v>2</v>
    <v>23</v>
    <v>Finance</v>
    <v>9</v>
    <v>67.75</v>
    <v>22.02</v>
    <v>1.33</v>
    <v>3.2336000000000004E-2</v>
    <v>USD</v>
    <v>New York Stock Exchange</v>
    <v>XNYS</v>
    <v>42.59</v>
    <v>ETF</v>
    <v>44033.715518483594</v>
    <v>183</v>
    <v>41.34</v>
    <v>MAGELLAN MIDSTREAM PARTNERS UNT</v>
    <v>41.7</v>
    <v>41.13</v>
    <v>42.46</v>
    <v>MMP</v>
    <v>MAGELLAN MIDSTREAM PARTNERS UNT (XNYS:MMP)</v>
    <v>471046</v>
    <v>1365996</v>
  </rv>
  <rv s="2">
    <v>184</v>
  </rv>
  <rv s="0">
    <v>http://ja.wikipedia.org/wiki/コノコフィリップス</v>
    <v>Wikipedia</v>
  </rv>
  <rv s="7">
    <v>109</v>
    <v>186</v>
  </rv>
  <rv s="8">
    <v>https://www.bing.com/th?id=AMMS_328c42228a7a7c01496b8aa73b7a09ba&amp;qlt=95</v>
    <v>187</v>
    <v>https://www.bing.com/images/search?form=xlimg&amp;q=conocophillips</v>
    <v>Image of CONOCOPHILLIPS</v>
    <v/>
  </rv>
  <rv s="0">
    <v>https://www.bing.com/financeapi/forcetrigger?t=a1q5nm&amp;q=XNYS%3aCOP&amp;form=skydnc</v>
    <v>Learn more on Bing</v>
  </rv>
  <rv s="9">
    <v>en-US</v>
    <v>a1q5nm</v>
    <v>268435456</v>
    <v>268435457</v>
    <v>1</v>
    <v>13</v>
    <v>CONOCOPHILLIPS (XNYS:COP)</v>
    <v>15</v>
    <v>16</v>
    <v>Finance</v>
    <v>17</v>
    <v>67.13</v>
    <v>20.84</v>
    <v>1.6606000000000001</v>
    <v>2.4049999999999998</v>
    <v>6.1148999999999995E-2</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10400</v>
    <v>New York Stock Exchange</v>
    <v>XNYS</v>
    <v>XNYS</v>
    <v>925 N Eldridge Pkwy, HOUSTON, TX, 77079-2703 US</v>
    <v>42.08</v>
    <v>188</v>
    <v>Oil &amp; Gas</v>
    <v>Stock</v>
    <v>44033.715019710158</v>
    <v>189</v>
    <v>40.04</v>
    <v>42854110000</v>
    <v>CONOCOPHILLIPS</v>
    <v>CONOCOPHILLIPS</v>
    <v>40.04</v>
    <v>12.317299999999999</v>
    <v>39.33</v>
    <v>41.734999999999999</v>
    <v>1072425000</v>
    <v>COP</v>
    <v>CONOCOPHILLIPS (XNYS:COP)</v>
    <v>4400798</v>
    <v>6613566</v>
    <v>2001</v>
  </rv>
  <rv s="2">
    <v>190</v>
  </rv>
  <rv s="0">
    <v>http://en.wikipedia.org/wiki/Wyndham_Destinations</v>
    <v>Wikipedia</v>
  </rv>
  <rv s="7">
    <v>109</v>
    <v>192</v>
  </rv>
  <rv s="8">
    <v>https://www.bing.com/th?id=AMMS_5a814ff30fd1ffac245379798a819c9e&amp;qlt=95</v>
    <v>193</v>
    <v>https://www.bing.com/images/search?form=xlimg&amp;q=wyndham+worldwide</v>
    <v>Image of WYNDHAM DESTINATIONS, INC.</v>
    <v/>
  </rv>
  <rv s="0">
    <v>https://www.bing.com/financeapi/forcetrigger?t=b16nh7&amp;q=XNYS%3aWYND&amp;form=skydnc</v>
    <v>Learn more on Bing</v>
  </rv>
  <rv s="9">
    <v>en-US</v>
    <v>b16nh7</v>
    <v>268435456</v>
    <v>268435457</v>
    <v>1</v>
    <v>13</v>
    <v>WYNDHAM DESTINATIONS, INC. (XNYS:WYND)</v>
    <v>15</v>
    <v>16</v>
    <v>Finance</v>
    <v>17</v>
    <v>53.13</v>
    <v>13.74</v>
    <v>1.9323999999999999</v>
    <v>2.04</v>
    <v>7.2161000000000003E-2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30.39</v>
    <v>194</v>
    <v>Hotels &amp; Entertainment Services</v>
    <v>Stock</v>
    <v>44033.715150462966</v>
    <v>195</v>
    <v>28.8</v>
    <v>2615342000</v>
    <v>WYNDHAM DESTINATIONS, INC.</v>
    <v>WYNDHAM DESTINATIONS, INC.</v>
    <v>29.46</v>
    <v>9.6844000000000001</v>
    <v>28.27</v>
    <v>30.31</v>
    <v>85134820</v>
    <v>WYND</v>
    <v>WYNDHAM DESTINATIONS, INC. (XNYS:WYND)</v>
    <v>854270</v>
    <v>1277725</v>
    <v>2003</v>
  </rv>
  <rv s="2">
    <v>196</v>
  </rv>
  <rv s="0">
    <v>http://en.wikipedia.org/wiki/ExxonMobil</v>
    <v>Wikipedia</v>
  </rv>
  <rv s="7">
    <v>109</v>
    <v>198</v>
  </rv>
  <rv s="8">
    <v>https://www.bing.com/th?id=AMMS_a92fdfeb8644bf85ee9299accf15739c&amp;qlt=95</v>
    <v>199</v>
    <v>https://www.bing.com/images/search?form=xlimg&amp;q=exxon+mobil</v>
    <v>Image of EXXON MOBIL CORPORATION</v>
    <v/>
  </rv>
  <rv s="0">
    <v>https://www.bing.com/financeapi/forcetrigger?t=a269ec&amp;q=XNYS%3aXOM&amp;form=skydnc</v>
    <v>Learn more on Bing</v>
  </rv>
  <rv s="9">
    <v>en-US</v>
    <v>a269ec</v>
    <v>268435456</v>
    <v>268435457</v>
    <v>1</v>
    <v>13</v>
    <v>EXXON MOBIL CORPORATION (XNYS:XOM)</v>
    <v>15</v>
    <v>16</v>
    <v>Finance</v>
    <v>17</v>
    <v>76.05</v>
    <v>30.11</v>
    <v>1.3089</v>
    <v>2.38</v>
    <v>5.5993000000000001E-2</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45.19</v>
    <v>200</v>
    <v>Oil &amp; Gas</v>
    <v>Stock</v>
    <v>44033.715401747657</v>
    <v>201</v>
    <v>43.11</v>
    <v>184011800000</v>
    <v>EXXON MOBIL CORPORATION</v>
    <v>EXXON MOBIL CORPORATION</v>
    <v>43.12</v>
    <v>17.058299999999999</v>
    <v>42.505000000000003</v>
    <v>44.884999999999998</v>
    <v>4228211000</v>
    <v>XOM</v>
    <v>EXXON MOBIL CORPORATION (XNYS:XOM)</v>
    <v>16124272</v>
    <v>21868229</v>
    <v>1882</v>
  </rv>
  <rv s="2">
    <v>202</v>
  </rv>
  <rv s="0">
    <v>https://www.bing.com/financeapi/forcetrigger?t=a25e77&amp;q=XNYS%3aVLO&amp;form=skydnc</v>
    <v>Learn more on Bing</v>
  </rv>
  <rv s="10">
    <v>en-US</v>
    <v>a25e77</v>
    <v>268435456</v>
    <v>268435457</v>
    <v>1</v>
    <v>19</v>
    <v>VALERO ENERGY CORPORATION (XNYS:VLO)</v>
    <v>20</v>
    <v>21</v>
    <v>Finance</v>
    <v>17</v>
    <v>101.99</v>
    <v>31</v>
    <v>1.9061999999999999</v>
    <v>3.3357000000000001</v>
    <v>6.1386000000000003E-2</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57.83</v>
    <v>Oil &amp; Gas</v>
    <v>Stock</v>
    <v>44033.716290138284</v>
    <v>204</v>
    <v>55.02</v>
    <v>22615040000</v>
    <v>VALERO ENERGY CORPORATION</v>
    <v>VALERO ENERGY CORPORATION</v>
    <v>55.37</v>
    <v>55.2134</v>
    <v>54.34</v>
    <v>57.675699999999999</v>
    <v>407698600</v>
    <v>VLO</v>
    <v>VALERO ENERGY CORPORATION (XNYS:VLO)</v>
    <v>2031352</v>
    <v>4486786</v>
    <v>1981</v>
  </rv>
  <rv s="2">
    <v>205</v>
  </rv>
  <rv s="0">
    <v>http://en.wikipedia.org/wiki/H&amp;R_Block</v>
    <v>Wikipedia</v>
  </rv>
  <rv s="7">
    <v>109</v>
    <v>207</v>
  </rv>
  <rv s="8">
    <v>https://www.bing.com/th?id=AMMS_d132f0c8d3455e1bb112e94f5d892d58&amp;qlt=95</v>
    <v>208</v>
    <v>https://www.bing.com/images/search?form=xlimg&amp;q=h%26r+block</v>
    <v>Image of H &amp; R BLOCK, INC.</v>
    <v/>
  </rv>
  <rv s="0">
    <v>https://www.bing.com/financeapi/forcetrigger?t=a1uuvh&amp;q=XNYS%3aHRB&amp;form=skydnc</v>
    <v>Learn more on Bing</v>
  </rv>
  <rv s="9">
    <v>en-US</v>
    <v>a1uuvh</v>
    <v>268435456</v>
    <v>268435457</v>
    <v>1</v>
    <v>13</v>
    <v>H &amp; R BLOCK, INC. (XNYS:HRB)</v>
    <v>15</v>
    <v>16</v>
    <v>Finance</v>
    <v>17</v>
    <v>28.21</v>
    <v>11.290100000000001</v>
    <v>0.7742</v>
    <v>0.41</v>
    <v>2.8996000000000001E-2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14.77</v>
    <v>209</v>
    <v>Personal &amp; Household Products &amp; Services</v>
    <v>Stock</v>
    <v>44033.715441851564</v>
    <v>210</v>
    <v>14.29</v>
    <v>2837086000</v>
    <v>H &amp; R BLOCK, INC.</v>
    <v>H &amp; R BLOCK, INC.</v>
    <v>14.33</v>
    <v>148.3424</v>
    <v>14.14</v>
    <v>14.55</v>
    <v>192475300</v>
    <v>HRB</v>
    <v>H &amp; R BLOCK, INC. (XNYS:HRB)</v>
    <v>1100698</v>
    <v>4211955</v>
    <v>1955</v>
  </rv>
  <rv s="2">
    <v>211</v>
  </rv>
  <rv s="0">
    <v>http://creativecommons.org/licenses/by-sa/3.0/</v>
    <v>CC-BY-SA-3.0</v>
  </rv>
  <rv s="0">
    <v>http://sv.wikipedia.org/wiki/Shell</v>
    <v>Wikipedia</v>
  </rv>
  <rv s="7">
    <v>213</v>
    <v>214</v>
  </rv>
  <rv s="8">
    <v>https://www.bing.com/th?id=AMMS_982b67ee8686548274ef55ed627e1e1f&amp;qlt=95</v>
    <v>215</v>
    <v>https://www.bing.com/images/search?form=xlimg&amp;q=royal+dutch+shell</v>
    <v>Image of ROYAL DUTCH SHELL PLC</v>
    <v/>
  </rv>
  <rv s="0">
    <v>https://www.bing.com/financeapi/forcetrigger?t=a21t52&amp;q=XNYS%3aRDS.A&amp;form=skydnc</v>
    <v>Learn more on Bing</v>
  </rv>
  <rv s="9">
    <v>en-US</v>
    <v>a21t52</v>
    <v>268435456</v>
    <v>268435457</v>
    <v>1</v>
    <v>13</v>
    <v>ROYAL DUTCH SHELL PLC (XNYS:RDS.A)</v>
    <v>15</v>
    <v>16</v>
    <v>Finance</v>
    <v>17</v>
    <v>64.33</v>
    <v>21.254999999999999</v>
    <v>0.80969999999999998</v>
    <v>1.24</v>
    <v>3.8260000000000002E-2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33.880099999999999</v>
    <v>216</v>
    <v>Oil &amp; Gas</v>
    <v>Stock</v>
    <v>44033.715083124996</v>
    <v>217</v>
    <v>32.79</v>
    <v>125447300000</v>
    <v>ROYAL DUTCH SHELL PLC</v>
    <v>ROYAL DUTCH SHELL PLC</v>
    <v>32.840000000000003</v>
    <v>13.349500000000001</v>
    <v>32.409999999999997</v>
    <v>33.65</v>
    <v>3903712000</v>
    <v>RDS.A</v>
    <v>ROYAL DUTCH SHELL PLC (XNYS:RDS.A)</v>
    <v>4173493</v>
    <v>4974810</v>
    <v>2002</v>
  </rv>
  <rv s="2">
    <v>218</v>
  </rv>
  <rv s="0">
    <v>http://zh.wikipedia.org/wiki/芝樂坊餐館</v>
    <v>Wikipedia</v>
  </rv>
  <rv s="7">
    <v>109</v>
    <v>220</v>
  </rv>
  <rv s="8">
    <v>https://www.bing.com/th?id=AMMS_b7e2eab1a0465d4acb936b45513ab111&amp;qlt=95</v>
    <v>221</v>
    <v>https://www.bing.com/images/search?form=xlimg&amp;q=the+cheesecake+factory</v>
    <v>Image of THE CHEESECAKE FACTORY INCORPORATED</v>
    <v/>
  </rv>
  <rv s="0">
    <v>https://www.bing.com/financeapi/forcetrigger?t=a1p5h7&amp;q=XNAS%3aCAKE&amp;form=skydnc</v>
    <v>Learn more on Bing</v>
  </rv>
  <rv s="9">
    <v>en-US</v>
    <v>a1p5h7</v>
    <v>268435456</v>
    <v>268435457</v>
    <v>1</v>
    <v>13</v>
    <v>THE CHEESECAKE FACTORY INCORPORATED (XNAS:CAKE)</v>
    <v>15</v>
    <v>16</v>
    <v>Finance</v>
    <v>17</v>
    <v>45.24</v>
    <v>14.52</v>
    <v>1.3673</v>
    <v>0.755</v>
    <v>3.4348999999999998E-2</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22.83</v>
    <v>222</v>
    <v>Hotels &amp; Entertainment Services</v>
    <v>Stock</v>
    <v>44033.715462962966</v>
    <v>223</v>
    <v>22.02</v>
    <v>1026535000</v>
    <v>THE CHEESECAKE FACTORY INCORPORATED</v>
    <v>THE CHEESECAKE FACTORY INCORPORATED</v>
    <v>22.17</v>
    <v>10.3302</v>
    <v>21.98</v>
    <v>22.734999999999999</v>
    <v>45462130</v>
    <v>CAKE</v>
    <v>THE CHEESECAKE FACTORY INCORPORATED (XNAS:CAKE)</v>
    <v>815636</v>
    <v>3273437</v>
    <v>1992</v>
  </rv>
  <rv s="2">
    <v>224</v>
  </rv>
  <rv s="0">
    <v>https://creativecommons.org/licenses/by-sa/4.0</v>
    <v>CC BY-SA 4.0</v>
  </rv>
  <rv s="0">
    <v>http://en.wikipedia.org/wiki/Wells_Fargo</v>
    <v>Wikipedia</v>
  </rv>
  <rv s="7">
    <v>226</v>
    <v>227</v>
  </rv>
  <rv s="8">
    <v>https://www.bing.com/th?id=AMMS_97bd8dad8c0360a49d8c3a8c9f408be5&amp;qlt=95</v>
    <v>228</v>
    <v>https://www.bing.com/images/search?form=xlimg&amp;q=wells+fargo</v>
    <v>Image of WELLS FARGO &amp; COMPANY</v>
    <v/>
  </rv>
  <rv s="0">
    <v>https://www.bing.com/financeapi/forcetrigger?t=a25tgh&amp;q=XNYS%3aWFC&amp;form=skydnc</v>
    <v>Learn more on Bing</v>
  </rv>
  <rv s="9">
    <v>en-US</v>
    <v>a25tgh</v>
    <v>268435456</v>
    <v>268435457</v>
    <v>1</v>
    <v>13</v>
    <v>WELLS FARGO &amp; COMPANY (XNYS:WFC)</v>
    <v>15</v>
    <v>16</v>
    <v>Finance</v>
    <v>17</v>
    <v>54.75</v>
    <v>22</v>
    <v>1.1207</v>
    <v>1.4822</v>
    <v>6.0350000000000001E-2</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26.28</v>
    <v>229</v>
    <v>Banking Services</v>
    <v>Stock</v>
    <v>44033.715476203128</v>
    <v>230</v>
    <v>24.71</v>
    <v>102783000000</v>
    <v>WELLS FARGO &amp; COMPANY</v>
    <v>WELLS FARGO &amp; COMPANY</v>
    <v>24.74</v>
    <v>28.194400000000002</v>
    <v>24.56</v>
    <v>26.042200000000001</v>
    <v>4119559000</v>
    <v>WFC</v>
    <v>WELLS FARGO &amp; COMPANY (XNYS:WFC)</v>
    <v>32661046</v>
    <v>49991600</v>
    <v>1929</v>
  </rv>
  <rv s="2">
    <v>231</v>
  </rv>
  <rv s="0">
    <v>http://ja.wikipedia.org/wiki/シックス・フラッグス</v>
    <v>Wikipedia</v>
  </rv>
  <rv s="7">
    <v>109</v>
    <v>233</v>
  </rv>
  <rv s="8">
    <v>https://www.bing.com/th?id=AMMS_f277632c13de4db2ca85eddfe0a297c9&amp;qlt=95</v>
    <v>234</v>
    <v>https://www.bing.com/images/search?form=xlimg&amp;q=six+flags</v>
    <v>Image of SIX FLAGS ENTERTAINMENT CORPORATION</v>
    <v/>
  </rv>
  <rv s="0">
    <v>https://www.bing.com/financeapi/forcetrigger?t=a22zu2&amp;q=XNYS%3aSIX&amp;form=skydnc</v>
    <v>Learn more on Bing</v>
  </rv>
  <rv s="9">
    <v>en-US</v>
    <v>a22zu2</v>
    <v>268435456</v>
    <v>268435457</v>
    <v>1</v>
    <v>13</v>
    <v>SIX FLAGS ENTERTAINMENT CORPORATION (XNYS:SIX)</v>
    <v>15</v>
    <v>16</v>
    <v>Finance</v>
    <v>17</v>
    <v>59.52</v>
    <v>8.75</v>
    <v>2.1918000000000002</v>
    <v>0.52500000000000002</v>
    <v>2.5952000000000003E-2</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20.85</v>
    <v>235</v>
    <v>Hotels &amp; Entertainment Services</v>
    <v>Stock</v>
    <v>44033.715798587502</v>
    <v>236</v>
    <v>20.29</v>
    <v>1740308000</v>
    <v>SIX FLAGS ENTERTAINMENT CORPORATION</v>
    <v>SIX FLAGS ENTERTAINMENT CORPORATION</v>
    <v>20.46</v>
    <v>10.526199999999999</v>
    <v>20.23</v>
    <v>20.754999999999999</v>
    <v>84686500</v>
    <v>SIX</v>
    <v>SIX FLAGS ENTERTAINMENT CORPORATION (XNYS:SIX)</v>
    <v>662764</v>
    <v>2801649</v>
    <v>1997</v>
  </rv>
  <rv s="2">
    <v>237</v>
  </rv>
  <rv s="0">
    <v>https://www.bing.com/financeapi/forcetrigger?t=a1zez2&amp;q=XNYS%3aOXY&amp;form=skydnc</v>
    <v>Learn more on Bing</v>
  </rv>
  <rv s="10">
    <v>en-US</v>
    <v>a1zez2</v>
    <v>268435456</v>
    <v>268435457</v>
    <v>1</v>
    <v>19</v>
    <v>OCCIDENTAL PETROLEUM CORPORATION (XNYS:OXY)</v>
    <v>20</v>
    <v>21</v>
    <v>Finance</v>
    <v>17</v>
    <v>54.05</v>
    <v>9</v>
    <v>1.9124000000000001</v>
    <v>2.06</v>
    <v>0.13129399999999999</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18.03</v>
    <v>Oil &amp; Gas</v>
    <v>Stock</v>
    <v>44033.715354964843</v>
    <v>239</v>
    <v>16.07</v>
    <v>14948330000</v>
    <v>OCCIDENTAL PETROLEUM CORPORATION</v>
    <v>OCCIDENTAL PETROLEUM CORPORATION</v>
    <v>16.09</v>
    <v>0</v>
    <v>15.69</v>
    <v>17.75</v>
    <v>918202300</v>
    <v>OXY</v>
    <v>OCCIDENTAL PETROLEUM CORPORATION (XNYS:OXY)</v>
    <v>31300773</v>
    <v>29522526</v>
    <v>1986</v>
  </rv>
  <rv s="2">
    <v>240</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
    <k n="%cvi" t="r"/>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sourceattribution">
    <k n="License" t="r"/>
    <k n="Source" t="r"/>
  </s>
  <s t="_imageurl">
    <k n="Address" t="s"/>
    <k n="Attribution" t="r"/>
    <k n="More Images Address" t="s"/>
    <k n="Text" t="s"/>
    <k n="Blip Identifier"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4">
    <spb s="0">
      <v>0</v>
    </spb>
    <spb s="1">
      <v>0</v>
      <v>0</v>
      <v>0</v>
    </spb>
    <spb s="2">
      <v>1</v>
    </spb>
    <spb s="3">
      <v>1</v>
      <v>1</v>
      <v>2</v>
      <v>1</v>
      <v>1</v>
      <v>1</v>
      <v>3</v>
      <v>4</v>
      <v>5</v>
      <v>1</v>
      <v>1</v>
      <v>1</v>
      <v>3</v>
      <v>6</v>
      <v>7</v>
      <v>8</v>
      <v>8</v>
    </spb>
    <spb s="4">
      <v>Delayed 15 minutes</v>
      <v>from previous close</v>
      <v>Source: Nasdaq</v>
      <v>from previous close</v>
      <v>GMT</v>
    </spb>
    <spb s="0">
      <v>1</v>
    </spb>
    <spb s="5">
      <v>1</v>
      <v>1</v>
      <v>2</v>
      <v>1</v>
      <v>1</v>
      <v>1</v>
      <v>3</v>
      <v>4</v>
      <v>5</v>
      <v>1</v>
      <v>1</v>
      <v>4</v>
      <v>1</v>
      <v>3</v>
      <v>6</v>
      <v>7</v>
      <v>8</v>
      <v>8</v>
    </spb>
    <spb s="0">
      <v>2</v>
    </spb>
    <spb s="6">
      <v>1</v>
      <v>9</v>
      <v>1</v>
      <v>2</v>
      <v>1</v>
      <v>1</v>
      <v>1</v>
      <v>3</v>
      <v>4</v>
      <v>5</v>
      <v>1</v>
      <v>1</v>
      <v>4</v>
      <v>1</v>
      <v>3</v>
      <v>6</v>
      <v>7</v>
      <v>8</v>
      <v>8</v>
    </spb>
    <spb s="4">
      <v>Real-Time Nasdaq Last Sale</v>
      <v>from previous close</v>
      <v>Source: Nasdaq Last Sale</v>
      <v>from previous close</v>
      <v>GMT</v>
    </spb>
    <spb s="0">
      <v>3</v>
    </spb>
    <spb s="7">
      <v>1</v>
      <v>9</v>
      <v>1</v>
      <v>2</v>
      <v>1</v>
      <v>1</v>
      <v>1</v>
      <v>3</v>
      <v>4</v>
      <v>5</v>
      <v>1</v>
      <v>1</v>
      <v>4</v>
      <v>1</v>
      <v>3</v>
      <v>6</v>
      <v>7</v>
      <v>8</v>
      <v>8</v>
      <v>1</v>
      <v>1</v>
      <v>4</v>
    </spb>
    <spb s="8">
      <v>at close</v>
      <v>from previous close</v>
      <v>Source: Nasdaq</v>
      <v>from previous close</v>
      <v>GMT</v>
      <v>Delayed 15 minutes</v>
      <v>from close</v>
      <v>from close</v>
    </spb>
    <spb s="0">
      <v>4</v>
    </spb>
    <spb s="9">
      <v>0</v>
      <v>0</v>
    </spb>
    <spb s="10">
      <v>14</v>
      <v>1</v>
      <v>1</v>
    </spb>
    <spb s="11">
      <v>1</v>
      <v>9</v>
      <v>9</v>
      <v>1</v>
      <v>2</v>
      <v>1</v>
      <v>10</v>
      <v>1</v>
      <v>1</v>
      <v>3</v>
      <v>3</v>
      <v>4</v>
      <v>5</v>
      <v>1</v>
      <v>1</v>
      <v>1</v>
      <v>3</v>
      <v>6</v>
      <v>7</v>
      <v>8</v>
      <v>11</v>
      <v>8</v>
      <v>3</v>
    </spb>
    <spb s="12">
      <v>Real-Time Nasdaq Last Sale</v>
      <v>from previous close</v>
      <v>from previous close</v>
      <v>Source: Nasdaq Last Sale</v>
      <v>GMT</v>
    </spb>
    <spb s="11">
      <v>1</v>
      <v>9</v>
      <v>9</v>
      <v>1</v>
      <v>2</v>
      <v>1</v>
      <v>10</v>
      <v>1</v>
      <v>1</v>
      <v>3</v>
      <v>3</v>
      <v>4</v>
      <v>12</v>
      <v>1</v>
      <v>1</v>
      <v>1</v>
      <v>3</v>
      <v>6</v>
      <v>7</v>
      <v>8</v>
      <v>11</v>
      <v>8</v>
      <v>3</v>
    </spb>
    <spb s="0">
      <v>5</v>
    </spb>
    <spb s="13">
      <v>1</v>
      <v>1</v>
    </spb>
    <spb s="14">
      <v>1</v>
      <v>9</v>
      <v>9</v>
      <v>1</v>
      <v>2</v>
      <v>1</v>
      <v>1</v>
      <v>1</v>
      <v>3</v>
      <v>3</v>
      <v>4</v>
      <v>5</v>
      <v>1</v>
      <v>1</v>
      <v>1</v>
      <v>3</v>
      <v>6</v>
      <v>7</v>
      <v>8</v>
      <v>11</v>
      <v>8</v>
      <v>3</v>
    </spb>
    <spb s="0">
      <v>6</v>
    </spb>
    <spb s="15">
      <v>1</v>
      <v>1</v>
      <v>2</v>
      <v>1</v>
      <v>1</v>
      <v>1</v>
      <v>3</v>
      <v>4</v>
      <v>1</v>
      <v>1</v>
      <v>1</v>
      <v>3</v>
      <v>6</v>
      <v>7</v>
      <v>8</v>
      <v>8</v>
    </spb>
  </spbData>
</supportingPropertyBags>
</file>

<file path=xl/richData/rdsupportingpropertybagstructure.xml><?xml version="1.0" encoding="utf-8"?>
<spbStructures xmlns="http://schemas.microsoft.com/office/spreadsheetml/2017/richdata2" count="16">
  <s>
    <k n="^Order" t="spba"/>
  </s>
  <s>
    <k n="ShowInCardView" t="b"/>
    <k n="ShowInDotNotation" t="b"/>
    <k n="ShowInAutoComplete" t="b"/>
  </s>
  <s>
    <k n="UniqueName" t="spb"/>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6" formatCode="_([$$-409]* #,##0.00_);_([$$-409]* \(#,##0.00\);_([$$-409]* &quot;-&quot;??_);_(@_)"/>
    </x:dxf>
    <x:dxf>
      <x:numFmt numFmtId="3" formatCode="#,##0"/>
    </x:dxf>
    <x:dxf>
      <x:numFmt numFmtId="14" formatCode="0.00%"/>
    </x:dxf>
    <x:dxf>
      <x:numFmt numFmtId="165" formatCode="_([$$-409]* #,##0_);_([$$-409]* \(#,##0\);_([$$-409]* &quot;-&quot;_);_(@_)"/>
    </x:dxf>
    <x:dxf>
      <x:numFmt numFmtId="27" formatCode="dd/mm/yyyy\ hh:mm"/>
    </x:dxf>
    <x:dxf>
      <x:numFmt numFmtId="2" formatCode="0.00"/>
    </x:dxf>
    <x:dxf>
      <x:numFmt numFmtId="4" formatCode="#,##0.00"/>
    </x:dxf>
    <x:dxf>
      <x:numFmt numFmtId="1" formatCode="0"/>
    </x:dxf>
    <x:dxf>
      <x:numFmt numFmtId="164" formatCode="_-[$¥-411]* #,##0_-;\-[$¥-411]* #,##0_-;_-[$¥-411]* &quot;-&quot;_-;_-@_-"/>
    </x:dxf>
  </dxfs>
  <richProperties>
    <rPr n="IsTitleField" t="b"/>
    <rPr n="ShouldShowInCell" t="b"/>
    <rPr n="IsHeroField" t="b"/>
  </richProperties>
  <richStyles>
    <rSty dxfid="0"/>
    <rSty>
      <rpv i="0">1</rpv>
    </rSty>
    <rSty dxfid="1"/>
    <rSty dxfid="2"/>
    <rSty dxfid="3"/>
    <rSty>
      <rpv i="1">1</rpv>
    </rSty>
    <rSty dxfid="4"/>
    <rSty dxfid="5"/>
    <rSty dxfid="6"/>
    <rSty>
      <rpv i="2">1</rpv>
    </rSty>
    <rSty dxfid="7"/>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M37" totalsRowShown="0" headerRowDxfId="33" dataDxfId="32">
  <autoFilter ref="A1:M37" xr:uid="{95189E96-064D-425D-BE39-47B18B49F5F0}"/>
  <sortState xmlns:xlrd2="http://schemas.microsoft.com/office/spreadsheetml/2017/richdata2" ref="A2:M37">
    <sortCondition ref="D2:D37"/>
    <sortCondition descending="1" ref="M2:M37"/>
  </sortState>
  <tableColumns count="13">
    <tableColumn id="1" xr3:uid="{BB2FF6EB-53FD-4E78-BD0B-C24026A8DB98}" name="Funds" dataDxfId="31"/>
    <tableColumn id="2" xr3:uid="{B45FB7AC-F148-421D-9B37-4E7E7D8C8E6A}" name="Ticker" dataDxfId="30">
      <calculatedColumnFormula array="1">_FV(A2,"Ticker symbol",TRUE)</calculatedColumnFormula>
    </tableColumn>
    <tableColumn id="3" xr3:uid="{0E04398C-EA9A-4618-BD02-DA8ABAA2CF7C}" name="Account" dataDxfId="29"/>
    <tableColumn id="4" xr3:uid="{84FCDA56-42CA-4155-A371-09849AF21EE5}" name="Bucket" dataDxfId="28"/>
    <tableColumn id="14" xr3:uid="{4B646908-1DAD-4E96-87A0-816CCAEC36A5}" name="Expense Ratio" dataDxfId="27">
      <calculatedColumnFormula array="1">_FV(A2,"Expense ratio",TRUE)</calculatedColumnFormula>
    </tableColumn>
    <tableColumn id="5" xr3:uid="{315E67EE-D83C-47DE-877C-398E379B6F15}" name="Open" dataDxfId="26" dataCellStyle="Currency">
      <calculatedColumnFormula array="1">_FV(A2,"Open")</calculatedColumnFormula>
    </tableColumn>
    <tableColumn id="6" xr3:uid="{94216B5A-94A5-40EA-8CFA-BB6BCBAE0B5C}" name="High" dataDxfId="25" dataCellStyle="Currency">
      <calculatedColumnFormula array="1">_FV(A2,"High")</calculatedColumnFormula>
    </tableColumn>
    <tableColumn id="7" xr3:uid="{0995BD2E-CC80-4453-962B-4B371F66AD96}" name="Low" dataDxfId="24" dataCellStyle="Currency">
      <calculatedColumnFormula array="1">_FV(A2,"Low")</calculatedColumnFormula>
    </tableColumn>
    <tableColumn id="8" xr3:uid="{59B32FD1-E741-455C-AB3F-CC8305A4082D}" name="Close" dataDxfId="23" dataCellStyle="Currency">
      <calculatedColumnFormula array="1">_FV(A2,"Price")</calculatedColumnFormula>
    </tableColumn>
    <tableColumn id="9" xr3:uid="{BFFB38B1-DFB9-43B1-881D-A7371E276BF4}" name="Change (%)" dataDxfId="22">
      <calculatedColumnFormula array="1">_FV(A2,"Change (%)",TRUE)</calculatedColumnFormula>
    </tableColumn>
    <tableColumn id="11" xr3:uid="{FBDD8949-4F7E-41F5-AC1F-CA98CC4626EE}" name="52 week high" dataDxfId="21" dataCellStyle="Currency">
      <calculatedColumnFormula array="1">_FV(Table1[[#This Row],[Funds]],"52 week high",TRUE)</calculatedColumnFormula>
    </tableColumn>
    <tableColumn id="12" xr3:uid="{CD345540-5848-4748-B639-D5DB23BDEE94}" name="52 week low" dataDxfId="20" dataCellStyle="Currency">
      <calculatedColumnFormula array="1">_FV(Table1[[#This Row],[Funds]],"52 week low",TRUE)</calculatedColumnFormula>
    </tableColumn>
    <tableColumn id="13" xr3:uid="{D10DB507-EF50-48A6-9A07-64B0D17CC79B}" name="Deviation from 52 Week High" dataDxfId="19" dataCellStyle="Percent">
      <calculatedColumnFormula>(K2-I2)/K2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7" dataDxfId="16">
  <autoFilter ref="A1:N26" xr:uid="{7148AA24-1D57-4322-B6E6-30CB6857B1C8}"/>
  <tableColumns count="14">
    <tableColumn id="1" xr3:uid="{57268FAB-0DAA-4F5F-B46D-3806B1FBF806}" name="Funds" dataDxfId="15"/>
    <tableColumn id="2" xr3:uid="{A08DC65A-57D6-483A-BC4A-A7473C7F025B}" name="Ticker" dataDxfId="14">
      <calculatedColumnFormula array="1">_FV(A2,"Ticker symbol",TRUE)</calculatedColumnFormula>
    </tableColumn>
    <tableColumn id="3" xr3:uid="{B68D1E78-2858-40F0-938D-30A7BD84787D}" name="Account" dataDxfId="13"/>
    <tableColumn id="4" xr3:uid="{15A75516-1C6A-4B58-B9D6-851E503B9FB8}" name="Bucket" dataDxfId="12"/>
    <tableColumn id="15" xr3:uid="{47D0498E-EC1F-4FEA-A214-7DB4FEA6AF04}" name="Sector" dataDxfId="11"/>
    <tableColumn id="14" xr3:uid="{B112A09B-C1DB-49F3-8BB2-F1FCBE93700E}" name="Industry" dataDxfId="10">
      <calculatedColumnFormula array="1">_FV(A2,"Industry")</calculatedColumnFormula>
    </tableColumn>
    <tableColumn id="5" xr3:uid="{0FA6A548-B1BE-4B6C-B4B8-163F5654ABD5}" name="Open" dataDxfId="9">
      <calculatedColumnFormula array="1">_FV(A2,"Open")</calculatedColumnFormula>
    </tableColumn>
    <tableColumn id="6" xr3:uid="{B8CB571D-5B2B-453B-82BA-5EA66AB797D7}" name="High" dataDxfId="8">
      <calculatedColumnFormula array="1">_FV(A2,"High")</calculatedColumnFormula>
    </tableColumn>
    <tableColumn id="7" xr3:uid="{F44149AE-6680-4B2A-93F2-98C9F6507E5A}" name="Low" dataDxfId="7">
      <calculatedColumnFormula array="1">_FV(A2,"Low")</calculatedColumnFormula>
    </tableColumn>
    <tableColumn id="8" xr3:uid="{EE5B9F16-BFFA-4732-8F70-E2D37CF19600}" name="Close" dataDxfId="6">
      <calculatedColumnFormula array="1">_FV(A2,"Price")</calculatedColumnFormula>
    </tableColumn>
    <tableColumn id="9" xr3:uid="{2DE1F60D-5DEF-405B-808F-FEA1CD488B45}" name="Change (%)" dataDxfId="5">
      <calculatedColumnFormula array="1">_FV(A2,"Change (%)",TRUE)</calculatedColumnFormula>
    </tableColumn>
    <tableColumn id="11" xr3:uid="{AF24AD6C-48A4-4E24-9504-7E6E23ABFAFF}" name="52 week high" dataDxfId="4">
      <calculatedColumnFormula array="1">_FV(Table13[[#This Row],[Funds]],"52 week high",TRUE)</calculatedColumnFormula>
    </tableColumn>
    <tableColumn id="12" xr3:uid="{C74C9A6D-67EB-491D-A6D1-55C66BF936BE}" name="52 week low" dataDxfId="3">
      <calculatedColumnFormula array="1">_FV(Table13[[#This Row],[Funds]],"52 week low",TRUE)</calculatedColumnFormula>
    </tableColumn>
    <tableColumn id="13" xr3:uid="{79973E41-98D9-4950-8B9A-E0B263B075E3}" name="Exchange abbreviation" dataDxfId="2">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7" totalsRowShown="0">
  <autoFilter ref="A29:C37" xr:uid="{76A2AC23-EA1A-42A9-A4A0-BA4126640B6B}"/>
  <tableColumns count="3">
    <tableColumn id="1" xr3:uid="{C5A951EA-02C9-4EEA-B580-3EE51E7FDF81}" name="Fund"/>
    <tableColumn id="2" xr3:uid="{EDFF81EE-5847-4637-99DE-F7A607DAE56F}" name="Category" dataDxfId="1"/>
    <tableColumn id="3" xr3:uid="{FE5FE4F2-8EE0-4222-A1A6-C6369FAE2A5F}"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begintoinvest.com/expense-ratio-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workbookViewId="0">
      <selection activeCell="D1" sqref="D1"/>
    </sheetView>
  </sheetViews>
  <sheetFormatPr defaultColWidth="11.42578125" defaultRowHeight="15"/>
  <cols>
    <col min="1" max="1" width="41.42578125" style="1" bestFit="1" customWidth="1"/>
    <col min="2" max="2" width="9.28515625" style="1" bestFit="1" customWidth="1"/>
    <col min="3" max="3" width="11.42578125" style="1"/>
    <col min="4" max="4" width="23.140625" style="1" bestFit="1" customWidth="1"/>
    <col min="5" max="5" width="15.7109375" style="1" customWidth="1"/>
    <col min="6" max="9" width="11.42578125" style="16"/>
    <col min="10" max="10" width="11.42578125" style="3"/>
    <col min="11" max="11" width="16.7109375" style="16" customWidth="1"/>
    <col min="12" max="12" width="16" style="16" customWidth="1"/>
    <col min="13" max="13" width="16.7109375" style="15" customWidth="1"/>
    <col min="14" max="16384" width="11.42578125" style="1"/>
  </cols>
  <sheetData>
    <row r="1" spans="1:13" s="17" customFormat="1" ht="44.25" customHeight="1">
      <c r="A1" s="17" t="s">
        <v>0</v>
      </c>
      <c r="B1" s="17" t="s">
        <v>1</v>
      </c>
      <c r="C1" s="17" t="s">
        <v>2</v>
      </c>
      <c r="D1" s="17" t="s">
        <v>3</v>
      </c>
      <c r="E1" s="17" t="s">
        <v>4</v>
      </c>
      <c r="F1" s="18" t="s">
        <v>5</v>
      </c>
      <c r="G1" s="18" t="s">
        <v>6</v>
      </c>
      <c r="H1" s="18" t="s">
        <v>7</v>
      </c>
      <c r="I1" s="18" t="s">
        <v>8</v>
      </c>
      <c r="J1" s="19" t="s">
        <v>9</v>
      </c>
      <c r="K1" s="18" t="s">
        <v>10</v>
      </c>
      <c r="L1" s="18" t="s">
        <v>11</v>
      </c>
      <c r="M1" s="20" t="s">
        <v>12</v>
      </c>
    </row>
    <row r="2" spans="1:13">
      <c r="A2" s="1" t="e" vm="1">
        <v>#VALUE!</v>
      </c>
      <c r="B2" s="1" t="str" cm="1">
        <f t="array" ref="B2">_FV(A2,"Ticker symbol",TRUE)</f>
        <v>WCLD</v>
      </c>
      <c r="C2" s="1" t="s">
        <v>13</v>
      </c>
      <c r="D2" s="1" t="s">
        <v>14</v>
      </c>
      <c r="E2" s="1" t="e" cm="1" vm="2">
        <f t="array" ref="E2">_FV(A2,"Expense ratio",TRUE)</f>
        <v>#VALUE!</v>
      </c>
      <c r="F2" s="16" cm="1">
        <f t="array" ref="F2">_FV(A2,"Open")</f>
        <v>41.65</v>
      </c>
      <c r="G2" s="16" cm="1">
        <f t="array" ref="G2">_FV(A2,"High")</f>
        <v>41.76</v>
      </c>
      <c r="H2" s="16" cm="1">
        <f t="array" ref="H2">_FV(A2,"Low")</f>
        <v>40.380099999999999</v>
      </c>
      <c r="I2" s="16" cm="1">
        <f t="array" ref="I2">_FV(A2,"Price")</f>
        <v>40.564999999999998</v>
      </c>
      <c r="J2" s="3" cm="1">
        <f t="array" ref="J2">_FV(A2,"Change (%)",TRUE)</f>
        <v>-1.4695E-2</v>
      </c>
      <c r="K2" s="16" cm="1">
        <f t="array" ref="K2">_FV(Table1[[#This Row],[Funds]],"52 week high",TRUE)</f>
        <v>42.77</v>
      </c>
      <c r="L2" s="16" cm="1">
        <f t="array" ref="L2">_FV(Table1[[#This Row],[Funds]],"52 week low",TRUE)</f>
        <v>18.989999999999998</v>
      </c>
      <c r="M2" s="15">
        <f>(K2-I2)/K2</f>
        <v>5.1554828150572954E-2</v>
      </c>
    </row>
    <row r="3" spans="1:13">
      <c r="A3" s="1" t="e" vm="3">
        <v>#VALUE!</v>
      </c>
      <c r="B3" s="1" t="str" cm="1">
        <f t="array" ref="B3">_FV(A3,"Ticker symbol",TRUE)</f>
        <v>CLOU</v>
      </c>
      <c r="C3" s="1" t="s">
        <v>13</v>
      </c>
      <c r="D3" s="1" t="s">
        <v>14</v>
      </c>
      <c r="E3" s="3" cm="1">
        <f t="array" ref="E3">_FV(A3,"Expense ratio",TRUE)</f>
        <v>6.8000000000000005E-3</v>
      </c>
      <c r="F3" s="16" cm="1">
        <f t="array" ref="F3">_FV(A3,"Open")</f>
        <v>23.06</v>
      </c>
      <c r="G3" s="16" cm="1">
        <f t="array" ref="G3">_FV(A3,"High")</f>
        <v>23.09</v>
      </c>
      <c r="H3" s="16" cm="1">
        <f t="array" ref="H3">_FV(A3,"Low")</f>
        <v>22.41</v>
      </c>
      <c r="I3" s="16" cm="1">
        <f t="array" ref="I3">_FV(A3,"Price")</f>
        <v>22.5</v>
      </c>
      <c r="J3" s="3" cm="1">
        <f t="array" ref="J3">_FV(A3,"Change (%)",TRUE)</f>
        <v>-1.4886E-2</v>
      </c>
      <c r="K3" s="16" cm="1">
        <f t="array" ref="K3">_FV(Table1[[#This Row],[Funds]],"52 week high",TRUE)</f>
        <v>23.19</v>
      </c>
      <c r="L3" s="16" cm="1">
        <f t="array" ref="L3">_FV(Table1[[#This Row],[Funds]],"52 week low",TRUE)</f>
        <v>12.36</v>
      </c>
      <c r="M3" s="15">
        <f>(K3-I3)/K3</f>
        <v>2.975420439844766E-2</v>
      </c>
    </row>
    <row r="4" spans="1:13">
      <c r="A4" s="1" t="e" vm="4">
        <v>#VALUE!</v>
      </c>
      <c r="B4" s="1" t="str" cm="1">
        <f t="array" ref="B4">_FV(A4,"Ticker symbol",TRUE)</f>
        <v>SKYY</v>
      </c>
      <c r="C4" s="1" t="s">
        <v>13</v>
      </c>
      <c r="D4" s="1" t="s">
        <v>14</v>
      </c>
      <c r="E4" s="3" cm="1">
        <f t="array" ref="E4">_FV(A4,"Expense ratio",TRUE)</f>
        <v>6.0000000000000001E-3</v>
      </c>
      <c r="F4" s="16" cm="1">
        <f t="array" ref="F4">_FV(A4,"Open")</f>
        <v>78.56</v>
      </c>
      <c r="G4" s="16" cm="1">
        <f t="array" ref="G4">_FV(A4,"High")</f>
        <v>78.709999999999994</v>
      </c>
      <c r="H4" s="16" cm="1">
        <f t="array" ref="H4">_FV(A4,"Low")</f>
        <v>77.040000000000006</v>
      </c>
      <c r="I4" s="16" cm="1">
        <f t="array" ref="I4">_FV(A4,"Price")</f>
        <v>77.333500000000001</v>
      </c>
      <c r="J4" s="3" cm="1">
        <f t="array" ref="J4">_FV(A4,"Change (%)",TRUE)</f>
        <v>-7.0169999999999998E-3</v>
      </c>
      <c r="K4" s="16" cm="1">
        <f t="array" ref="K4">_FV(Table1[[#This Row],[Funds]],"52 week high",TRUE)</f>
        <v>78.92</v>
      </c>
      <c r="L4" s="16" cm="1">
        <f t="array" ref="L4">_FV(Table1[[#This Row],[Funds]],"52 week low",TRUE)</f>
        <v>45</v>
      </c>
      <c r="M4" s="15">
        <f>(K4-I4)/K4</f>
        <v>2.0102635580334528E-2</v>
      </c>
    </row>
    <row r="5" spans="1:13">
      <c r="A5" s="1" t="e" vm="5">
        <v>#VALUE!</v>
      </c>
      <c r="B5" s="1" t="str" cm="1">
        <f t="array" ref="B5">_FV(A5,"Ticker symbol",TRUE)</f>
        <v>PALL</v>
      </c>
      <c r="C5" s="1" t="s">
        <v>13</v>
      </c>
      <c r="D5" s="1" t="s">
        <v>15</v>
      </c>
      <c r="E5" s="3" cm="1">
        <f t="array" ref="E5">_FV(A5,"Expense ratio",TRUE)</f>
        <v>6.0000000000000001E-3</v>
      </c>
      <c r="F5" s="16" cm="1">
        <f t="array" ref="F5">_FV(A5,"Open")</f>
        <v>202.8</v>
      </c>
      <c r="G5" s="16" cm="1">
        <f t="array" ref="G5">_FV(A5,"High")</f>
        <v>204.95</v>
      </c>
      <c r="H5" s="16" cm="1">
        <f t="array" ref="H5">_FV(A5,"Low")</f>
        <v>201.06829999999999</v>
      </c>
      <c r="I5" s="16" cm="1">
        <f t="array" ref="I5">_FV(A5,"Price")</f>
        <v>201.96</v>
      </c>
      <c r="J5" s="3" cm="1">
        <f t="array" ref="J5">_FV(A5,"Change (%)",TRUE)</f>
        <v>3.9049E-2</v>
      </c>
      <c r="K5" s="16" cm="1">
        <f t="array" ref="K5">_FV(Table1[[#This Row],[Funds]],"52 week high",TRUE)</f>
        <v>273.16379999999998</v>
      </c>
      <c r="L5" s="16" cm="1">
        <f t="array" ref="L5">_FV(Table1[[#This Row],[Funds]],"52 week low",TRUE)</f>
        <v>130.04</v>
      </c>
      <c r="M5" s="15">
        <f>(K5-I5)/K5</f>
        <v>0.26066338219046586</v>
      </c>
    </row>
    <row r="6" spans="1:13">
      <c r="A6" s="1" t="e" vm="6">
        <v>#VALUE!</v>
      </c>
      <c r="B6" s="1" t="str" cm="1">
        <f t="array" ref="B6">_FV(A6,"Ticker symbol",TRUE)</f>
        <v>SLV</v>
      </c>
      <c r="C6" s="1" t="s">
        <v>13</v>
      </c>
      <c r="D6" s="1" t="s">
        <v>15</v>
      </c>
      <c r="E6" s="3" cm="1">
        <f t="array" ref="E6">_FV(A6,"Expense ratio",TRUE)</f>
        <v>5.0000000000000001E-3</v>
      </c>
      <c r="F6" s="16" cm="1">
        <f t="array" ref="F6">_FV(A6,"Open")</f>
        <v>19.52</v>
      </c>
      <c r="G6" s="16" cm="1">
        <f t="array" ref="G6">_FV(A6,"High")</f>
        <v>19.739999999999998</v>
      </c>
      <c r="H6" s="16" cm="1">
        <f t="array" ref="H6">_FV(A6,"Low")</f>
        <v>19.420000000000002</v>
      </c>
      <c r="I6" s="16" cm="1">
        <f t="array" ref="I6">_FV(A6,"Price")</f>
        <v>19.6401</v>
      </c>
      <c r="J6" s="3" cm="1">
        <f t="array" ref="J6">_FV(A6,"Change (%)",TRUE)</f>
        <v>5.9337000000000001E-2</v>
      </c>
      <c r="K6" s="16" cm="1">
        <f t="array" ref="K6">_FV(Table1[[#This Row],[Funds]],"52 week high",TRUE)</f>
        <v>19.6401</v>
      </c>
      <c r="L6" s="16" cm="1">
        <f t="array" ref="L6">_FV(Table1[[#This Row],[Funds]],"52 week low",TRUE)</f>
        <v>10.86</v>
      </c>
      <c r="M6" s="15">
        <f>(K6-I6)/K6</f>
        <v>0</v>
      </c>
    </row>
    <row r="7" spans="1:13">
      <c r="A7" s="1" t="e" vm="7">
        <v>#VALUE!</v>
      </c>
      <c r="B7" s="1" t="str" cm="1">
        <f t="array" ref="B7">_FV(A7,"Ticker symbol",TRUE)</f>
        <v>GLDM</v>
      </c>
      <c r="C7" s="1" t="s">
        <v>13</v>
      </c>
      <c r="D7" s="1" t="s">
        <v>15</v>
      </c>
      <c r="E7" s="3" cm="1">
        <f t="array" ref="E7">_FV(A7,"Expense ratio",TRUE)</f>
        <v>1.8E-3</v>
      </c>
      <c r="F7" s="16" cm="1">
        <f t="array" ref="F7">_FV(A7,"Open")</f>
        <v>18.29</v>
      </c>
      <c r="G7" s="16" cm="1">
        <f t="array" ref="G7">_FV(A7,"High")</f>
        <v>18.36</v>
      </c>
      <c r="H7" s="16" cm="1">
        <f t="array" ref="H7">_FV(A7,"Low")</f>
        <v>18.275200000000002</v>
      </c>
      <c r="I7" s="16" cm="1">
        <f t="array" ref="I7">_FV(A7,"Price")</f>
        <v>18.36</v>
      </c>
      <c r="J7" s="3" cm="1">
        <f t="array" ref="J7">_FV(A7,"Change (%)",TRUE)</f>
        <v>1.2966E-2</v>
      </c>
      <c r="K7" s="16" cm="1">
        <f t="array" ref="K7">_FV(Table1[[#This Row],[Funds]],"52 week high",TRUE)</f>
        <v>18.36</v>
      </c>
      <c r="L7" s="16" cm="1">
        <f t="array" ref="L7">_FV(Table1[[#This Row],[Funds]],"52 week low",TRUE)</f>
        <v>14.01</v>
      </c>
      <c r="M7" s="15">
        <f>(K7-I7)/K7</f>
        <v>0</v>
      </c>
    </row>
    <row r="8" spans="1:13">
      <c r="A8" s="1" t="e" vm="8">
        <v>#VALUE!</v>
      </c>
      <c r="B8" s="4" t="str" cm="1">
        <f t="array" ref="B8">_FV(A8,"Ticker symbol",TRUE)</f>
        <v>XLE</v>
      </c>
      <c r="C8" s="1" t="s">
        <v>13</v>
      </c>
      <c r="D8" s="1" t="s">
        <v>16</v>
      </c>
      <c r="E8" s="3" cm="1">
        <f t="array" ref="E8">_FV(A8,"Expense ratio",TRUE)</f>
        <v>1.4000000000000002E-3</v>
      </c>
      <c r="F8" s="16" cm="1">
        <f t="array" ref="F8">_FV(A8,"Open")</f>
        <v>36.700000000000003</v>
      </c>
      <c r="G8" s="16" cm="1">
        <f t="array" ref="G8">_FV(A8,"High")</f>
        <v>38.548499999999997</v>
      </c>
      <c r="H8" s="16" cm="1">
        <f t="array" ref="H8">_FV(A8,"Low")</f>
        <v>36.65</v>
      </c>
      <c r="I8" s="16" cm="1">
        <f t="array" ref="I8">_FV(A8,"Price")</f>
        <v>38.43</v>
      </c>
      <c r="J8" s="3" cm="1">
        <f t="array" ref="J8">_FV(A8,"Change (%)",TRUE)</f>
        <v>6.5724000000000005E-2</v>
      </c>
      <c r="K8" s="16" cm="1">
        <f t="array" ref="K8">_FV(Table1[[#This Row],[Funds]],"52 week high",TRUE)</f>
        <v>62.0443</v>
      </c>
      <c r="L8" s="16" cm="1">
        <f t="array" ref="L8">_FV(Table1[[#This Row],[Funds]],"52 week low",TRUE)</f>
        <v>22.88</v>
      </c>
      <c r="M8" s="15">
        <f>(K8-I8)/K8</f>
        <v>0.38060385885568859</v>
      </c>
    </row>
    <row r="9" spans="1:13">
      <c r="A9" s="1" t="e" vm="9">
        <v>#VALUE!</v>
      </c>
      <c r="B9" s="4" t="str" cm="1">
        <f t="array" ref="B9">_FV(A9,"Ticker symbol",TRUE)</f>
        <v>VYM</v>
      </c>
      <c r="C9" s="1" t="s">
        <v>13</v>
      </c>
      <c r="D9" s="1" t="s">
        <v>16</v>
      </c>
      <c r="E9" s="3" cm="1">
        <f t="array" ref="E9">_FV(A9,"Expense ratio",TRUE)</f>
        <v>8.0000000000000004E-4</v>
      </c>
      <c r="F9" s="16" cm="1">
        <f t="array" ref="F9">_FV(A9,"Open")</f>
        <v>81.62</v>
      </c>
      <c r="G9" s="16" cm="1">
        <f t="array" ref="G9">_FV(A9,"High")</f>
        <v>82.4</v>
      </c>
      <c r="H9" s="16" cm="1">
        <f t="array" ref="H9">_FV(A9,"Low")</f>
        <v>81.5</v>
      </c>
      <c r="I9" s="16" cm="1">
        <f t="array" ref="I9">_FV(A9,"Price")</f>
        <v>82.369299999999996</v>
      </c>
      <c r="J9" s="3" cm="1">
        <f t="array" ref="J9">_FV(A9,"Change (%)",TRUE)</f>
        <v>1.7156000000000001E-2</v>
      </c>
      <c r="K9" s="16" cm="1">
        <f t="array" ref="K9">_FV(Table1[[#This Row],[Funds]],"52 week high",TRUE)</f>
        <v>94.86</v>
      </c>
      <c r="L9" s="16" cm="1">
        <f t="array" ref="L9">_FV(Table1[[#This Row],[Funds]],"52 week low",TRUE)</f>
        <v>60.07</v>
      </c>
      <c r="M9" s="15">
        <f>(K9-I9)/K9</f>
        <v>0.13167510014758596</v>
      </c>
    </row>
    <row r="10" spans="1:13">
      <c r="A10" s="1" t="e" vm="10">
        <v>#VALUE!</v>
      </c>
      <c r="B10" s="4" t="str">
        <f t="array" ref="B10">_FV(A10,"Ticker symbol",TRUE)</f>
        <v>QYLD</v>
      </c>
      <c r="C10" s="1" t="s">
        <v>13</v>
      </c>
      <c r="D10" s="1" t="s">
        <v>16</v>
      </c>
      <c r="E10" s="3">
        <f t="array" ref="E10">_FV(A10,"Expense ratio",TRUE)</f>
        <v>6.0000000000000001E-3</v>
      </c>
      <c r="F10" s="16">
        <f t="array" ref="F10">_FV(A10,"Open")</f>
        <v>21.48</v>
      </c>
      <c r="G10" s="16">
        <f t="array" ref="G10">_FV(A10,"High")</f>
        <v>21.49</v>
      </c>
      <c r="H10" s="16">
        <f t="array" ref="H10">_FV(A10,"Low")</f>
        <v>21.33</v>
      </c>
      <c r="I10" s="16">
        <f t="array" ref="I10">_FV(A10,"Price")</f>
        <v>21.369900000000001</v>
      </c>
      <c r="J10" s="3">
        <f t="array" ref="J10">_FV(A10,"Change (%)",TRUE)</f>
        <v>-5.1259999999999995E-3</v>
      </c>
      <c r="K10" s="16">
        <f t="array" ref="K10">_FV(Table1[[#This Row],[Funds]],"52 week high",TRUE)</f>
        <v>24.18</v>
      </c>
      <c r="L10" s="16">
        <f t="array" ref="L10">_FV(Table1[[#This Row],[Funds]],"52 week low",TRUE)</f>
        <v>17.22</v>
      </c>
      <c r="M10" s="15">
        <f>(K10-I10)/K10</f>
        <v>0.11621588089330019</v>
      </c>
    </row>
    <row r="11" spans="1:13">
      <c r="A11" s="1" t="e" vm="11">
        <v>#VALUE!</v>
      </c>
      <c r="B11" s="4" t="str" cm="1">
        <f t="array" ref="B11">_FV(A11,"Ticker symbol",TRUE)</f>
        <v>SCHD</v>
      </c>
      <c r="C11" s="1" t="s">
        <v>13</v>
      </c>
      <c r="D11" s="1" t="s">
        <v>16</v>
      </c>
      <c r="E11" s="3" cm="1">
        <f t="array" ref="E11">_FV(A11,"Expense ratio",TRUE)</f>
        <v>7.000000000000001E-4</v>
      </c>
      <c r="F11" s="16" cm="1">
        <f t="array" ref="F11">_FV(A11,"Open")</f>
        <v>53.45</v>
      </c>
      <c r="G11" s="16" cm="1">
        <f t="array" ref="G11">_FV(A11,"High")</f>
        <v>53.97</v>
      </c>
      <c r="H11" s="16" cm="1">
        <f t="array" ref="H11">_FV(A11,"Low")</f>
        <v>53.34</v>
      </c>
      <c r="I11" s="16" cm="1">
        <f t="array" ref="I11">_FV(A11,"Price")</f>
        <v>53.93</v>
      </c>
      <c r="J11" s="3" cm="1">
        <f t="array" ref="J11">_FV(A11,"Change (%)",TRUE)</f>
        <v>1.976E-2</v>
      </c>
      <c r="K11" s="16" cm="1">
        <f t="array" ref="K11">_FV(Table1[[#This Row],[Funds]],"52 week high",TRUE)</f>
        <v>59.56</v>
      </c>
      <c r="L11" s="16" cm="1">
        <f t="array" ref="L11">_FV(Table1[[#This Row],[Funds]],"52 week low",TRUE)</f>
        <v>38.825000000000003</v>
      </c>
      <c r="M11" s="15">
        <f>(K11-I11)/K11</f>
        <v>9.4526527871054436E-2</v>
      </c>
    </row>
    <row r="12" spans="1:13">
      <c r="A12" s="1" t="e" vm="12">
        <v>#VALUE!</v>
      </c>
      <c r="B12" s="1" t="str" cm="1">
        <f t="array" ref="B12">_FV(A12,"Ticker symbol",TRUE)</f>
        <v>FBT</v>
      </c>
      <c r="C12" s="1" t="s">
        <v>13</v>
      </c>
      <c r="D12" s="1" t="s">
        <v>17</v>
      </c>
      <c r="E12" s="3" cm="1">
        <f t="array" ref="E12">_FV(A12,"Expense ratio",TRUE)</f>
        <v>5.6000000000000008E-3</v>
      </c>
      <c r="F12" s="16" cm="1">
        <f t="array" ref="F12">_FV(A12,"Open")</f>
        <v>178.27</v>
      </c>
      <c r="G12" s="16" cm="1">
        <f t="array" ref="G12">_FV(A12,"High")</f>
        <v>179.88</v>
      </c>
      <c r="H12" s="16" cm="1">
        <f t="array" ref="H12">_FV(A12,"Low")</f>
        <v>175.91</v>
      </c>
      <c r="I12" s="16" cm="1">
        <f t="array" ref="I12">_FV(A12,"Price")</f>
        <v>176.785</v>
      </c>
      <c r="J12" s="3" cm="1">
        <f t="array" ref="J12">_FV(A12,"Change (%)",TRUE)</f>
        <v>-1.8405999999999999E-2</v>
      </c>
      <c r="K12" s="16" cm="1">
        <f t="array" ref="K12">_FV(Table1[[#This Row],[Funds]],"52 week high",TRUE)</f>
        <v>180.637</v>
      </c>
      <c r="L12" s="16" cm="1">
        <f t="array" ref="L12">_FV(Table1[[#This Row],[Funds]],"52 week low",TRUE)</f>
        <v>108.08</v>
      </c>
      <c r="M12" s="15">
        <f>(K12-I12)/K12</f>
        <v>2.1324534840591925E-2</v>
      </c>
    </row>
    <row r="13" spans="1:13">
      <c r="A13" s="1" t="e" vm="13">
        <v>#VALUE!</v>
      </c>
      <c r="B13" s="1" t="str" cm="1">
        <f t="array" ref="B13">_FV(A13,"Ticker symbol",TRUE)</f>
        <v>ARKG</v>
      </c>
      <c r="C13" s="1" t="s">
        <v>13</v>
      </c>
      <c r="D13" s="1" t="s">
        <v>17</v>
      </c>
      <c r="E13" s="3" cm="1">
        <f t="array" ref="E13">_FV(A13,"Expense ratio",TRUE)</f>
        <v>7.4999999999999997E-3</v>
      </c>
      <c r="F13" s="16" cm="1">
        <f t="array" ref="F13">_FV(A13,"Open")</f>
        <v>59.4</v>
      </c>
      <c r="G13" s="16" cm="1">
        <f t="array" ref="G13">_FV(A13,"High")</f>
        <v>59.414999999999999</v>
      </c>
      <c r="H13" s="16" cm="1">
        <f t="array" ref="H13">_FV(A13,"Low")</f>
        <v>57.1</v>
      </c>
      <c r="I13" s="16" cm="1">
        <f t="array" ref="I13">_FV(A13,"Price")</f>
        <v>57.510100000000001</v>
      </c>
      <c r="J13" s="3" cm="1">
        <f t="array" ref="J13">_FV(A13,"Change (%)",TRUE)</f>
        <v>-1.7760999999999999E-2</v>
      </c>
      <c r="K13" s="16" cm="1">
        <f t="array" ref="K13">_FV(Table1[[#This Row],[Funds]],"52 week high",TRUE)</f>
        <v>58.74</v>
      </c>
      <c r="L13" s="16" cm="1">
        <f t="array" ref="L13">_FV(Table1[[#This Row],[Funds]],"52 week low",TRUE)</f>
        <v>24</v>
      </c>
      <c r="M13" s="15">
        <f>(K13-I13)/K13</f>
        <v>2.0938032005447745E-2</v>
      </c>
    </row>
    <row r="14" spans="1:13">
      <c r="A14" s="1" t="e" vm="14">
        <v>#VALUE!</v>
      </c>
      <c r="B14" s="4" t="str">
        <f t="array" ref="B14">_FV(A14,"Ticker symbol",TRUE)</f>
        <v>IXJ</v>
      </c>
      <c r="C14" s="1" t="s">
        <v>13</v>
      </c>
      <c r="D14" s="1" t="s">
        <v>17</v>
      </c>
      <c r="E14" s="3">
        <f t="array" ref="E14">_FV(A14,"Expense ratio",TRUE)</f>
        <v>4.6999999999999993E-3</v>
      </c>
      <c r="F14" s="16">
        <f t="array" ref="F14">_FV(A14,"Open")</f>
        <v>72.64</v>
      </c>
      <c r="G14" s="16">
        <f t="array" ref="G14">_FV(A14,"High")</f>
        <v>72.725099999999998</v>
      </c>
      <c r="H14" s="16">
        <f t="array" ref="H14">_FV(A14,"Low")</f>
        <v>72.11</v>
      </c>
      <c r="I14" s="16">
        <f t="array" ref="I14">_FV(A14,"Price")</f>
        <v>72.180000000000007</v>
      </c>
      <c r="J14" s="3">
        <f t="array" ref="J14">_FV(A14,"Change (%)",TRUE)</f>
        <v>-2.212E-3</v>
      </c>
      <c r="K14" s="16">
        <f t="array" ref="K14">_FV(Table1[[#This Row],[Funds]],"52 week high",TRUE)</f>
        <v>72.684600000000003</v>
      </c>
      <c r="L14" s="16">
        <f t="array" ref="L14">_FV(Table1[[#This Row],[Funds]],"52 week low",TRUE)</f>
        <v>51.07</v>
      </c>
      <c r="M14" s="15">
        <f>(K14-I14)/K14</f>
        <v>6.9423234082597466E-3</v>
      </c>
    </row>
    <row r="15" spans="1:13">
      <c r="A15" s="1" t="e" vm="15">
        <v>#VALUE!</v>
      </c>
      <c r="B15" s="1" t="str" cm="1">
        <f t="array" ref="B15">_FV(A15,"Ticker symbol",TRUE)</f>
        <v>FHLC</v>
      </c>
      <c r="C15" s="1" t="s">
        <v>13</v>
      </c>
      <c r="D15" s="1" t="s">
        <v>17</v>
      </c>
      <c r="E15" s="3" cm="1">
        <f t="array" ref="E15">_FV(A15,"Expense ratio",TRUE)</f>
        <v>8.0000000000000004E-4</v>
      </c>
      <c r="F15" s="16" cm="1">
        <f t="array" ref="F15">_FV(A15,"Open")</f>
        <v>52.98</v>
      </c>
      <c r="G15" s="16" cm="1">
        <f t="array" ref="G15">_FV(A15,"High")</f>
        <v>53.126300000000001</v>
      </c>
      <c r="H15" s="16" cm="1">
        <f t="array" ref="H15">_FV(A15,"Low")</f>
        <v>52.75</v>
      </c>
      <c r="I15" s="16" cm="1">
        <f t="array" ref="I15">_FV(A15,"Price")</f>
        <v>52.93</v>
      </c>
      <c r="J15" s="3" cm="1">
        <f t="array" ref="J15">_FV(A15,"Change (%)",TRUE)</f>
        <v>2.0830000000000002E-3</v>
      </c>
      <c r="K15" s="16" cm="1">
        <f t="array" ref="K15">_FV(Table1[[#This Row],[Funds]],"52 week high",TRUE)</f>
        <v>53.09</v>
      </c>
      <c r="L15" s="16" cm="1">
        <f t="array" ref="L15">_FV(Table1[[#This Row],[Funds]],"52 week low",TRUE)</f>
        <v>35.74</v>
      </c>
      <c r="M15" s="15">
        <f>(K15-I15)/K15</f>
        <v>3.0137502354493067E-3</v>
      </c>
    </row>
    <row r="16" spans="1:13">
      <c r="A16" s="1" t="e" vm="16">
        <v>#VALUE!</v>
      </c>
      <c r="B16" s="1" t="str" cm="1">
        <f t="array" ref="B16">_FV(A16,"Ticker symbol",TRUE)</f>
        <v>VHT</v>
      </c>
      <c r="C16" s="1" t="s">
        <v>13</v>
      </c>
      <c r="D16" s="1" t="s">
        <v>17</v>
      </c>
      <c r="E16" s="3" cm="1">
        <f t="array" ref="E16">_FV(A16,"Expense ratio",TRUE)</f>
        <v>1E-3</v>
      </c>
      <c r="F16" s="16" cm="1">
        <f t="array" ref="F16">_FV(A16,"Open")</f>
        <v>204.99</v>
      </c>
      <c r="G16" s="16" cm="1">
        <f t="array" ref="G16">_FV(A16,"High")</f>
        <v>205.71</v>
      </c>
      <c r="H16" s="16" cm="1">
        <f t="array" ref="H16">_FV(A16,"Low")</f>
        <v>204.29</v>
      </c>
      <c r="I16" s="16" cm="1">
        <f t="array" ref="I16">_FV(A16,"Price")</f>
        <v>205.02</v>
      </c>
      <c r="J16" s="3" cm="1">
        <f t="array" ref="J16">_FV(A16,"Change (%)",TRUE)</f>
        <v>1.7589999999999999E-3</v>
      </c>
      <c r="K16" s="16" cm="1">
        <f t="array" ref="K16">_FV(Table1[[#This Row],[Funds]],"52 week high",TRUE)</f>
        <v>205.61</v>
      </c>
      <c r="L16" s="16" cm="1">
        <f t="array" ref="L16">_FV(Table1[[#This Row],[Funds]],"52 week low",TRUE)</f>
        <v>138.11000000000001</v>
      </c>
      <c r="M16" s="15">
        <f>(K16-I16)/K16</f>
        <v>2.8695102378289159E-3</v>
      </c>
    </row>
    <row r="17" spans="1:13">
      <c r="A17" s="1" t="e" vm="17">
        <v>#VALUE!</v>
      </c>
      <c r="B17" s="1" t="str" cm="1">
        <f t="array" ref="B17">_FV(A17,"Ticker symbol",TRUE)</f>
        <v>XLV</v>
      </c>
      <c r="C17" s="1" t="s">
        <v>13</v>
      </c>
      <c r="D17" s="1" t="s">
        <v>17</v>
      </c>
      <c r="E17" s="3" cm="1">
        <f t="array" ref="E17">_FV(A17,"Expense ratio",TRUE)</f>
        <v>1.4000000000000002E-3</v>
      </c>
      <c r="F17" s="16" cm="1">
        <f t="array" ref="F17">_FV(A17,"Open")</f>
        <v>106.18</v>
      </c>
      <c r="G17" s="16" cm="1">
        <f t="array" ref="G17">_FV(A17,"High")</f>
        <v>106.63</v>
      </c>
      <c r="H17" s="16" cm="1">
        <f t="array" ref="H17">_FV(A17,"Low")</f>
        <v>105.89</v>
      </c>
      <c r="I17" s="16" cm="1">
        <f t="array" ref="I17">_FV(A17,"Price")</f>
        <v>106.31</v>
      </c>
      <c r="J17" s="3" cm="1">
        <f t="array" ref="J17">_FV(A17,"Change (%)",TRUE)</f>
        <v>4.156E-3</v>
      </c>
      <c r="K17" s="16" cm="1">
        <f t="array" ref="K17">_FV(Table1[[#This Row],[Funds]],"52 week high",TRUE)</f>
        <v>106.49</v>
      </c>
      <c r="L17" s="16" cm="1">
        <f t="array" ref="L17">_FV(Table1[[#This Row],[Funds]],"52 week low",TRUE)</f>
        <v>73.540000000000006</v>
      </c>
      <c r="M17" s="15">
        <f>(K17-I17)/K17</f>
        <v>1.6902995586439349E-3</v>
      </c>
    </row>
    <row r="18" spans="1:13">
      <c r="A18" s="1" t="e" vm="18">
        <v>#VALUE!</v>
      </c>
      <c r="B18" s="1" t="str" cm="1">
        <f t="array" ref="B18">_FV(A18,"Ticker symbol",TRUE)</f>
        <v>IHI</v>
      </c>
      <c r="C18" s="1" t="s">
        <v>13</v>
      </c>
      <c r="D18" s="1" t="s">
        <v>17</v>
      </c>
      <c r="E18" s="3" cm="1">
        <f t="array" ref="E18">_FV(A18,"Expense ratio",TRUE)</f>
        <v>4.3E-3</v>
      </c>
      <c r="F18" s="16" cm="1">
        <f t="array" ref="F18">_FV(A18,"Open")</f>
        <v>288.64999999999998</v>
      </c>
      <c r="G18" s="16" cm="1">
        <f t="array" ref="G18">_FV(A18,"High")</f>
        <v>289.77499999999998</v>
      </c>
      <c r="H18" s="16" cm="1">
        <f t="array" ref="H18">_FV(A18,"Low")</f>
        <v>288</v>
      </c>
      <c r="I18" s="16" cm="1">
        <f t="array" ref="I18">_FV(A18,"Price")</f>
        <v>288.54730000000001</v>
      </c>
      <c r="J18" s="3" cm="1">
        <f t="array" ref="J18">_FV(A18,"Change (%)",TRUE)</f>
        <v>5.9870000000000001E-3</v>
      </c>
      <c r="K18" s="16" cm="1">
        <f t="array" ref="K18">_FV(Table1[[#This Row],[Funds]],"52 week high",TRUE)</f>
        <v>288.64</v>
      </c>
      <c r="L18" s="16" cm="1">
        <f t="array" ref="L18">_FV(Table1[[#This Row],[Funds]],"52 week low",TRUE)</f>
        <v>183.25</v>
      </c>
      <c r="M18" s="15">
        <f>(K18-I18)/K18</f>
        <v>3.2116130820391962E-4</v>
      </c>
    </row>
    <row r="19" spans="1:13">
      <c r="A19" s="1" t="e" vm="19">
        <v>#VALUE!</v>
      </c>
      <c r="B19" s="4" t="str">
        <f t="array" ref="B19">_FV(A19,"Ticker symbol",TRUE)</f>
        <v>EFG</v>
      </c>
      <c r="C19" s="1" t="s">
        <v>13</v>
      </c>
      <c r="D19" s="1" t="s">
        <v>18</v>
      </c>
      <c r="E19" s="3">
        <f t="array" ref="E19">_FV(A19,"Expense ratio",TRUE)</f>
        <v>4.0000000000000001E-3</v>
      </c>
      <c r="F19" s="16">
        <f t="array" ref="F19">_FV(A19,"Open")</f>
        <v>88.15</v>
      </c>
      <c r="G19" s="16">
        <f t="array" ref="G19">_FV(A19,"High")</f>
        <v>88.489900000000006</v>
      </c>
      <c r="H19" s="16">
        <f t="array" ref="H19">_FV(A19,"Low")</f>
        <v>88.02</v>
      </c>
      <c r="I19" s="16">
        <f t="array" ref="I19">_FV(A19,"Price")</f>
        <v>88.36</v>
      </c>
      <c r="J19" s="3">
        <f t="array" ref="J19">_FV(A19,"Change (%)",TRUE)</f>
        <v>8.4460000000000004E-3</v>
      </c>
      <c r="K19" s="16">
        <f t="array" ref="K19">_FV(Table1[[#This Row],[Funds]],"52 week high",TRUE)</f>
        <v>88.66</v>
      </c>
      <c r="L19" s="16">
        <f t="array" ref="L19">_FV(Table1[[#This Row],[Funds]],"52 week low",TRUE)</f>
        <v>60.13</v>
      </c>
      <c r="M19" s="15">
        <f>(K19-I19)/K19</f>
        <v>3.3837130611323839E-3</v>
      </c>
    </row>
    <row r="20" spans="1:13">
      <c r="A20" s="1" t="e" vm="20">
        <v>#VALUE!</v>
      </c>
      <c r="B20" s="4" t="str">
        <f t="array" ref="B20">_FV(A20,"Ticker symbol",TRUE)</f>
        <v>JKH</v>
      </c>
      <c r="C20" s="1" t="s">
        <v>13</v>
      </c>
      <c r="D20" s="1" t="s">
        <v>19</v>
      </c>
      <c r="E20" s="3">
        <f t="array" ref="E20">_FV(A20,"Expense ratio",TRUE)</f>
        <v>3.0000000000000001E-3</v>
      </c>
      <c r="F20" s="16">
        <f t="array" ref="F20">_FV(A20,"Open")</f>
        <v>311.8</v>
      </c>
      <c r="G20" s="16">
        <f t="array" ref="G20">_FV(A20,"High")</f>
        <v>312.5016</v>
      </c>
      <c r="H20" s="16">
        <f t="array" ref="H20">_FV(A20,"Low")</f>
        <v>310.23309999999998</v>
      </c>
      <c r="I20" s="16">
        <f t="array" ref="I20">_FV(A20,"Price")</f>
        <v>312.17</v>
      </c>
      <c r="J20" s="3">
        <f t="array" ref="J20">_FV(A20,"Change (%)",TRUE)</f>
        <v>1.5079999999999998E-3</v>
      </c>
      <c r="K20" s="16">
        <f t="array" ref="K20">_FV(Table1[[#This Row],[Funds]],"52 week high",TRUE)</f>
        <v>312.17</v>
      </c>
      <c r="L20" s="16">
        <f t="array" ref="L20">_FV(Table1[[#This Row],[Funds]],"52 week low",TRUE)</f>
        <v>183.43979999999999</v>
      </c>
      <c r="M20" s="15">
        <f>(K20-I20)/K20</f>
        <v>0</v>
      </c>
    </row>
    <row r="21" spans="1:13">
      <c r="A21" s="1" t="e" vm="21">
        <v>#VALUE!</v>
      </c>
      <c r="B21" s="4" t="str">
        <f t="array" ref="B21">_FV(A21,"Ticker symbol",TRUE)</f>
        <v>XHB</v>
      </c>
      <c r="C21" s="1" t="s">
        <v>13</v>
      </c>
      <c r="D21" s="1" t="s">
        <v>20</v>
      </c>
      <c r="E21" s="3">
        <f t="array" ref="E21">_FV(A21,"Expense ratio",TRUE)</f>
        <v>3.4999999999999996E-3</v>
      </c>
      <c r="F21" s="16">
        <f t="array" ref="F21">_FV(A21,"Open")</f>
        <v>47.2</v>
      </c>
      <c r="G21" s="16">
        <f t="array" ref="G21">_FV(A21,"High")</f>
        <v>47.42</v>
      </c>
      <c r="H21" s="16">
        <f t="array" ref="H21">_FV(A21,"Low")</f>
        <v>46.95</v>
      </c>
      <c r="I21" s="16">
        <f t="array" ref="I21">_FV(A21,"Price")</f>
        <v>47.32</v>
      </c>
      <c r="J21" s="3">
        <f t="array" ref="J21">_FV(A21,"Change (%)",TRUE)</f>
        <v>5.3109999999999997E-3</v>
      </c>
      <c r="K21" s="16">
        <f t="array" ref="K21">_FV(Table1[[#This Row],[Funds]],"52 week high",TRUE)</f>
        <v>49.344999999999999</v>
      </c>
      <c r="L21" s="16">
        <f t="array" ref="L21">_FV(Table1[[#This Row],[Funds]],"52 week low",TRUE)</f>
        <v>23.95</v>
      </c>
      <c r="M21" s="15">
        <f>(K21-I21)/K21</f>
        <v>4.1037592461242244E-2</v>
      </c>
    </row>
    <row r="22" spans="1:13">
      <c r="A22" s="1" t="e" vm="22">
        <v>#VALUE!</v>
      </c>
      <c r="B22" s="1" t="str" cm="1">
        <f t="array" ref="B22">_FV(A22,"Ticker symbol",TRUE)</f>
        <v>XSD</v>
      </c>
      <c r="C22" s="1" t="s">
        <v>13</v>
      </c>
      <c r="D22" s="1" t="s">
        <v>21</v>
      </c>
      <c r="E22" s="3" cm="1">
        <f t="array" ref="E22">_FV(A22,"Expense ratio",TRUE)</f>
        <v>3.4999999999999996E-3</v>
      </c>
      <c r="F22" s="16" cm="1">
        <f t="array" ref="F22">_FV(A22,"Open")</f>
        <v>122.15</v>
      </c>
      <c r="G22" s="16" cm="1">
        <f t="array" ref="G22">_FV(A22,"High")</f>
        <v>122.40989999999999</v>
      </c>
      <c r="H22" s="16" cm="1">
        <f t="array" ref="H22">_FV(A22,"Low")</f>
        <v>119.75</v>
      </c>
      <c r="I22" s="16" cm="1">
        <f t="array" ref="I22">_FV(A22,"Price")</f>
        <v>119.8476</v>
      </c>
      <c r="J22" s="3" cm="1">
        <f t="array" ref="J22">_FV(A22,"Change (%)",TRUE)</f>
        <v>-1.0995E-2</v>
      </c>
      <c r="K22" s="16" cm="1">
        <f t="array" ref="K22">_FV(Table1[[#This Row],[Funds]],"52 week high",TRUE)</f>
        <v>121.32</v>
      </c>
      <c r="L22" s="16" cm="1">
        <f t="array" ref="L22">_FV(Table1[[#This Row],[Funds]],"52 week low",TRUE)</f>
        <v>68.948099999999997</v>
      </c>
      <c r="M22" s="15">
        <f>(K22-I22)/K22</f>
        <v>1.2136498516320419E-2</v>
      </c>
    </row>
    <row r="23" spans="1:13">
      <c r="A23" s="1" t="e" vm="23">
        <v>#VALUE!</v>
      </c>
      <c r="B23" s="1" t="str" cm="1">
        <f t="array" ref="B23">_FV(A23,"Ticker symbol",TRUE)</f>
        <v>SMH</v>
      </c>
      <c r="C23" s="1" t="s">
        <v>13</v>
      </c>
      <c r="D23" s="1" t="s">
        <v>21</v>
      </c>
      <c r="E23" s="3" cm="1">
        <f t="array" ref="E23">_FV(A23,"Expense ratio",TRUE)</f>
        <v>3.4999999999999996E-3</v>
      </c>
      <c r="F23" s="16" cm="1">
        <f t="array" ref="F23">_FV(A23,"Open")</f>
        <v>164.99</v>
      </c>
      <c r="G23" s="16" cm="1">
        <f t="array" ref="G23">_FV(A23,"High")</f>
        <v>165.13</v>
      </c>
      <c r="H23" s="16" cm="1">
        <f t="array" ref="H23">_FV(A23,"Low")</f>
        <v>162.38999999999999</v>
      </c>
      <c r="I23" s="16" cm="1">
        <f t="array" ref="I23">_FV(A23,"Price")</f>
        <v>163.03</v>
      </c>
      <c r="J23" s="3" cm="1">
        <f t="array" ref="J23">_FV(A23,"Change (%)",TRUE)</f>
        <v>-2.3250000000000002E-3</v>
      </c>
      <c r="K23" s="16" cm="1">
        <f t="array" ref="K23">_FV(Table1[[#This Row],[Funds]],"52 week high",TRUE)</f>
        <v>164.0539</v>
      </c>
      <c r="L23" s="16" cm="1">
        <f t="array" ref="L23">_FV(Table1[[#This Row],[Funds]],"52 week low",TRUE)</f>
        <v>96</v>
      </c>
      <c r="M23" s="15">
        <f>(K23-I23)/K23</f>
        <v>6.2412414456468127E-3</v>
      </c>
    </row>
    <row r="24" spans="1:13">
      <c r="A24" s="1" t="e" vm="24">
        <v>#VALUE!</v>
      </c>
      <c r="B24" s="4" t="str" cm="1">
        <f t="array" ref="B24">_FV(A24,"Ticker symbol",TRUE)</f>
        <v>ARKW</v>
      </c>
      <c r="C24" s="1" t="s">
        <v>13</v>
      </c>
      <c r="D24" s="1" t="s">
        <v>22</v>
      </c>
      <c r="E24" s="3" cm="1">
        <f t="array" ref="E24">_FV(A24,"Expense ratio",TRUE)</f>
        <v>7.4999999999999997E-3</v>
      </c>
      <c r="F24" s="16" cm="1">
        <f t="array" ref="F24">_FV(A24,"Open")</f>
        <v>100.13</v>
      </c>
      <c r="G24" s="16" cm="1">
        <f t="array" ref="G24">_FV(A24,"High")</f>
        <v>100.315</v>
      </c>
      <c r="H24" s="16" cm="1">
        <f t="array" ref="H24">_FV(A24,"Low")</f>
        <v>98.3001</v>
      </c>
      <c r="I24" s="16" cm="1">
        <f t="array" ref="I24">_FV(A24,"Price")</f>
        <v>98.65</v>
      </c>
      <c r="J24" s="3" cm="1">
        <f t="array" ref="J24">_FV(A24,"Change (%)",TRUE)</f>
        <v>-2.8299999999999996E-3</v>
      </c>
      <c r="K24" s="16" cm="1">
        <f t="array" ref="K24">_FV(Table1[[#This Row],[Funds]],"52 week high",TRUE)</f>
        <v>100.91</v>
      </c>
      <c r="L24" s="16" cm="1">
        <f t="array" ref="L24">_FV(Table1[[#This Row],[Funds]],"52 week low",TRUE)</f>
        <v>40.494999999999997</v>
      </c>
      <c r="M24" s="15">
        <f>(K24-I24)/K24</f>
        <v>2.2396194628877129E-2</v>
      </c>
    </row>
    <row r="25" spans="1:13">
      <c r="A25" s="1" t="e" vm="25">
        <v>#VALUE!</v>
      </c>
      <c r="B25" s="4" t="str" cm="1">
        <f t="array" ref="B25">_FV(A25,"Ticker symbol",TRUE)</f>
        <v>XITK</v>
      </c>
      <c r="C25" s="1" t="s">
        <v>13</v>
      </c>
      <c r="D25" s="1" t="s">
        <v>22</v>
      </c>
      <c r="E25" s="3" cm="1">
        <f t="array" ref="E25">_FV(A25,"Expense ratio",TRUE)</f>
        <v>4.5000000000000005E-3</v>
      </c>
      <c r="F25" s="16" cm="1">
        <f t="array" ref="F25">_FV(A25,"Open")</f>
        <v>158.44999999999999</v>
      </c>
      <c r="G25" s="16" cm="1">
        <f t="array" ref="G25">_FV(A25,"High")</f>
        <v>158.44999999999999</v>
      </c>
      <c r="H25" s="16" cm="1">
        <f t="array" ref="H25">_FV(A25,"Low")</f>
        <v>156.11500000000001</v>
      </c>
      <c r="I25" s="16" cm="1">
        <f t="array" ref="I25">_FV(A25,"Price")</f>
        <v>156.5027</v>
      </c>
      <c r="J25" s="3" cm="1">
        <f t="array" ref="J25">_FV(A25,"Change (%)",TRUE)</f>
        <v>-5.764E-3</v>
      </c>
      <c r="K25" s="16" cm="1">
        <f t="array" ref="K25">_FV(Table1[[#This Row],[Funds]],"52 week high",TRUE)</f>
        <v>159.9</v>
      </c>
      <c r="L25" s="16" cm="1">
        <f t="array" ref="L25">_FV(Table1[[#This Row],[Funds]],"52 week low",TRUE)</f>
        <v>81.5</v>
      </c>
      <c r="M25" s="15">
        <f>(K25-I25)/K25</f>
        <v>2.1246404002501572E-2</v>
      </c>
    </row>
    <row r="26" spans="1:13">
      <c r="A26" s="1" t="e" vm="26">
        <v>#VALUE!</v>
      </c>
      <c r="B26" s="1" t="str" cm="1">
        <f t="array" ref="B26">_FV(A26,"Ticker symbol",TRUE)</f>
        <v>ARKK</v>
      </c>
      <c r="C26" s="1" t="s">
        <v>13</v>
      </c>
      <c r="D26" s="1" t="s">
        <v>22</v>
      </c>
      <c r="E26" s="3" cm="1">
        <f t="array" ref="E26">_FV(A26,"Expense ratio",TRUE)</f>
        <v>7.4999999999999997E-3</v>
      </c>
      <c r="F26" s="16" cm="1">
        <f t="array" ref="F26">_FV(A26,"Open")</f>
        <v>84.93</v>
      </c>
      <c r="G26" s="16" cm="1">
        <f t="array" ref="G26">_FV(A26,"High")</f>
        <v>84.95</v>
      </c>
      <c r="H26" s="16" cm="1">
        <f t="array" ref="H26">_FV(A26,"Low")</f>
        <v>82.7911</v>
      </c>
      <c r="I26" s="16" cm="1">
        <f t="array" ref="I26">_FV(A26,"Price")</f>
        <v>83.0321</v>
      </c>
      <c r="J26" s="3" cm="1">
        <f t="array" ref="J26">_FV(A26,"Change (%)",TRUE)</f>
        <v>-1.1875999999999999E-2</v>
      </c>
      <c r="K26" s="16" cm="1">
        <f t="array" ref="K26">_FV(Table1[[#This Row],[Funds]],"52 week high",TRUE)</f>
        <v>84.544399999999996</v>
      </c>
      <c r="L26" s="16" cm="1">
        <f t="array" ref="L26">_FV(Table1[[#This Row],[Funds]],"52 week low",TRUE)</f>
        <v>33</v>
      </c>
      <c r="M26" s="15">
        <f>(K26-I26)/K26</f>
        <v>1.7887642469518929E-2</v>
      </c>
    </row>
    <row r="27" spans="1:13">
      <c r="A27" s="1" t="e" vm="27">
        <v>#VALUE!</v>
      </c>
      <c r="B27" s="1" t="str" cm="1">
        <f t="array" ref="B27">_FV(A27,"Ticker symbol",TRUE)</f>
        <v>XLK</v>
      </c>
      <c r="C27" s="1" t="s">
        <v>13</v>
      </c>
      <c r="D27" s="1" t="s">
        <v>22</v>
      </c>
      <c r="E27" s="3" cm="1">
        <f t="array" ref="E27">_FV(A27,"Expense ratio",TRUE)</f>
        <v>1.4000000000000002E-3</v>
      </c>
      <c r="F27" s="16" cm="1">
        <f t="array" ref="F27">_FV(A27,"Open")</f>
        <v>110.29</v>
      </c>
      <c r="G27" s="16" cm="1">
        <f t="array" ref="G27">_FV(A27,"High")</f>
        <v>110.3597</v>
      </c>
      <c r="H27" s="16" cm="1">
        <f t="array" ref="H27">_FV(A27,"Low")</f>
        <v>108.55</v>
      </c>
      <c r="I27" s="16" cm="1">
        <f t="array" ref="I27">_FV(A27,"Price")</f>
        <v>108.83</v>
      </c>
      <c r="J27" s="3" cm="1">
        <f t="array" ref="J27">_FV(A27,"Change (%)",TRUE)</f>
        <v>-6.3E-3</v>
      </c>
      <c r="K27" s="16" cm="1">
        <f t="array" ref="K27">_FV(Table1[[#This Row],[Funds]],"52 week high",TRUE)</f>
        <v>109.82</v>
      </c>
      <c r="L27" s="16" cm="1">
        <f t="array" ref="L27">_FV(Table1[[#This Row],[Funds]],"52 week low",TRUE)</f>
        <v>68.099999999999994</v>
      </c>
      <c r="M27" s="15">
        <f>(K27-I27)/K27</f>
        <v>9.0147514114004273E-3</v>
      </c>
    </row>
    <row r="28" spans="1:13">
      <c r="A28" s="1" t="e" vm="28">
        <v>#VALUE!</v>
      </c>
      <c r="B28" s="1" t="str" cm="1">
        <f t="array" ref="B28">_FV(A28,"Ticker symbol",TRUE)</f>
        <v>VGT</v>
      </c>
      <c r="C28" s="1" t="s">
        <v>13</v>
      </c>
      <c r="D28" s="1" t="s">
        <v>22</v>
      </c>
      <c r="E28" s="3" cm="1">
        <f t="array" ref="E28">_FV(A28,"Expense ratio",TRUE)</f>
        <v>1E-3</v>
      </c>
      <c r="F28" s="16" cm="1">
        <f t="array" ref="F28">_FV(A28,"Open")</f>
        <v>294.77</v>
      </c>
      <c r="G28" s="16" cm="1">
        <f t="array" ref="G28">_FV(A28,"High")</f>
        <v>294.94</v>
      </c>
      <c r="H28" s="16" cm="1">
        <f t="array" ref="H28">_FV(A28,"Low")</f>
        <v>289.87</v>
      </c>
      <c r="I28" s="16" cm="1">
        <f t="array" ref="I28">_FV(A28,"Price")</f>
        <v>290.61</v>
      </c>
      <c r="J28" s="3" cm="1">
        <f t="array" ref="J28">_FV(A28,"Change (%)",TRUE)</f>
        <v>-6.1900000000000002E-3</v>
      </c>
      <c r="K28" s="16" cm="1">
        <f t="array" ref="K28">_FV(Table1[[#This Row],[Funds]],"52 week high",TRUE)</f>
        <v>293.04000000000002</v>
      </c>
      <c r="L28" s="16" cm="1">
        <f t="array" ref="L28">_FV(Table1[[#This Row],[Funds]],"52 week low",TRUE)</f>
        <v>179.45</v>
      </c>
      <c r="M28" s="15">
        <f>(K28-I28)/K28</f>
        <v>8.2923832923833159E-3</v>
      </c>
    </row>
    <row r="29" spans="1:13">
      <c r="A29" s="1" t="e" vm="29">
        <v>#VALUE!</v>
      </c>
      <c r="B29" s="1" t="str" cm="1">
        <f t="array" ref="B29">_FV(A29,"Ticker symbol",TRUE)</f>
        <v>FTEC</v>
      </c>
      <c r="C29" s="1" t="s">
        <v>13</v>
      </c>
      <c r="D29" s="1" t="s">
        <v>22</v>
      </c>
      <c r="E29" s="3" cm="1">
        <f t="array" ref="E29">_FV(A29,"Expense ratio",TRUE)</f>
        <v>8.0000000000000004E-4</v>
      </c>
      <c r="F29" s="16" cm="1">
        <f t="array" ref="F29">_FV(A29,"Open")</f>
        <v>86.9</v>
      </c>
      <c r="G29" s="16" cm="1">
        <f t="array" ref="G29">_FV(A29,"High")</f>
        <v>87.1</v>
      </c>
      <c r="H29" s="16" cm="1">
        <f t="array" ref="H29">_FV(A29,"Low")</f>
        <v>85.65</v>
      </c>
      <c r="I29" s="16" cm="1">
        <f t="array" ref="I29">_FV(A29,"Price")</f>
        <v>85.9</v>
      </c>
      <c r="J29" s="3" cm="1">
        <f t="array" ref="J29">_FV(A29,"Change (%)",TRUE)</f>
        <v>-5.7869999999999996E-3</v>
      </c>
      <c r="K29" s="16" cm="1">
        <f t="array" ref="K29">_FV(Table1[[#This Row],[Funds]],"52 week high",TRUE)</f>
        <v>86.58</v>
      </c>
      <c r="L29" s="16" cm="1">
        <f t="array" ref="L29">_FV(Table1[[#This Row],[Funds]],"52 week low",TRUE)</f>
        <v>53</v>
      </c>
      <c r="M29" s="15">
        <f>(K29-I29)/K29</f>
        <v>7.8540078540077687E-3</v>
      </c>
    </row>
    <row r="30" spans="1:13">
      <c r="A30" s="1" t="e" vm="30">
        <v>#VALUE!</v>
      </c>
      <c r="B30" s="4" t="str" cm="1">
        <f t="array" ref="B30">_FV(A30,"Ticker symbol",TRUE)</f>
        <v>IHAK</v>
      </c>
      <c r="C30" s="1" t="s">
        <v>13</v>
      </c>
      <c r="D30" s="1" t="s">
        <v>22</v>
      </c>
      <c r="E30" s="3" t="e" cm="1" vm="2">
        <f t="array" ref="E30">_FV(A30,"Expense ratio",TRUE)</f>
        <v>#VALUE!</v>
      </c>
      <c r="F30" s="16" cm="1">
        <f t="array" ref="F30">_FV(A30,"Open")</f>
        <v>33.299999999999997</v>
      </c>
      <c r="G30" s="16" cm="1">
        <f t="array" ref="G30">_FV(A30,"High")</f>
        <v>33.33</v>
      </c>
      <c r="H30" s="16" cm="1">
        <f t="array" ref="H30">_FV(A30,"Low")</f>
        <v>32.958300000000001</v>
      </c>
      <c r="I30" s="16" cm="1">
        <f t="array" ref="I30">_FV(A30,"Price")</f>
        <v>32.965000000000003</v>
      </c>
      <c r="J30" s="3" cm="1">
        <f t="array" ref="J30">_FV(A30,"Change (%)",TRUE)</f>
        <v>-5.8809999999999999E-3</v>
      </c>
      <c r="K30" s="16" cm="1">
        <f t="array" ref="K30">_FV(Table1[[#This Row],[Funds]],"52 week high",TRUE)</f>
        <v>33.1601</v>
      </c>
      <c r="L30" s="16" cm="1">
        <f t="array" ref="L30">_FV(Table1[[#This Row],[Funds]],"52 week low",TRUE)</f>
        <v>20.36</v>
      </c>
      <c r="M30" s="15">
        <f>(K30-I30)/K30</f>
        <v>5.8835769494059581E-3</v>
      </c>
    </row>
    <row r="31" spans="1:13">
      <c r="A31" s="1" t="e" vm="31">
        <v>#VALUE!</v>
      </c>
      <c r="B31" s="4" t="str" cm="1">
        <f t="array" ref="B31">_FV(A31,"Ticker symbol",TRUE)</f>
        <v>GDAT</v>
      </c>
      <c r="C31" s="1" t="s">
        <v>13</v>
      </c>
      <c r="D31" s="1" t="s">
        <v>22</v>
      </c>
      <c r="E31" s="3" cm="1">
        <f t="array" ref="E31">_FV(A31,"Expense ratio",TRUE)</f>
        <v>5.0000000000000001E-3</v>
      </c>
      <c r="F31" s="16" cm="1">
        <f t="array" ref="F31">_FV(A31,"Open")</f>
        <v>67.62</v>
      </c>
      <c r="G31" s="16" cm="1">
        <f t="array" ref="G31">_FV(A31,"High")</f>
        <v>67.62</v>
      </c>
      <c r="H31" s="16" cm="1">
        <f t="array" ref="H31">_FV(A31,"Low")</f>
        <v>66.760000000000005</v>
      </c>
      <c r="I31" s="16" cm="1">
        <f t="array" ref="I31">_FV(A31,"Price")</f>
        <v>66.864999999999995</v>
      </c>
      <c r="J31" s="3" cm="1">
        <f t="array" ref="J31">_FV(A31,"Change (%)",TRUE)</f>
        <v>-4.2920000000000007E-3</v>
      </c>
      <c r="K31" s="16" cm="1">
        <f t="array" ref="K31">_FV(Table1[[#This Row],[Funds]],"52 week high",TRUE)</f>
        <v>67.260000000000005</v>
      </c>
      <c r="L31" s="16" cm="1">
        <f t="array" ref="L31">_FV(Table1[[#This Row],[Funds]],"52 week low",TRUE)</f>
        <v>41.99</v>
      </c>
      <c r="M31" s="15">
        <f>(K31-I31)/K31</f>
        <v>5.8727326791556678E-3</v>
      </c>
    </row>
    <row r="32" spans="1:13">
      <c r="A32" s="1" t="e" vm="32">
        <v>#VALUE!</v>
      </c>
      <c r="B32" s="4" t="str" cm="1">
        <f t="array" ref="B32">_FV(A32,"Ticker symbol",TRUE)</f>
        <v>ARKQ</v>
      </c>
      <c r="C32" s="1" t="s">
        <v>13</v>
      </c>
      <c r="D32" s="1" t="s">
        <v>22</v>
      </c>
      <c r="E32" s="3" cm="1">
        <f t="array" ref="E32">_FV(A32,"Expense ratio",TRUE)</f>
        <v>7.4999999999999997E-3</v>
      </c>
      <c r="F32" s="16" cm="1">
        <f t="array" ref="F32">_FV(A32,"Open")</f>
        <v>54.575000000000003</v>
      </c>
      <c r="G32" s="16" cm="1">
        <f t="array" ref="G32">_FV(A32,"High")</f>
        <v>54.85</v>
      </c>
      <c r="H32" s="16" cm="1">
        <f t="array" ref="H32">_FV(A32,"Low")</f>
        <v>53.797699999999999</v>
      </c>
      <c r="I32" s="16" cm="1">
        <f t="array" ref="I32">_FV(A32,"Price")</f>
        <v>53.92</v>
      </c>
      <c r="J32" s="3" cm="1">
        <f t="array" ref="J32">_FV(A32,"Change (%)",TRUE)</f>
        <v>-3.5110000000000002E-3</v>
      </c>
      <c r="K32" s="16" cm="1">
        <f t="array" ref="K32">_FV(Table1[[#This Row],[Funds]],"52 week high",TRUE)</f>
        <v>54.16</v>
      </c>
      <c r="L32" s="16" cm="1">
        <f t="array" ref="L32">_FV(Table1[[#This Row],[Funds]],"52 week low",TRUE)</f>
        <v>26.19</v>
      </c>
      <c r="M32" s="15">
        <f>(K32-I32)/K32</f>
        <v>4.4313146233381628E-3</v>
      </c>
    </row>
    <row r="33" spans="1:13">
      <c r="A33" s="1" t="e" vm="33">
        <v>#VALUE!</v>
      </c>
      <c r="B33" s="4" t="str" cm="1">
        <f t="array" ref="B33">_FV(A33,"Ticker symbol",TRUE)</f>
        <v>HACK</v>
      </c>
      <c r="C33" s="1" t="s">
        <v>13</v>
      </c>
      <c r="D33" s="1" t="s">
        <v>22</v>
      </c>
      <c r="E33" s="3" cm="1">
        <f t="array" ref="E33">_FV(A33,"Expense ratio",TRUE)</f>
        <v>7.1999999999999998E-3</v>
      </c>
      <c r="F33" s="16" cm="1">
        <f t="array" ref="F33">_FV(A33,"Open")</f>
        <v>47.69</v>
      </c>
      <c r="G33" s="16" cm="1">
        <f t="array" ref="G33">_FV(A33,"High")</f>
        <v>47.71</v>
      </c>
      <c r="H33" s="16" cm="1">
        <f t="array" ref="H33">_FV(A33,"Low")</f>
        <v>47.130299999999998</v>
      </c>
      <c r="I33" s="16" cm="1">
        <f t="array" ref="I33">_FV(A33,"Price")</f>
        <v>47.32</v>
      </c>
      <c r="J33" s="3" cm="1">
        <f t="array" ref="J33">_FV(A33,"Change (%)",TRUE)</f>
        <v>0</v>
      </c>
      <c r="K33" s="16" cm="1">
        <f t="array" ref="K33">_FV(Table1[[#This Row],[Funds]],"52 week high",TRUE)</f>
        <v>47.41</v>
      </c>
      <c r="L33" s="16" cm="1">
        <f t="array" ref="L33">_FV(Table1[[#This Row],[Funds]],"52 week low",TRUE)</f>
        <v>29.02</v>
      </c>
      <c r="M33" s="15">
        <f>(K33-I33)/K33</f>
        <v>1.8983336848765306E-3</v>
      </c>
    </row>
    <row r="34" spans="1:13">
      <c r="A34" s="1" t="e" vm="34">
        <v>#VALUE!</v>
      </c>
      <c r="B34" s="4" t="str" cm="1">
        <f t="array" ref="B34">_FV(A34,"Ticker symbol",TRUE)</f>
        <v>SNSR</v>
      </c>
      <c r="C34" s="1" t="s">
        <v>13</v>
      </c>
      <c r="D34" s="1" t="s">
        <v>22</v>
      </c>
      <c r="E34" s="3" cm="1">
        <f t="array" ref="E34">_FV(A34,"Expense ratio",TRUE)</f>
        <v>6.8999999999999999E-3</v>
      </c>
      <c r="F34" s="16" cm="1">
        <f t="array" ref="F34">_FV(A34,"Open")</f>
        <v>26.05</v>
      </c>
      <c r="G34" s="16" cm="1">
        <f t="array" ref="G34">_FV(A34,"High")</f>
        <v>26.12</v>
      </c>
      <c r="H34" s="16" cm="1">
        <f t="array" ref="H34">_FV(A34,"Low")</f>
        <v>25.88</v>
      </c>
      <c r="I34" s="16" cm="1">
        <f t="array" ref="I34">_FV(A34,"Price")</f>
        <v>25.95</v>
      </c>
      <c r="J34" s="3" cm="1">
        <f t="array" ref="J34">_FV(A34,"Change (%)",TRUE)</f>
        <v>6.594E-3</v>
      </c>
      <c r="K34" s="16" cm="1">
        <f t="array" ref="K34">_FV(Table1[[#This Row],[Funds]],"52 week high",TRUE)</f>
        <v>25.95</v>
      </c>
      <c r="L34" s="16" cm="1">
        <f t="array" ref="L34">_FV(Table1[[#This Row],[Funds]],"52 week low",TRUE)</f>
        <v>14.809699999999999</v>
      </c>
      <c r="M34" s="15">
        <f>(K34-I34)/K34</f>
        <v>0</v>
      </c>
    </row>
    <row r="35" spans="1:13">
      <c r="A35" s="1" t="e" vm="35">
        <v>#VALUE!</v>
      </c>
      <c r="B35" s="4" t="str" cm="1">
        <f t="array" ref="B35">_FV(A35,"Ticker symbol",TRUE)</f>
        <v>VTI</v>
      </c>
      <c r="C35" s="1" t="s">
        <v>13</v>
      </c>
      <c r="D35" s="1" t="s">
        <v>23</v>
      </c>
      <c r="E35" s="3" cm="1">
        <f t="array" ref="E35">_FV(A35,"Expense ratio",TRUE)</f>
        <v>4.0000000000000002E-4</v>
      </c>
      <c r="F35" s="16" cm="1">
        <f t="array" ref="F35">_FV(A35,"Open")</f>
        <v>165.625</v>
      </c>
      <c r="G35" s="16" cm="1">
        <f t="array" ref="G35">_FV(A35,"High")</f>
        <v>165.9</v>
      </c>
      <c r="H35" s="16" cm="1">
        <f t="array" ref="H35">_FV(A35,"Low")</f>
        <v>165.05199999999999</v>
      </c>
      <c r="I35" s="16" cm="1">
        <f t="array" ref="I35">_FV(A35,"Price")</f>
        <v>165.48220000000001</v>
      </c>
      <c r="J35" s="3" cm="1">
        <f t="array" ref="J35">_FV(A35,"Change (%)",TRUE)</f>
        <v>6.2770000000000005E-3</v>
      </c>
      <c r="K35" s="16" cm="1">
        <f t="array" ref="K35">_FV(Table1[[#This Row],[Funds]],"52 week high",TRUE)</f>
        <v>172.55670000000001</v>
      </c>
      <c r="L35" s="16" cm="1">
        <f t="array" ref="L35">_FV(Table1[[#This Row],[Funds]],"52 week low",TRUE)</f>
        <v>109.49</v>
      </c>
      <c r="M35" s="15">
        <f>(K35-I35)/K35</f>
        <v>4.0998118299666139E-2</v>
      </c>
    </row>
    <row r="36" spans="1:13">
      <c r="A36" s="1" t="e" vm="36">
        <v>#VALUE!</v>
      </c>
      <c r="B36" s="1" t="str" cm="1">
        <f t="array" ref="B36">_FV(A36,"Ticker symbol",TRUE)</f>
        <v>IVV</v>
      </c>
      <c r="C36" s="1" t="s">
        <v>13</v>
      </c>
      <c r="D36" s="1" t="s">
        <v>23</v>
      </c>
      <c r="E36" s="3" cm="1">
        <f t="array" ref="E36">_FV(A36,"Expense ratio",TRUE)</f>
        <v>4.0000000000000002E-4</v>
      </c>
      <c r="F36" s="16" cm="1">
        <f t="array" ref="F36">_FV(A36,"Open")</f>
        <v>327.71</v>
      </c>
      <c r="G36" s="16" cm="1">
        <f t="array" ref="G36">_FV(A36,"High")</f>
        <v>328.22</v>
      </c>
      <c r="H36" s="16" cm="1">
        <f t="array" ref="H36">_FV(A36,"Low")</f>
        <v>326.76</v>
      </c>
      <c r="I36" s="16" cm="1">
        <f t="array" ref="I36">_FV(A36,"Price")</f>
        <v>327.58</v>
      </c>
      <c r="J36" s="3" cm="1">
        <f t="array" ref="J36">_FV(A36,"Change (%)",TRUE)</f>
        <v>6.2360000000000002E-3</v>
      </c>
      <c r="K36" s="16" cm="1">
        <f t="array" ref="K36">_FV(Table1[[#This Row],[Funds]],"52 week high",TRUE)</f>
        <v>340.63119999999998</v>
      </c>
      <c r="L36" s="16" cm="1">
        <f t="array" ref="L36">_FV(Table1[[#This Row],[Funds]],"52 week low",TRUE)</f>
        <v>220.2756</v>
      </c>
      <c r="M36" s="15">
        <f>(K36-I36)/K36</f>
        <v>3.8314752142493101E-2</v>
      </c>
    </row>
    <row r="37" spans="1:13">
      <c r="A37" s="1" t="e" vm="37">
        <v>#VALUE!</v>
      </c>
      <c r="B37" s="1" t="str" cm="1">
        <f t="array" ref="B37">_FV(A37,"Ticker symbol",TRUE)</f>
        <v>VOO</v>
      </c>
      <c r="C37" s="1" t="s">
        <v>13</v>
      </c>
      <c r="D37" s="1" t="s">
        <v>23</v>
      </c>
      <c r="E37" s="3" cm="1">
        <f t="array" ref="E37">_FV(A37,"Expense ratio",TRUE)</f>
        <v>4.0000000000000002E-4</v>
      </c>
      <c r="F37" s="16" cm="1">
        <f t="array" ref="F37">_FV(A37,"Open")</f>
        <v>299.87</v>
      </c>
      <c r="G37" s="16" cm="1">
        <f t="array" ref="G37">_FV(A37,"High")</f>
        <v>300.35000000000002</v>
      </c>
      <c r="H37" s="16" cm="1">
        <f t="array" ref="H37">_FV(A37,"Low")</f>
        <v>298.99200000000002</v>
      </c>
      <c r="I37" s="16" cm="1">
        <f t="array" ref="I37">_FV(A37,"Price")</f>
        <v>299.745</v>
      </c>
      <c r="J37" s="3" cm="1">
        <f t="array" ref="J37">_FV(A37,"Change (%)",TRUE)</f>
        <v>6.1260000000000004E-3</v>
      </c>
      <c r="K37" s="16" cm="1">
        <f t="array" ref="K37">_FV(Table1[[#This Row],[Funds]],"52 week high",TRUE)</f>
        <v>311.58999999999997</v>
      </c>
      <c r="L37" s="16" cm="1">
        <f t="array" ref="L37">_FV(Table1[[#This Row],[Funds]],"52 week low",TRUE)</f>
        <v>200.55</v>
      </c>
      <c r="M37" s="15">
        <f>(K37-I37)/K37</f>
        <v>3.8014698802913992E-2</v>
      </c>
    </row>
  </sheetData>
  <conditionalFormatting sqref="A1:A1048576">
    <cfRule type="duplicateValues" dxfId="34"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D1" sqref="D1"/>
    </sheetView>
  </sheetViews>
  <sheetFormatPr defaultColWidth="11.42578125" defaultRowHeight="1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15.7109375" style="1" customWidth="1"/>
    <col min="7" max="10" width="11.42578125" style="1"/>
    <col min="11" max="11" width="11.42578125" style="3"/>
    <col min="12" max="13" width="11.42578125" style="1"/>
    <col min="14" max="14" width="11.42578125" style="3"/>
    <col min="15" max="16384" width="11.42578125" style="1"/>
  </cols>
  <sheetData>
    <row r="1" spans="1:14">
      <c r="A1" s="1" t="s">
        <v>0</v>
      </c>
      <c r="B1" s="1" t="s">
        <v>1</v>
      </c>
      <c r="C1" s="1" t="s">
        <v>2</v>
      </c>
      <c r="D1" s="1" t="s">
        <v>3</v>
      </c>
      <c r="E1" s="1" t="s">
        <v>24</v>
      </c>
      <c r="F1" s="1" t="s">
        <v>25</v>
      </c>
      <c r="G1" s="1" t="s">
        <v>5</v>
      </c>
      <c r="H1" s="1" t="s">
        <v>6</v>
      </c>
      <c r="I1" s="1" t="s">
        <v>7</v>
      </c>
      <c r="J1" s="1" t="s">
        <v>8</v>
      </c>
      <c r="K1" s="3" t="s">
        <v>9</v>
      </c>
      <c r="L1" s="1" t="s">
        <v>10</v>
      </c>
      <c r="M1" s="1" t="s">
        <v>11</v>
      </c>
      <c r="N1" s="3" t="s">
        <v>26</v>
      </c>
    </row>
    <row r="2" spans="1:14">
      <c r="A2" s="1" t="e" vm="38">
        <v>#VALUE!</v>
      </c>
      <c r="B2" s="4" t="str" cm="1">
        <f t="array" ref="B2">_FV(A2,"Ticker symbol",TRUE)</f>
        <v>LOW</v>
      </c>
      <c r="C2" s="1" t="s">
        <v>13</v>
      </c>
      <c r="D2" s="1" t="s">
        <v>16</v>
      </c>
      <c r="E2" s="1" t="s">
        <v>27</v>
      </c>
      <c r="F2" s="3" t="str" cm="1">
        <f t="array" ref="F2">_FV(A2,"Industry")</f>
        <v>Specialty Retailers</v>
      </c>
      <c r="G2" s="2" cm="1">
        <f t="array" ref="G2">_FV(A2,"Open")</f>
        <v>143.96</v>
      </c>
      <c r="H2" s="2" cm="1">
        <f t="array" ref="H2">_FV(A2,"High")</f>
        <v>145.91990000000001</v>
      </c>
      <c r="I2" s="2" cm="1">
        <f t="array" ref="I2">_FV(A2,"Low")</f>
        <v>143.51849999999999</v>
      </c>
      <c r="J2" s="2" cm="1">
        <f t="array" ref="J2">_FV(A2,"Price")</f>
        <v>145.26</v>
      </c>
      <c r="K2" s="3" cm="1">
        <f t="array" ref="K2">_FV(A2,"Change (%)",TRUE)</f>
        <v>7.77E-3</v>
      </c>
      <c r="L2" s="2" cm="1">
        <f t="array" ref="L2">_FV(Table13[[#This Row],[Funds]],"52 week high",TRUE)</f>
        <v>145.26</v>
      </c>
      <c r="M2" s="2" cm="1">
        <f t="array" ref="M2">_FV(Table13[[#This Row],[Funds]],"52 week low",TRUE)</f>
        <v>60</v>
      </c>
      <c r="N2" s="3">
        <f t="shared" ref="N2:N26" si="0">(L2-J2)/L2</f>
        <v>0</v>
      </c>
    </row>
    <row r="3" spans="1:14">
      <c r="A3" s="1" t="e" vm="39">
        <v>#VALUE!</v>
      </c>
      <c r="B3" s="4" t="str">
        <f t="array" ref="B3">_FV(A3,"Ticker symbol",TRUE)</f>
        <v>COST</v>
      </c>
      <c r="C3" s="1" t="s">
        <v>13</v>
      </c>
      <c r="D3" s="1" t="s">
        <v>16</v>
      </c>
      <c r="F3" s="3" t="str">
        <f t="array" ref="F3">_FV(A3,"Industry")</f>
        <v>Diversified Retail</v>
      </c>
      <c r="G3" s="2">
        <f t="array" ref="G3">_FV(A3,"Open")</f>
        <v>327</v>
      </c>
      <c r="H3" s="2">
        <f t="array" ref="H3">_FV(A3,"High")</f>
        <v>331.15</v>
      </c>
      <c r="I3" s="2">
        <f t="array" ref="I3">_FV(A3,"Low")</f>
        <v>326.5</v>
      </c>
      <c r="J3" s="2">
        <f t="array" ref="J3">_FV(A3,"Price")</f>
        <v>330.66</v>
      </c>
      <c r="K3" s="3">
        <f t="array" ref="K3">_FV(A3,"Change (%)",TRUE)</f>
        <v>1.2709999999999999E-2</v>
      </c>
      <c r="L3" s="2">
        <f t="array" ref="L3">_FV(Table13[[#This Row],[Funds]],"52 week high",TRUE)</f>
        <v>330.66</v>
      </c>
      <c r="M3" s="2">
        <f t="array" ref="M3">_FV(Table13[[#This Row],[Funds]],"52 week low",TRUE)</f>
        <v>262.70999999999998</v>
      </c>
      <c r="N3" s="3">
        <f t="shared" si="0"/>
        <v>0</v>
      </c>
    </row>
    <row r="4" spans="1:14">
      <c r="A4" s="1" t="e" vm="40">
        <v>#VALUE!</v>
      </c>
      <c r="B4" s="4" t="str" cm="1">
        <f t="array" ref="B4">_FV(A4,"Ticker symbol",TRUE)</f>
        <v>HMC</v>
      </c>
      <c r="C4" s="1" t="s">
        <v>13</v>
      </c>
      <c r="D4" s="1" t="s">
        <v>16</v>
      </c>
      <c r="E4" s="1" t="s">
        <v>27</v>
      </c>
      <c r="F4" s="3" t="str" cm="1">
        <f t="array" ref="F4">_FV(A4,"Industry")</f>
        <v>Automobiles &amp; Auto Parts</v>
      </c>
      <c r="G4" s="2" cm="1">
        <f t="array" ref="G4">_FV(A4,"Open")</f>
        <v>25.84</v>
      </c>
      <c r="H4" s="2" cm="1">
        <f t="array" ref="H4">_FV(A4,"High")</f>
        <v>26.055</v>
      </c>
      <c r="I4" s="2" cm="1">
        <f t="array" ref="I4">_FV(A4,"Low")</f>
        <v>25.82</v>
      </c>
      <c r="J4" s="2" cm="1">
        <f t="array" ref="J4">_FV(A4,"Price")</f>
        <v>26.03</v>
      </c>
      <c r="K4" s="3" cm="1">
        <f t="array" ref="K4">_FV(A4,"Change (%)",TRUE)</f>
        <v>-7.2459999999999998E-3</v>
      </c>
      <c r="L4" s="2" cm="1">
        <f t="array" ref="L4">_FV(Table13[[#This Row],[Funds]],"52 week high",TRUE)</f>
        <v>29.44</v>
      </c>
      <c r="M4" s="2" cm="1">
        <f t="array" ref="M4">_FV(Table13[[#This Row],[Funds]],"52 week low",TRUE)</f>
        <v>19.38</v>
      </c>
      <c r="N4" s="3">
        <f t="shared" si="0"/>
        <v>0.11582880434782608</v>
      </c>
    </row>
    <row r="5" spans="1:14">
      <c r="A5" s="1" t="e" vm="41">
        <v>#VALUE!</v>
      </c>
      <c r="B5" s="4" t="str" cm="1">
        <f t="array" ref="B5">_FV(A5,"Ticker symbol",TRUE)</f>
        <v>PAG</v>
      </c>
      <c r="C5" s="1" t="s">
        <v>13</v>
      </c>
      <c r="D5" s="1" t="s">
        <v>16</v>
      </c>
      <c r="E5" s="1" t="s">
        <v>27</v>
      </c>
      <c r="F5" s="3" t="str" cm="1">
        <f t="array" ref="F5">_FV(A5,"Industry")</f>
        <v>Specialty Retailers</v>
      </c>
      <c r="G5" s="2" cm="1">
        <f t="array" ref="G5">_FV(A5,"Open")</f>
        <v>45.81</v>
      </c>
      <c r="H5" s="2" cm="1">
        <f t="array" ref="H5">_FV(A5,"High")</f>
        <v>46.24</v>
      </c>
      <c r="I5" s="2" cm="1">
        <f t="array" ref="I5">_FV(A5,"Low")</f>
        <v>45.23</v>
      </c>
      <c r="J5" s="2" cm="1">
        <f t="array" ref="J5">_FV(A5,"Price")</f>
        <v>46.12</v>
      </c>
      <c r="K5" s="3" cm="1">
        <f t="array" ref="K5">_FV(A5,"Change (%)",TRUE)</f>
        <v>2.239E-2</v>
      </c>
      <c r="L5" s="2" cm="1">
        <f t="array" ref="L5">_FV(Table13[[#This Row],[Funds]],"52 week high",TRUE)</f>
        <v>53.81</v>
      </c>
      <c r="M5" s="2" cm="1">
        <f t="array" ref="M5">_FV(Table13[[#This Row],[Funds]],"52 week low",TRUE)</f>
        <v>19.989999999999998</v>
      </c>
      <c r="N5" s="3">
        <f t="shared" si="0"/>
        <v>0.14291023973239184</v>
      </c>
    </row>
    <row r="6" spans="1:14">
      <c r="A6" s="1" t="e" vm="42">
        <v>#VALUE!</v>
      </c>
      <c r="B6" s="4" t="str" cm="1">
        <f t="array" ref="B6">_FV(A6,"Ticker symbol",TRUE)</f>
        <v>DKS</v>
      </c>
      <c r="C6" s="1" t="s">
        <v>13</v>
      </c>
      <c r="D6" s="1" t="s">
        <v>16</v>
      </c>
      <c r="E6" s="1" t="s">
        <v>27</v>
      </c>
      <c r="F6" s="3" t="str" cm="1">
        <f t="array" ref="F6">_FV(A6,"Industry")</f>
        <v>Specialty Retailers</v>
      </c>
      <c r="G6" s="2" cm="1">
        <f t="array" ref="G6">_FV(A6,"Open")</f>
        <v>42.134999999999998</v>
      </c>
      <c r="H6" s="2" cm="1">
        <f t="array" ref="H6">_FV(A6,"High")</f>
        <v>43.465000000000003</v>
      </c>
      <c r="I6" s="2" cm="1">
        <f t="array" ref="I6">_FV(A6,"Low")</f>
        <v>41.85</v>
      </c>
      <c r="J6" s="2" cm="1">
        <f t="array" ref="J6">_FV(A6,"Price")</f>
        <v>43.01</v>
      </c>
      <c r="K6" s="3" cm="1">
        <f t="array" ref="K6">_FV(A6,"Change (%)",TRUE)</f>
        <v>5.9881999999999998E-2</v>
      </c>
      <c r="L6" s="2" cm="1">
        <f t="array" ref="L6">_FV(Table13[[#This Row],[Funds]],"52 week high",TRUE)</f>
        <v>49.8</v>
      </c>
      <c r="M6" s="2" cm="1">
        <f t="array" ref="M6">_FV(Table13[[#This Row],[Funds]],"52 week low",TRUE)</f>
        <v>13.46</v>
      </c>
      <c r="N6" s="3">
        <f t="shared" si="0"/>
        <v>0.1363453815261044</v>
      </c>
    </row>
    <row r="7" spans="1:14">
      <c r="A7" s="1" t="e" vm="43">
        <v>#VALUE!</v>
      </c>
      <c r="B7" s="4" t="str" cm="1">
        <f t="array" ref="B7">_FV(A7,"Ticker symbol",TRUE)</f>
        <v>GPC</v>
      </c>
      <c r="C7" s="1" t="s">
        <v>13</v>
      </c>
      <c r="D7" s="1" t="s">
        <v>16</v>
      </c>
      <c r="E7" s="1" t="s">
        <v>27</v>
      </c>
      <c r="F7" s="3" t="str" cm="1">
        <f t="array" ref="F7">_FV(A7,"Industry")</f>
        <v>Automobiles &amp; Auto Parts</v>
      </c>
      <c r="G7" s="2" cm="1">
        <f t="array" ref="G7">_FV(A7,"Open")</f>
        <v>87.13</v>
      </c>
      <c r="H7" s="2" cm="1">
        <f t="array" ref="H7">_FV(A7,"High")</f>
        <v>88.93</v>
      </c>
      <c r="I7" s="2" cm="1">
        <f t="array" ref="I7">_FV(A7,"Low")</f>
        <v>87.08</v>
      </c>
      <c r="J7" s="2" cm="1">
        <f t="array" ref="J7">_FV(A7,"Price")</f>
        <v>88.734999999999999</v>
      </c>
      <c r="K7" s="3" cm="1">
        <f t="array" ref="K7">_FV(A7,"Change (%)",TRUE)</f>
        <v>1.9474000000000002E-2</v>
      </c>
      <c r="L7" s="2" cm="1">
        <f t="array" ref="L7">_FV(Table13[[#This Row],[Funds]],"52 week high",TRUE)</f>
        <v>108.58</v>
      </c>
      <c r="M7" s="2" cm="1">
        <f t="array" ref="M7">_FV(Table13[[#This Row],[Funds]],"52 week low",TRUE)</f>
        <v>49.680999999999997</v>
      </c>
      <c r="N7" s="3">
        <f t="shared" si="0"/>
        <v>0.18276846564744889</v>
      </c>
    </row>
    <row r="8" spans="1:14">
      <c r="A8" s="1" t="e" vm="44">
        <v>#VALUE!</v>
      </c>
      <c r="B8" s="4" t="str" cm="1">
        <f t="array" ref="B8">_FV(A8,"Ticker symbol",TRUE)</f>
        <v>KO</v>
      </c>
      <c r="C8" s="1" t="s">
        <v>13</v>
      </c>
      <c r="D8" s="1" t="s">
        <v>16</v>
      </c>
      <c r="F8" s="3" t="str" cm="1">
        <f t="array" ref="F8">_FV(A8,"Industry")</f>
        <v>Beverages</v>
      </c>
      <c r="G8" s="2" cm="1">
        <f t="array" ref="G8">_FV(A8,"Open")</f>
        <v>47.56</v>
      </c>
      <c r="H8" s="2" cm="1">
        <f t="array" ref="H8">_FV(A8,"High")</f>
        <v>47.99</v>
      </c>
      <c r="I8" s="2" cm="1">
        <f t="array" ref="I8">_FV(A8,"Low")</f>
        <v>46.935000000000002</v>
      </c>
      <c r="J8" s="2" cm="1">
        <f t="array" ref="J8">_FV(A8,"Price")</f>
        <v>47.32</v>
      </c>
      <c r="K8" s="3" cm="1">
        <f t="array" ref="K8">_FV(A8,"Change (%)",TRUE)</f>
        <v>2.7132999999999997E-2</v>
      </c>
      <c r="L8" s="2" cm="1">
        <f t="array" ref="L8">_FV(Table13[[#This Row],[Funds]],"52 week high",TRUE)</f>
        <v>60.13</v>
      </c>
      <c r="M8" s="2" cm="1">
        <f t="array" ref="M8">_FV(Table13[[#This Row],[Funds]],"52 week low",TRUE)</f>
        <v>36.270000000000003</v>
      </c>
      <c r="N8" s="3">
        <f t="shared" si="0"/>
        <v>0.21303841676367871</v>
      </c>
    </row>
    <row r="9" spans="1:14">
      <c r="A9" s="1" t="e" vm="45">
        <v>#VALUE!</v>
      </c>
      <c r="B9" s="4" t="str" cm="1">
        <f t="array" ref="B9">_FV(A9,"Ticker symbol",TRUE)</f>
        <v>T</v>
      </c>
      <c r="C9" s="1" t="s">
        <v>13</v>
      </c>
      <c r="D9" s="1" t="s">
        <v>16</v>
      </c>
      <c r="F9" s="3" t="str" cm="1">
        <f t="array" ref="F9">_FV(A9,"Industry")</f>
        <v>Telecommunications Services</v>
      </c>
      <c r="G9" s="2" cm="1">
        <f t="array" ref="G9">_FV(A9,"Open")</f>
        <v>29.85</v>
      </c>
      <c r="H9" s="2" cm="1">
        <f t="array" ref="H9">_FV(A9,"High")</f>
        <v>30.42</v>
      </c>
      <c r="I9" s="2" cm="1">
        <f t="array" ref="I9">_FV(A9,"Low")</f>
        <v>29.85</v>
      </c>
      <c r="J9" s="2" cm="1">
        <f t="array" ref="J9">_FV(A9,"Price")</f>
        <v>30.395</v>
      </c>
      <c r="K9" s="3" cm="1">
        <f t="array" ref="K9">_FV(A9,"Change (%)",TRUE)</f>
        <v>1.7917000000000002E-2</v>
      </c>
      <c r="L9" s="2" cm="1">
        <f t="array" ref="L9">_FV(Table13[[#This Row],[Funds]],"52 week high",TRUE)</f>
        <v>39.700000000000003</v>
      </c>
      <c r="M9" s="2" cm="1">
        <f t="array" ref="M9">_FV(Table13[[#This Row],[Funds]],"52 week low",TRUE)</f>
        <v>26.08</v>
      </c>
      <c r="N9" s="3">
        <f t="shared" si="0"/>
        <v>0.23438287153652398</v>
      </c>
    </row>
    <row r="10" spans="1:14">
      <c r="A10" s="1" t="e" vm="46">
        <v>#VALUE!</v>
      </c>
      <c r="B10" s="4" t="str" cm="1">
        <f t="array" ref="B10">_FV(A10,"Ticker symbol",TRUE)</f>
        <v>SBUX</v>
      </c>
      <c r="C10" s="1" t="s">
        <v>13</v>
      </c>
      <c r="D10" s="1" t="s">
        <v>16</v>
      </c>
      <c r="E10" s="1" t="s">
        <v>27</v>
      </c>
      <c r="F10" s="3" t="str" cm="1">
        <f t="array" ref="F10">_FV(A10,"Industry")</f>
        <v>Hotels &amp; Entertainment Services</v>
      </c>
      <c r="G10" s="2" cm="1">
        <f t="array" ref="G10">_FV(A10,"Open")</f>
        <v>75.739999999999995</v>
      </c>
      <c r="H10" s="2" cm="1">
        <f t="array" ref="H10">_FV(A10,"High")</f>
        <v>76.8</v>
      </c>
      <c r="I10" s="2" cm="1">
        <f t="array" ref="I10">_FV(A10,"Low")</f>
        <v>75.34</v>
      </c>
      <c r="J10" s="2" cm="1">
        <f t="array" ref="J10">_FV(A10,"Price")</f>
        <v>76.489999999999995</v>
      </c>
      <c r="K10" s="3" cm="1">
        <f t="array" ref="K10">_FV(A10,"Change (%)",TRUE)</f>
        <v>2.0411000000000002E-2</v>
      </c>
      <c r="L10" s="2" cm="1">
        <f t="array" ref="L10">_FV(Table13[[#This Row],[Funds]],"52 week high",TRUE)</f>
        <v>99.72</v>
      </c>
      <c r="M10" s="2" cm="1">
        <f t="array" ref="M10">_FV(Table13[[#This Row],[Funds]],"52 week low",TRUE)</f>
        <v>50.02</v>
      </c>
      <c r="N10" s="3">
        <f t="shared" si="0"/>
        <v>0.23295226634576818</v>
      </c>
    </row>
    <row r="11" spans="1:14">
      <c r="A11" s="1" t="e" vm="47">
        <v>#VALUE!</v>
      </c>
      <c r="B11" s="4" t="str" cm="1">
        <f t="array" ref="B11">_FV(A11,"Ticker symbol",TRUE)</f>
        <v>JPM</v>
      </c>
      <c r="C11" s="1" t="s">
        <v>13</v>
      </c>
      <c r="D11" s="1" t="s">
        <v>16</v>
      </c>
      <c r="E11" s="1" t="s">
        <v>28</v>
      </c>
      <c r="F11" s="3" t="str" cm="1">
        <f t="array" ref="F11">_FV(A11,"Industry")</f>
        <v>Banking Services</v>
      </c>
      <c r="G11" s="2" cm="1">
        <f t="array" ref="G11">_FV(A11,"Open")</f>
        <v>97.73</v>
      </c>
      <c r="H11" s="2" cm="1">
        <f t="array" ref="H11">_FV(A11,"High")</f>
        <v>100.05</v>
      </c>
      <c r="I11" s="2" cm="1">
        <f t="array" ref="I11">_FV(A11,"Low")</f>
        <v>97.65</v>
      </c>
      <c r="J11" s="2" cm="1">
        <f t="array" ref="J11">_FV(A11,"Price")</f>
        <v>99.71</v>
      </c>
      <c r="K11" s="3" cm="1">
        <f t="array" ref="K11">_FV(A11,"Change (%)",TRUE)</f>
        <v>2.4874E-2</v>
      </c>
      <c r="L11" s="2" cm="1">
        <f t="array" ref="L11">_FV(Table13[[#This Row],[Funds]],"52 week high",TRUE)</f>
        <v>141.1</v>
      </c>
      <c r="M11" s="2" cm="1">
        <f t="array" ref="M11">_FV(Table13[[#This Row],[Funds]],"52 week low",TRUE)</f>
        <v>76.91</v>
      </c>
      <c r="N11" s="3">
        <f t="shared" si="0"/>
        <v>0.29333805811481223</v>
      </c>
    </row>
    <row r="12" spans="1:14">
      <c r="A12" s="1" t="e" vm="48">
        <v>#VALUE!</v>
      </c>
      <c r="B12" s="4" t="str" cm="1">
        <f t="array" ref="B12">_FV(A12,"Ticker symbol",TRUE)</f>
        <v>CVX</v>
      </c>
      <c r="C12" s="1" t="s">
        <v>13</v>
      </c>
      <c r="D12" s="1" t="s">
        <v>16</v>
      </c>
      <c r="E12" s="1" t="s">
        <v>29</v>
      </c>
      <c r="F12" s="3" t="str" cm="1">
        <f t="array" ref="F12">_FV(A12,"Industry")</f>
        <v>Oil &amp; Gas</v>
      </c>
      <c r="G12" s="2" cm="1">
        <f t="array" ref="G12">_FV(A12,"Open")</f>
        <v>86.54</v>
      </c>
      <c r="H12" s="2" cm="1">
        <f t="array" ref="H12">_FV(A12,"High")</f>
        <v>91.52</v>
      </c>
      <c r="I12" s="2" cm="1">
        <f t="array" ref="I12">_FV(A12,"Low")</f>
        <v>86.36</v>
      </c>
      <c r="J12" s="2" cm="1">
        <f t="array" ref="J12">_FV(A12,"Price")</f>
        <v>91.42</v>
      </c>
      <c r="K12" s="3" cm="1">
        <f t="array" ref="K12">_FV(A12,"Change (%)",TRUE)</f>
        <v>7.2123999999999994E-2</v>
      </c>
      <c r="L12" s="2" cm="1">
        <f t="array" ref="L12">_FV(Table13[[#This Row],[Funds]],"52 week high",TRUE)</f>
        <v>127</v>
      </c>
      <c r="M12" s="2" cm="1">
        <f t="array" ref="M12">_FV(Table13[[#This Row],[Funds]],"52 week low",TRUE)</f>
        <v>51.6</v>
      </c>
      <c r="N12" s="3">
        <f t="shared" si="0"/>
        <v>0.28015748031496063</v>
      </c>
    </row>
    <row r="13" spans="1:14">
      <c r="A13" s="1" t="e" vm="49">
        <v>#VALUE!</v>
      </c>
      <c r="B13" s="4" t="str" cm="1">
        <f t="array" ref="B13">_FV(A13,"Ticker symbol",TRUE)</f>
        <v>CQP</v>
      </c>
      <c r="C13" s="1" t="s">
        <v>13</v>
      </c>
      <c r="D13" s="1" t="s">
        <v>16</v>
      </c>
      <c r="E13" s="1" t="s">
        <v>29</v>
      </c>
      <c r="F13" s="3" t="s">
        <v>29</v>
      </c>
      <c r="G13" s="2" cm="1">
        <f t="array" ref="G13">_FV(A13,"Open")</f>
        <v>34.33</v>
      </c>
      <c r="H13" s="2" cm="1">
        <f t="array" ref="H13">_FV(A13,"High")</f>
        <v>35.091999999999999</v>
      </c>
      <c r="I13" s="2" cm="1">
        <f t="array" ref="I13">_FV(A13,"Low")</f>
        <v>34.107999999999997</v>
      </c>
      <c r="J13" s="2" cm="1">
        <f t="array" ref="J13">_FV(A13,"Price")</f>
        <v>34.99</v>
      </c>
      <c r="K13" s="3" cm="1">
        <f t="array" ref="K13">_FV(A13,"Change (%)",TRUE)</f>
        <v>2.8815E-2</v>
      </c>
      <c r="L13" s="2" cm="1">
        <f t="array" ref="L13">_FV(Table13[[#This Row],[Funds]],"52 week high",TRUE)</f>
        <v>49.3</v>
      </c>
      <c r="M13" s="2" cm="1">
        <f t="array" ref="M13">_FV(Table13[[#This Row],[Funds]],"52 week low",TRUE)</f>
        <v>17.75</v>
      </c>
      <c r="N13" s="3">
        <f t="shared" si="0"/>
        <v>0.29026369168356991</v>
      </c>
    </row>
    <row r="14" spans="1:14">
      <c r="A14" s="1" t="e" vm="50">
        <v>#VALUE!</v>
      </c>
      <c r="B14" s="4" t="str" cm="1">
        <f t="array" ref="B14">_FV(A14,"Ticker symbol",TRUE)</f>
        <v>LVS</v>
      </c>
      <c r="C14" s="1" t="s">
        <v>13</v>
      </c>
      <c r="D14" s="1" t="s">
        <v>16</v>
      </c>
      <c r="E14" s="1" t="s">
        <v>27</v>
      </c>
      <c r="F14" s="3" t="str" cm="1">
        <f t="array" ref="F14">_FV(A14,"Industry")</f>
        <v>Hotels &amp; Entertainment Services</v>
      </c>
      <c r="G14" s="2" cm="1">
        <f t="array" ref="G14">_FV(A14,"Open")</f>
        <v>47.79</v>
      </c>
      <c r="H14" s="2" cm="1">
        <f t="array" ref="H14">_FV(A14,"High")</f>
        <v>48.98</v>
      </c>
      <c r="I14" s="2" cm="1">
        <f t="array" ref="I14">_FV(A14,"Low")</f>
        <v>47.58</v>
      </c>
      <c r="J14" s="2" cm="1">
        <f t="array" ref="J14">_FV(A14,"Price")</f>
        <v>48.6</v>
      </c>
      <c r="K14" s="3" cm="1">
        <f t="array" ref="K14">_FV(A14,"Change (%)",TRUE)</f>
        <v>2.8354000000000001E-2</v>
      </c>
      <c r="L14" s="2" cm="1">
        <f t="array" ref="L14">_FV(Table13[[#This Row],[Funds]],"52 week high",TRUE)</f>
        <v>74.290000000000006</v>
      </c>
      <c r="M14" s="2" cm="1">
        <f t="array" ref="M14">_FV(Table13[[#This Row],[Funds]],"52 week low",TRUE)</f>
        <v>33.299999999999997</v>
      </c>
      <c r="N14" s="3">
        <f t="shared" si="0"/>
        <v>0.34580697267465343</v>
      </c>
    </row>
    <row r="15" spans="1:14">
      <c r="A15" s="1" t="e" vm="51">
        <v>#VALUE!</v>
      </c>
      <c r="B15" s="4" t="str" cm="1">
        <f t="array" ref="B15">_FV(A15,"Ticker symbol",TRUE)</f>
        <v>BAC</v>
      </c>
      <c r="C15" s="1" t="s">
        <v>13</v>
      </c>
      <c r="D15" s="1" t="s">
        <v>16</v>
      </c>
      <c r="E15" s="1" t="s">
        <v>28</v>
      </c>
      <c r="F15" s="3" t="str" cm="1">
        <f t="array" ref="F15">_FV(A15,"Industry")</f>
        <v>Banking Services</v>
      </c>
      <c r="G15" s="2" cm="1">
        <f t="array" ref="G15">_FV(A15,"Open")</f>
        <v>23.75</v>
      </c>
      <c r="H15" s="2" cm="1">
        <f t="array" ref="H15">_FV(A15,"High")</f>
        <v>24.48</v>
      </c>
      <c r="I15" s="2" cm="1">
        <f t="array" ref="I15">_FV(A15,"Low")</f>
        <v>23.69</v>
      </c>
      <c r="J15" s="2" cm="1">
        <f t="array" ref="J15">_FV(A15,"Price")</f>
        <v>24.44</v>
      </c>
      <c r="K15" s="3" cm="1">
        <f t="array" ref="K15">_FV(A15,"Change (%)",TRUE)</f>
        <v>3.6032000000000002E-2</v>
      </c>
      <c r="L15" s="2" cm="1">
        <f t="array" ref="L15">_FV(Table13[[#This Row],[Funds]],"52 week high",TRUE)</f>
        <v>35.72</v>
      </c>
      <c r="M15" s="2" cm="1">
        <f t="array" ref="M15">_FV(Table13[[#This Row],[Funds]],"52 week low",TRUE)</f>
        <v>17.95</v>
      </c>
      <c r="N15" s="3">
        <f t="shared" si="0"/>
        <v>0.31578947368421045</v>
      </c>
    </row>
    <row r="16" spans="1:14">
      <c r="A16" s="1" t="e" vm="52">
        <v>#VALUE!</v>
      </c>
      <c r="B16" s="4" t="str" cm="1">
        <f t="array" ref="B16">_FV(A16,"Ticker symbol",TRUE)</f>
        <v>MMP</v>
      </c>
      <c r="C16" s="1" t="s">
        <v>13</v>
      </c>
      <c r="D16" s="1" t="s">
        <v>16</v>
      </c>
      <c r="E16" s="1" t="s">
        <v>29</v>
      </c>
      <c r="F16" s="3" t="s">
        <v>30</v>
      </c>
      <c r="G16" s="2" cm="1">
        <f t="array" ref="G16">_FV(A16,"Open")</f>
        <v>41.7</v>
      </c>
      <c r="H16" s="2" cm="1">
        <f t="array" ref="H16">_FV(A16,"High")</f>
        <v>42.59</v>
      </c>
      <c r="I16" s="2" cm="1">
        <f t="array" ref="I16">_FV(A16,"Low")</f>
        <v>41.34</v>
      </c>
      <c r="J16" s="2" cm="1">
        <f t="array" ref="J16">_FV(A16,"Price")</f>
        <v>42.46</v>
      </c>
      <c r="K16" s="3" cm="1">
        <f t="array" ref="K16">_FV(A16,"Change (%)",TRUE)</f>
        <v>3.2336000000000004E-2</v>
      </c>
      <c r="L16" s="2" cm="1">
        <f t="array" ref="L16">_FV(Table13[[#This Row],[Funds]],"52 week high",TRUE)</f>
        <v>67.75</v>
      </c>
      <c r="M16" s="2" cm="1">
        <f t="array" ref="M16">_FV(Table13[[#This Row],[Funds]],"52 week low",TRUE)</f>
        <v>22.02</v>
      </c>
      <c r="N16" s="3">
        <f t="shared" si="0"/>
        <v>0.37328413284132839</v>
      </c>
    </row>
    <row r="17" spans="1:14">
      <c r="A17" s="1" t="e" vm="53">
        <v>#VALUE!</v>
      </c>
      <c r="B17" s="4" t="str" cm="1">
        <f t="array" ref="B17">_FV(A17,"Ticker symbol",TRUE)</f>
        <v>COP</v>
      </c>
      <c r="C17" s="1" t="s">
        <v>13</v>
      </c>
      <c r="D17" s="1" t="s">
        <v>16</v>
      </c>
      <c r="E17" s="1" t="s">
        <v>29</v>
      </c>
      <c r="F17" s="3" t="str" cm="1">
        <f t="array" ref="F17">_FV(A17,"Industry")</f>
        <v>Oil &amp; Gas</v>
      </c>
      <c r="G17" s="2" cm="1">
        <f t="array" ref="G17">_FV(A17,"Open")</f>
        <v>40.04</v>
      </c>
      <c r="H17" s="2" cm="1">
        <f t="array" ref="H17">_FV(A17,"High")</f>
        <v>42.08</v>
      </c>
      <c r="I17" s="2" cm="1">
        <f t="array" ref="I17">_FV(A17,"Low")</f>
        <v>40.04</v>
      </c>
      <c r="J17" s="2" cm="1">
        <f t="array" ref="J17">_FV(A17,"Price")</f>
        <v>41.734999999999999</v>
      </c>
      <c r="K17" s="3" cm="1">
        <f t="array" ref="K17">_FV(A17,"Change (%)",TRUE)</f>
        <v>6.1148999999999995E-2</v>
      </c>
      <c r="L17" s="2" cm="1">
        <f t="array" ref="L17">_FV(Table13[[#This Row],[Funds]],"52 week high",TRUE)</f>
        <v>67.13</v>
      </c>
      <c r="M17" s="2" cm="1">
        <f t="array" ref="M17">_FV(Table13[[#This Row],[Funds]],"52 week low",TRUE)</f>
        <v>20.84</v>
      </c>
      <c r="N17" s="3">
        <f t="shared" si="0"/>
        <v>0.37829584388499921</v>
      </c>
    </row>
    <row r="18" spans="1:14">
      <c r="A18" s="1" t="e" vm="54">
        <v>#VALUE!</v>
      </c>
      <c r="B18" s="4" t="str" cm="1">
        <f t="array" ref="B18">_FV(A18,"Ticker symbol",TRUE)</f>
        <v>WYND</v>
      </c>
      <c r="C18" s="1" t="s">
        <v>13</v>
      </c>
      <c r="D18" s="1" t="s">
        <v>16</v>
      </c>
      <c r="E18" s="1" t="s">
        <v>27</v>
      </c>
      <c r="F18" s="3" t="str" cm="1">
        <f t="array" ref="F18">_FV(A18,"Industry")</f>
        <v>Hotels &amp; Entertainment Services</v>
      </c>
      <c r="G18" s="2" cm="1">
        <f t="array" ref="G18">_FV(A18,"Open")</f>
        <v>29.46</v>
      </c>
      <c r="H18" s="2" cm="1">
        <f t="array" ref="H18">_FV(A18,"High")</f>
        <v>30.39</v>
      </c>
      <c r="I18" s="2" cm="1">
        <f t="array" ref="I18">_FV(A18,"Low")</f>
        <v>28.8</v>
      </c>
      <c r="J18" s="2" cm="1">
        <f t="array" ref="J18">_FV(A18,"Price")</f>
        <v>30.31</v>
      </c>
      <c r="K18" s="3" cm="1">
        <f t="array" ref="K18">_FV(A18,"Change (%)",TRUE)</f>
        <v>7.2161000000000003E-2</v>
      </c>
      <c r="L18" s="2" cm="1">
        <f t="array" ref="L18">_FV(Table13[[#This Row],[Funds]],"52 week high",TRUE)</f>
        <v>53.13</v>
      </c>
      <c r="M18" s="2" cm="1">
        <f t="array" ref="M18">_FV(Table13[[#This Row],[Funds]],"52 week low",TRUE)</f>
        <v>13.74</v>
      </c>
      <c r="N18" s="3">
        <f t="shared" si="0"/>
        <v>0.42951251646903826</v>
      </c>
    </row>
    <row r="19" spans="1:14">
      <c r="A19" s="1" t="e" vm="55">
        <v>#VALUE!</v>
      </c>
      <c r="B19" s="4" t="str" cm="1">
        <f t="array" ref="B19">_FV(A19,"Ticker symbol",TRUE)</f>
        <v>XOM</v>
      </c>
      <c r="C19" s="1" t="s">
        <v>13</v>
      </c>
      <c r="D19" s="1" t="s">
        <v>16</v>
      </c>
      <c r="E19" s="1" t="s">
        <v>29</v>
      </c>
      <c r="F19" s="3" t="str" cm="1">
        <f t="array" ref="F19">_FV(A19,"Industry")</f>
        <v>Oil &amp; Gas</v>
      </c>
      <c r="G19" s="2" cm="1">
        <f t="array" ref="G19">_FV(A19,"Open")</f>
        <v>43.12</v>
      </c>
      <c r="H19" s="2" cm="1">
        <f t="array" ref="H19">_FV(A19,"High")</f>
        <v>45.19</v>
      </c>
      <c r="I19" s="2" cm="1">
        <f t="array" ref="I19">_FV(A19,"Low")</f>
        <v>43.11</v>
      </c>
      <c r="J19" s="2" cm="1">
        <f t="array" ref="J19">_FV(A19,"Price")</f>
        <v>44.884999999999998</v>
      </c>
      <c r="K19" s="3" cm="1">
        <f t="array" ref="K19">_FV(A19,"Change (%)",TRUE)</f>
        <v>5.5993000000000001E-2</v>
      </c>
      <c r="L19" s="2" cm="1">
        <f t="array" ref="L19">_FV(Table13[[#This Row],[Funds]],"52 week high",TRUE)</f>
        <v>76.05</v>
      </c>
      <c r="M19" s="2" cm="1">
        <f t="array" ref="M19">_FV(Table13[[#This Row],[Funds]],"52 week low",TRUE)</f>
        <v>30.11</v>
      </c>
      <c r="N19" s="3">
        <f t="shared" si="0"/>
        <v>0.40979618671926366</v>
      </c>
    </row>
    <row r="20" spans="1:14">
      <c r="A20" s="1" t="e" vm="56">
        <v>#VALUE!</v>
      </c>
      <c r="B20" s="4" t="str" cm="1">
        <f t="array" ref="B20">_FV(A20,"Ticker symbol",TRUE)</f>
        <v>VLO</v>
      </c>
      <c r="C20" s="1" t="s">
        <v>13</v>
      </c>
      <c r="D20" s="1" t="s">
        <v>16</v>
      </c>
      <c r="E20" s="1" t="s">
        <v>29</v>
      </c>
      <c r="F20" s="3" t="str" cm="1">
        <f t="array" ref="F20">_FV(A20,"Industry")</f>
        <v>Oil &amp; Gas</v>
      </c>
      <c r="G20" s="2" cm="1">
        <f t="array" ref="G20">_FV(A20,"Open")</f>
        <v>55.37</v>
      </c>
      <c r="H20" s="2" cm="1">
        <f t="array" ref="H20">_FV(A20,"High")</f>
        <v>57.83</v>
      </c>
      <c r="I20" s="2" cm="1">
        <f t="array" ref="I20">_FV(A20,"Low")</f>
        <v>55.02</v>
      </c>
      <c r="J20" s="2" cm="1">
        <f t="array" ref="J20">_FV(A20,"Price")</f>
        <v>57.675699999999999</v>
      </c>
      <c r="K20" s="3" cm="1">
        <f t="array" ref="K20">_FV(A20,"Change (%)",TRUE)</f>
        <v>6.1386000000000003E-2</v>
      </c>
      <c r="L20" s="2" cm="1">
        <f t="array" ref="L20">_FV(Table13[[#This Row],[Funds]],"52 week high",TRUE)</f>
        <v>101.99</v>
      </c>
      <c r="M20" s="2" cm="1">
        <f t="array" ref="M20">_FV(Table13[[#This Row],[Funds]],"52 week low",TRUE)</f>
        <v>31</v>
      </c>
      <c r="N20" s="3">
        <f t="shared" si="0"/>
        <v>0.43449651926659477</v>
      </c>
    </row>
    <row r="21" spans="1:14">
      <c r="A21" s="1" t="e" vm="57">
        <v>#VALUE!</v>
      </c>
      <c r="B21" s="4" t="str" cm="1">
        <f t="array" ref="B21">_FV(A21,"Ticker symbol",TRUE)</f>
        <v>HRB</v>
      </c>
      <c r="C21" s="1" t="s">
        <v>13</v>
      </c>
      <c r="D21" s="1" t="s">
        <v>16</v>
      </c>
      <c r="E21" s="1" t="s">
        <v>27</v>
      </c>
      <c r="F21" s="3" t="str" cm="1">
        <f t="array" ref="F21">_FV(A21,"Industry")</f>
        <v>Personal &amp; Household Products &amp; Services</v>
      </c>
      <c r="G21" s="2" cm="1">
        <f t="array" ref="G21">_FV(A21,"Open")</f>
        <v>14.33</v>
      </c>
      <c r="H21" s="2" cm="1">
        <f t="array" ref="H21">_FV(A21,"High")</f>
        <v>14.77</v>
      </c>
      <c r="I21" s="2" cm="1">
        <f t="array" ref="I21">_FV(A21,"Low")</f>
        <v>14.29</v>
      </c>
      <c r="J21" s="2" cm="1">
        <f t="array" ref="J21">_FV(A21,"Price")</f>
        <v>14.55</v>
      </c>
      <c r="K21" s="3" cm="1">
        <f t="array" ref="K21">_FV(A21,"Change (%)",TRUE)</f>
        <v>2.8996000000000001E-2</v>
      </c>
      <c r="L21" s="2" cm="1">
        <f t="array" ref="L21">_FV(Table13[[#This Row],[Funds]],"52 week high",TRUE)</f>
        <v>28.21</v>
      </c>
      <c r="M21" s="2" cm="1">
        <f t="array" ref="M21">_FV(Table13[[#This Row],[Funds]],"52 week low",TRUE)</f>
        <v>11.290100000000001</v>
      </c>
      <c r="N21" s="3">
        <f t="shared" si="0"/>
        <v>0.48422545196738742</v>
      </c>
    </row>
    <row r="22" spans="1:14">
      <c r="A22" s="1" t="e" vm="58">
        <v>#VALUE!</v>
      </c>
      <c r="B22" s="4" t="str" cm="1">
        <f t="array" ref="B22">_FV(A22,"Ticker symbol",TRUE)</f>
        <v>RDS.A</v>
      </c>
      <c r="C22" s="1" t="s">
        <v>13</v>
      </c>
      <c r="D22" s="1" t="s">
        <v>16</v>
      </c>
      <c r="E22" s="1" t="s">
        <v>29</v>
      </c>
      <c r="F22" s="3" t="str" cm="1">
        <f t="array" ref="F22">_FV(A22,"Industry")</f>
        <v>Oil &amp; Gas</v>
      </c>
      <c r="G22" s="2" cm="1">
        <f t="array" ref="G22">_FV(A22,"Open")</f>
        <v>32.840000000000003</v>
      </c>
      <c r="H22" s="2" cm="1">
        <f t="array" ref="H22">_FV(A22,"High")</f>
        <v>33.880099999999999</v>
      </c>
      <c r="I22" s="2" cm="1">
        <f t="array" ref="I22">_FV(A22,"Low")</f>
        <v>32.79</v>
      </c>
      <c r="J22" s="2" cm="1">
        <f t="array" ref="J22">_FV(A22,"Price")</f>
        <v>33.65</v>
      </c>
      <c r="K22" s="3" cm="1">
        <f t="array" ref="K22">_FV(A22,"Change (%)",TRUE)</f>
        <v>3.8260000000000002E-2</v>
      </c>
      <c r="L22" s="2" cm="1">
        <f t="array" ref="L22">_FV(Table13[[#This Row],[Funds]],"52 week high",TRUE)</f>
        <v>64.33</v>
      </c>
      <c r="M22" s="2" cm="1">
        <f t="array" ref="M22">_FV(Table13[[#This Row],[Funds]],"52 week low",TRUE)</f>
        <v>21.254999999999999</v>
      </c>
      <c r="N22" s="3">
        <f t="shared" si="0"/>
        <v>0.47691590237836157</v>
      </c>
    </row>
    <row r="23" spans="1:14">
      <c r="A23" s="1" t="e" vm="59">
        <v>#VALUE!</v>
      </c>
      <c r="B23" s="4" t="str" cm="1">
        <f t="array" ref="B23">_FV(A23,"Ticker symbol",TRUE)</f>
        <v>CAKE</v>
      </c>
      <c r="C23" s="1" t="s">
        <v>13</v>
      </c>
      <c r="D23" s="1" t="s">
        <v>16</v>
      </c>
      <c r="E23" s="1" t="s">
        <v>27</v>
      </c>
      <c r="F23" s="3" t="str" cm="1">
        <f t="array" ref="F23">_FV(A23,"Industry")</f>
        <v>Hotels &amp; Entertainment Services</v>
      </c>
      <c r="G23" s="2" cm="1">
        <f t="array" ref="G23">_FV(A23,"Open")</f>
        <v>22.17</v>
      </c>
      <c r="H23" s="2" cm="1">
        <f t="array" ref="H23">_FV(A23,"High")</f>
        <v>22.83</v>
      </c>
      <c r="I23" s="2" cm="1">
        <f t="array" ref="I23">_FV(A23,"Low")</f>
        <v>22.02</v>
      </c>
      <c r="J23" s="2" cm="1">
        <f t="array" ref="J23">_FV(A23,"Price")</f>
        <v>22.734999999999999</v>
      </c>
      <c r="K23" s="3" cm="1">
        <f t="array" ref="K23">_FV(A23,"Change (%)",TRUE)</f>
        <v>3.4348999999999998E-2</v>
      </c>
      <c r="L23" s="2" cm="1">
        <f t="array" ref="L23">_FV(Table13[[#This Row],[Funds]],"52 week high",TRUE)</f>
        <v>45.24</v>
      </c>
      <c r="M23" s="2" cm="1">
        <f t="array" ref="M23">_FV(Table13[[#This Row],[Funds]],"52 week low",TRUE)</f>
        <v>14.52</v>
      </c>
      <c r="N23" s="3">
        <f t="shared" si="0"/>
        <v>0.49745800176834665</v>
      </c>
    </row>
    <row r="24" spans="1:14">
      <c r="A24" s="1" t="e" vm="60">
        <v>#VALUE!</v>
      </c>
      <c r="B24" s="1" t="str" cm="1">
        <f t="array" ref="B24">_FV(A24,"Ticker symbol",TRUE)</f>
        <v>WFC</v>
      </c>
      <c r="C24" s="1" t="s">
        <v>13</v>
      </c>
      <c r="D24" s="1" t="s">
        <v>16</v>
      </c>
      <c r="E24" s="1" t="s">
        <v>28</v>
      </c>
      <c r="F24" s="3" t="str" cm="1">
        <f t="array" ref="F24">_FV(A24,"Industry")</f>
        <v>Banking Services</v>
      </c>
      <c r="G24" s="2" cm="1">
        <f t="array" ref="G24">_FV(A24,"Open")</f>
        <v>24.74</v>
      </c>
      <c r="H24" s="2" cm="1">
        <f t="array" ref="H24">_FV(A24,"High")</f>
        <v>26.28</v>
      </c>
      <c r="I24" s="2" cm="1">
        <f t="array" ref="I24">_FV(A24,"Low")</f>
        <v>24.71</v>
      </c>
      <c r="J24" s="2" cm="1">
        <f t="array" ref="J24">_FV(A24,"Price")</f>
        <v>26.042200000000001</v>
      </c>
      <c r="K24" s="3" cm="1">
        <f t="array" ref="K24">_FV(A24,"Change (%)",TRUE)</f>
        <v>6.0350000000000001E-2</v>
      </c>
      <c r="L24" s="2" cm="1">
        <f t="array" ref="L24">_FV(Table13[[#This Row],[Funds]],"52 week high",TRUE)</f>
        <v>54.75</v>
      </c>
      <c r="M24" s="2" cm="1">
        <f t="array" ref="M24">_FV(Table13[[#This Row],[Funds]],"52 week low",TRUE)</f>
        <v>22</v>
      </c>
      <c r="N24" s="3">
        <f t="shared" si="0"/>
        <v>0.52434337899543382</v>
      </c>
    </row>
    <row r="25" spans="1:14">
      <c r="A25" s="1" t="e" vm="61">
        <v>#VALUE!</v>
      </c>
      <c r="B25" s="4" t="str" cm="1">
        <f t="array" ref="B25">_FV(A25,"Ticker symbol",TRUE)</f>
        <v>SIX</v>
      </c>
      <c r="C25" s="1" t="s">
        <v>13</v>
      </c>
      <c r="D25" s="1" t="s">
        <v>16</v>
      </c>
      <c r="E25" s="1" t="s">
        <v>27</v>
      </c>
      <c r="F25" s="3" t="str" cm="1">
        <f t="array" ref="F25">_FV(A25,"Industry")</f>
        <v>Hotels &amp; Entertainment Services</v>
      </c>
      <c r="G25" s="2" cm="1">
        <f t="array" ref="G25">_FV(A25,"Open")</f>
        <v>20.46</v>
      </c>
      <c r="H25" s="2" cm="1">
        <f t="array" ref="H25">_FV(A25,"High")</f>
        <v>20.85</v>
      </c>
      <c r="I25" s="2" cm="1">
        <f t="array" ref="I25">_FV(A25,"Low")</f>
        <v>20.29</v>
      </c>
      <c r="J25" s="2" cm="1">
        <f t="array" ref="J25">_FV(A25,"Price")</f>
        <v>20.754999999999999</v>
      </c>
      <c r="K25" s="3" cm="1">
        <f t="array" ref="K25">_FV(A25,"Change (%)",TRUE)</f>
        <v>2.5952000000000003E-2</v>
      </c>
      <c r="L25" s="2" cm="1">
        <f t="array" ref="L25">_FV(Table13[[#This Row],[Funds]],"52 week high",TRUE)</f>
        <v>59.52</v>
      </c>
      <c r="M25" s="2" cm="1">
        <f t="array" ref="M25">_FV(Table13[[#This Row],[Funds]],"52 week low",TRUE)</f>
        <v>8.75</v>
      </c>
      <c r="N25" s="3">
        <f t="shared" si="0"/>
        <v>0.65129368279569888</v>
      </c>
    </row>
    <row r="26" spans="1:14">
      <c r="A26" s="1" t="e" vm="62">
        <v>#VALUE!</v>
      </c>
      <c r="B26" s="4" t="str" cm="1">
        <f t="array" ref="B26">_FV(A26,"Ticker symbol",TRUE)</f>
        <v>OXY</v>
      </c>
      <c r="C26" s="1" t="s">
        <v>13</v>
      </c>
      <c r="D26" s="1" t="s">
        <v>16</v>
      </c>
      <c r="E26" s="1" t="s">
        <v>29</v>
      </c>
      <c r="F26" s="3" t="str" cm="1">
        <f t="array" ref="F26">_FV(A26,"Industry")</f>
        <v>Oil &amp; Gas</v>
      </c>
      <c r="G26" s="2" cm="1">
        <f t="array" ref="G26">_FV(A26,"Open")</f>
        <v>16.09</v>
      </c>
      <c r="H26" s="2" cm="1">
        <f t="array" ref="H26">_FV(A26,"High")</f>
        <v>18.03</v>
      </c>
      <c r="I26" s="2" cm="1">
        <f t="array" ref="I26">_FV(A26,"Low")</f>
        <v>16.07</v>
      </c>
      <c r="J26" s="2" cm="1">
        <f t="array" ref="J26">_FV(A26,"Price")</f>
        <v>17.75</v>
      </c>
      <c r="K26" s="3" cm="1">
        <f t="array" ref="K26">_FV(A26,"Change (%)",TRUE)</f>
        <v>0.13129399999999999</v>
      </c>
      <c r="L26" s="2" cm="1">
        <f t="array" ref="L26">_FV(Table13[[#This Row],[Funds]],"52 week high",TRUE)</f>
        <v>54.05</v>
      </c>
      <c r="M26" s="2" cm="1">
        <f t="array" ref="M26">_FV(Table13[[#This Row],[Funds]],"52 week low",TRUE)</f>
        <v>9</v>
      </c>
      <c r="N26" s="3">
        <f t="shared" si="0"/>
        <v>0.67160037002775208</v>
      </c>
    </row>
  </sheetData>
  <conditionalFormatting sqref="A1:A1048576">
    <cfRule type="duplicateValues" dxfId="18"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7"/>
  <sheetViews>
    <sheetView topLeftCell="A25" workbookViewId="0">
      <selection activeCell="C38" sqref="C38"/>
    </sheetView>
  </sheetViews>
  <sheetFormatPr defaultColWidth="9.140625" defaultRowHeight="1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c r="A1" s="8" t="s">
        <v>2</v>
      </c>
      <c r="B1" s="8" t="s">
        <v>24</v>
      </c>
      <c r="C1" s="8" t="s">
        <v>31</v>
      </c>
      <c r="D1" s="9" t="s">
        <v>32</v>
      </c>
      <c r="E1" s="8" t="s">
        <v>33</v>
      </c>
      <c r="F1" s="8" t="s">
        <v>34</v>
      </c>
    </row>
    <row r="2" spans="1:6">
      <c r="A2" s="1" t="s">
        <v>13</v>
      </c>
      <c r="B2" s="1" t="s">
        <v>23</v>
      </c>
      <c r="C2" s="1" t="s">
        <v>35</v>
      </c>
      <c r="D2" s="3">
        <v>0.1</v>
      </c>
      <c r="E2" s="2">
        <f>D2*1000</f>
        <v>100</v>
      </c>
      <c r="F2" s="2">
        <f>E2*12</f>
        <v>1200</v>
      </c>
    </row>
    <row r="3" spans="1:6">
      <c r="A3" s="1" t="s">
        <v>13</v>
      </c>
      <c r="B3" s="1" t="s">
        <v>36</v>
      </c>
      <c r="C3" s="1" t="s">
        <v>37</v>
      </c>
      <c r="D3" s="3">
        <v>0.1</v>
      </c>
      <c r="E3" s="2">
        <f>D3*1000</f>
        <v>100</v>
      </c>
      <c r="F3" s="2">
        <f>E3*12</f>
        <v>1200</v>
      </c>
    </row>
    <row r="4" spans="1:6">
      <c r="A4" s="1" t="s">
        <v>13</v>
      </c>
      <c r="B4" s="1" t="s">
        <v>22</v>
      </c>
      <c r="C4" s="1" t="s">
        <v>38</v>
      </c>
      <c r="D4" s="3">
        <v>0.2</v>
      </c>
      <c r="E4" s="2">
        <f t="shared" ref="E4:E11" si="0">D4*1000</f>
        <v>200</v>
      </c>
      <c r="F4" s="2">
        <f t="shared" ref="F4:F11" si="1">E4*12</f>
        <v>2400</v>
      </c>
    </row>
    <row r="5" spans="1:6">
      <c r="A5" s="1" t="s">
        <v>13</v>
      </c>
      <c r="B5" s="1" t="s">
        <v>39</v>
      </c>
      <c r="C5" s="1" t="s">
        <v>40</v>
      </c>
      <c r="D5" s="3">
        <v>0.11</v>
      </c>
      <c r="E5" s="2">
        <f t="shared" si="0"/>
        <v>110</v>
      </c>
      <c r="F5" s="2">
        <f t="shared" si="1"/>
        <v>1320</v>
      </c>
    </row>
    <row r="6" spans="1:6">
      <c r="A6" s="1" t="s">
        <v>13</v>
      </c>
      <c r="B6" s="1" t="s">
        <v>41</v>
      </c>
      <c r="C6" s="1" t="s">
        <v>42</v>
      </c>
      <c r="D6" s="3">
        <v>8.4000000000000005E-2</v>
      </c>
      <c r="E6" s="2">
        <f t="shared" si="0"/>
        <v>84</v>
      </c>
      <c r="F6" s="2">
        <f t="shared" si="1"/>
        <v>1008</v>
      </c>
    </row>
    <row r="7" spans="1:6">
      <c r="A7" s="1" t="s">
        <v>13</v>
      </c>
      <c r="B7" s="1" t="s">
        <v>43</v>
      </c>
      <c r="C7" s="1" t="s">
        <v>44</v>
      </c>
      <c r="D7" s="3">
        <v>3.5999999999999997E-2</v>
      </c>
      <c r="E7" s="2">
        <f t="shared" si="0"/>
        <v>36</v>
      </c>
      <c r="F7" s="2">
        <f t="shared" si="1"/>
        <v>432</v>
      </c>
    </row>
    <row r="8" spans="1:6">
      <c r="A8" s="1" t="s">
        <v>13</v>
      </c>
      <c r="B8" s="1" t="s">
        <v>45</v>
      </c>
      <c r="C8" s="1" t="s">
        <v>46</v>
      </c>
      <c r="D8" s="3">
        <v>0.11</v>
      </c>
      <c r="E8" s="2">
        <f t="shared" si="0"/>
        <v>110</v>
      </c>
      <c r="F8" s="2">
        <f t="shared" si="1"/>
        <v>1320</v>
      </c>
    </row>
    <row r="9" spans="1:6">
      <c r="A9" s="1" t="s">
        <v>13</v>
      </c>
      <c r="B9" s="1" t="s">
        <v>47</v>
      </c>
      <c r="C9" s="1" t="s">
        <v>48</v>
      </c>
      <c r="D9" s="3">
        <v>0.11</v>
      </c>
      <c r="E9" s="2">
        <f t="shared" si="0"/>
        <v>110</v>
      </c>
      <c r="F9" s="2">
        <f t="shared" si="1"/>
        <v>1320</v>
      </c>
    </row>
    <row r="10" spans="1:6">
      <c r="A10" s="1" t="s">
        <v>13</v>
      </c>
      <c r="B10" s="1" t="s">
        <v>49</v>
      </c>
      <c r="C10" s="1" t="s">
        <v>50</v>
      </c>
      <c r="D10" s="3">
        <v>0.1</v>
      </c>
      <c r="E10" s="2">
        <f t="shared" si="0"/>
        <v>100</v>
      </c>
      <c r="F10" s="2">
        <f t="shared" si="1"/>
        <v>1200</v>
      </c>
    </row>
    <row r="11" spans="1:6">
      <c r="A11" s="1" t="s">
        <v>13</v>
      </c>
      <c r="B11" s="1" t="s">
        <v>51</v>
      </c>
      <c r="C11" s="1" t="s">
        <v>52</v>
      </c>
      <c r="D11" s="3">
        <v>0.05</v>
      </c>
      <c r="E11" s="2">
        <f t="shared" si="0"/>
        <v>50</v>
      </c>
      <c r="F11" s="2">
        <f t="shared" si="1"/>
        <v>600</v>
      </c>
    </row>
    <row r="12" spans="1:6">
      <c r="A12" s="5" t="s">
        <v>53</v>
      </c>
      <c r="B12" s="5"/>
      <c r="C12" s="5"/>
      <c r="D12" s="6">
        <f>SUM(D2:D11)</f>
        <v>1</v>
      </c>
      <c r="E12" s="7">
        <f>SUM(E2:E11)</f>
        <v>1000</v>
      </c>
      <c r="F12" s="7">
        <f>SUM(F2:F11)</f>
        <v>12000</v>
      </c>
    </row>
    <row r="16" spans="1:6">
      <c r="A16" s="8" t="s">
        <v>2</v>
      </c>
      <c r="B16" s="8" t="s">
        <v>24</v>
      </c>
      <c r="C16" s="8" t="s">
        <v>31</v>
      </c>
      <c r="D16" s="9" t="s">
        <v>32</v>
      </c>
      <c r="E16" s="8" t="s">
        <v>33</v>
      </c>
      <c r="F16" s="8" t="s">
        <v>34</v>
      </c>
    </row>
    <row r="17" spans="1:6">
      <c r="A17" s="1" t="s">
        <v>13</v>
      </c>
      <c r="B17" s="1" t="s">
        <v>23</v>
      </c>
      <c r="C17" s="1" t="s">
        <v>54</v>
      </c>
      <c r="D17" s="3">
        <v>0.16</v>
      </c>
      <c r="E17" s="2">
        <f>D17*500</f>
        <v>80</v>
      </c>
      <c r="F17" s="2">
        <f>E17*12</f>
        <v>960</v>
      </c>
    </row>
    <row r="18" spans="1:6">
      <c r="A18" s="1" t="s">
        <v>13</v>
      </c>
      <c r="B18" s="1" t="s">
        <v>36</v>
      </c>
      <c r="C18" s="1" t="s">
        <v>55</v>
      </c>
      <c r="D18" s="3">
        <v>0.16</v>
      </c>
      <c r="E18" s="2">
        <f t="shared" ref="E18:E23" si="2">D18*500</f>
        <v>80</v>
      </c>
      <c r="F18" s="2">
        <f>E18*12</f>
        <v>960</v>
      </c>
    </row>
    <row r="19" spans="1:6">
      <c r="A19" s="1" t="s">
        <v>13</v>
      </c>
      <c r="B19" s="1" t="s">
        <v>22</v>
      </c>
      <c r="C19" s="1" t="s">
        <v>56</v>
      </c>
      <c r="D19" s="3">
        <v>0.25</v>
      </c>
      <c r="E19" s="2">
        <f t="shared" si="2"/>
        <v>125</v>
      </c>
      <c r="F19" s="2">
        <f t="shared" ref="F19:F23" si="3">E19*12</f>
        <v>1500</v>
      </c>
    </row>
    <row r="20" spans="1:6">
      <c r="A20" s="1" t="s">
        <v>13</v>
      </c>
      <c r="B20" s="1" t="s">
        <v>39</v>
      </c>
      <c r="C20" s="1" t="s">
        <v>57</v>
      </c>
      <c r="D20" s="3">
        <v>0.11</v>
      </c>
      <c r="E20" s="2">
        <f t="shared" si="2"/>
        <v>55</v>
      </c>
      <c r="F20" s="2">
        <f t="shared" si="3"/>
        <v>660</v>
      </c>
    </row>
    <row r="21" spans="1:6">
      <c r="A21" s="1" t="s">
        <v>13</v>
      </c>
      <c r="B21" s="1" t="s">
        <v>41</v>
      </c>
      <c r="C21" s="1" t="s">
        <v>58</v>
      </c>
      <c r="D21" s="3">
        <v>8.4000000000000005E-2</v>
      </c>
      <c r="E21" s="2">
        <f t="shared" si="2"/>
        <v>42</v>
      </c>
      <c r="F21" s="2">
        <f t="shared" si="3"/>
        <v>504</v>
      </c>
    </row>
    <row r="22" spans="1:6">
      <c r="A22" s="1" t="s">
        <v>13</v>
      </c>
      <c r="B22" s="1" t="s">
        <v>59</v>
      </c>
      <c r="C22" s="1" t="s">
        <v>60</v>
      </c>
      <c r="D22" s="3">
        <v>3.5999999999999997E-2</v>
      </c>
      <c r="E22" s="2">
        <f t="shared" si="2"/>
        <v>18</v>
      </c>
      <c r="F22" s="2">
        <f t="shared" si="3"/>
        <v>216</v>
      </c>
    </row>
    <row r="23" spans="1:6">
      <c r="A23" s="1" t="s">
        <v>13</v>
      </c>
      <c r="B23" s="1" t="s">
        <v>61</v>
      </c>
      <c r="C23" s="1" t="s">
        <v>62</v>
      </c>
      <c r="D23" s="3">
        <v>0.2</v>
      </c>
      <c r="E23" s="2">
        <f t="shared" si="2"/>
        <v>100</v>
      </c>
      <c r="F23" s="2">
        <f t="shared" si="3"/>
        <v>1200</v>
      </c>
    </row>
    <row r="24" spans="1:6">
      <c r="A24" s="5" t="s">
        <v>53</v>
      </c>
      <c r="B24" s="5"/>
      <c r="C24" s="5"/>
      <c r="D24" s="6">
        <f>SUM(D17:D23)</f>
        <v>1</v>
      </c>
      <c r="E24" s="7">
        <f>SUM(E17:E23)</f>
        <v>500</v>
      </c>
      <c r="F24" s="7">
        <f>SUM(F17:F23)</f>
        <v>6000</v>
      </c>
    </row>
    <row r="28" spans="1:6" ht="18.75">
      <c r="A28" s="21" t="s">
        <v>63</v>
      </c>
      <c r="B28" s="21"/>
      <c r="C28" s="21"/>
    </row>
    <row r="29" spans="1:6">
      <c r="A29" s="1" t="s">
        <v>64</v>
      </c>
      <c r="B29" s="1" t="s">
        <v>65</v>
      </c>
      <c r="C29" s="12" t="s">
        <v>66</v>
      </c>
    </row>
    <row r="30" spans="1:6">
      <c r="A30" s="10" t="s">
        <v>67</v>
      </c>
      <c r="B30" s="1" t="s">
        <v>68</v>
      </c>
      <c r="C30" s="12"/>
    </row>
    <row r="31" spans="1:6">
      <c r="A31" s="11" t="s">
        <v>69</v>
      </c>
      <c r="B31" s="1" t="s">
        <v>68</v>
      </c>
      <c r="C31" s="12"/>
    </row>
    <row r="32" spans="1:6">
      <c r="A32" s="10" t="s">
        <v>70</v>
      </c>
      <c r="B32" s="1" t="s">
        <v>68</v>
      </c>
      <c r="C32" s="12"/>
    </row>
    <row r="33" spans="1:3">
      <c r="A33" s="11" t="s">
        <v>71</v>
      </c>
      <c r="B33" s="1" t="s">
        <v>68</v>
      </c>
      <c r="C33" s="12"/>
    </row>
    <row r="34" spans="1:3" ht="60">
      <c r="A34" s="1" t="s">
        <v>72</v>
      </c>
      <c r="B34" s="1" t="s">
        <v>73</v>
      </c>
      <c r="C34" s="13" t="s">
        <v>74</v>
      </c>
    </row>
    <row r="35" spans="1:3" ht="60">
      <c r="A35" s="14" t="s">
        <v>75</v>
      </c>
      <c r="B35" s="14" t="s">
        <v>73</v>
      </c>
      <c r="C35" s="13" t="s">
        <v>76</v>
      </c>
    </row>
    <row r="36" spans="1:3" ht="30">
      <c r="A36" s="1" t="s">
        <v>77</v>
      </c>
      <c r="B36" s="1" t="s">
        <v>78</v>
      </c>
      <c r="C36" s="12" t="s">
        <v>79</v>
      </c>
    </row>
    <row r="37" spans="1:3">
      <c r="A37" s="1" t="s">
        <v>80</v>
      </c>
      <c r="B37" s="1" t="s">
        <v>78</v>
      </c>
      <c r="C37" s="12" t="s">
        <v>81</v>
      </c>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34"/>
  <sheetViews>
    <sheetView tabSelected="1" workbookViewId="0">
      <pane ySplit="1" topLeftCell="A2" activePane="bottomLeft" state="frozen"/>
      <selection pane="bottomLeft" activeCell="AN8" sqref="AN8"/>
    </sheetView>
  </sheetViews>
  <sheetFormatPr defaultColWidth="10.140625" defaultRowHeight="15" outlineLevelCol="1"/>
  <cols>
    <col min="1" max="1" width="18.140625" style="22" customWidth="1"/>
    <col min="2" max="2" width="8.85546875" style="22" customWidth="1"/>
    <col min="3" max="3" width="13.85546875" style="23" bestFit="1" customWidth="1"/>
    <col min="4" max="4" width="12.140625" style="23" customWidth="1"/>
    <col min="5" max="5" width="12.140625" style="27" customWidth="1"/>
    <col min="6" max="7" width="14.42578125" style="22" customWidth="1"/>
    <col min="8" max="16" width="0" style="22" hidden="1" customWidth="1" outlineLevel="1"/>
    <col min="17" max="17" width="10.140625" style="22" collapsed="1"/>
    <col min="18" max="18" width="12.140625" style="22" customWidth="1"/>
    <col min="19" max="19" width="10.140625" style="22"/>
    <col min="20" max="20" width="14" style="22" bestFit="1" customWidth="1"/>
    <col min="21" max="26" width="10.140625" style="22"/>
    <col min="27" max="35" width="0" style="22" hidden="1" customWidth="1" outlineLevel="1"/>
    <col min="36" max="36" width="10.140625" style="22" collapsed="1"/>
    <col min="37" max="16384" width="10.140625" style="22"/>
  </cols>
  <sheetData>
    <row r="1" spans="1:37" s="47" customFormat="1" ht="29.25" customHeight="1">
      <c r="A1" s="43" t="s">
        <v>3</v>
      </c>
      <c r="B1" s="43" t="s">
        <v>1</v>
      </c>
      <c r="C1" s="44" t="s">
        <v>4</v>
      </c>
      <c r="D1" s="44" t="s">
        <v>82</v>
      </c>
      <c r="E1" s="45" t="s">
        <v>32</v>
      </c>
      <c r="F1" s="46" t="s">
        <v>83</v>
      </c>
      <c r="G1" s="46" t="s">
        <v>84</v>
      </c>
      <c r="H1" s="46" t="s">
        <v>85</v>
      </c>
      <c r="I1" s="46" t="s">
        <v>86</v>
      </c>
      <c r="J1" s="46" t="s">
        <v>87</v>
      </c>
      <c r="K1" s="46" t="s">
        <v>88</v>
      </c>
      <c r="L1" s="46" t="s">
        <v>89</v>
      </c>
      <c r="M1" s="46" t="s">
        <v>90</v>
      </c>
      <c r="N1" s="46" t="s">
        <v>91</v>
      </c>
      <c r="O1" s="46" t="s">
        <v>92</v>
      </c>
      <c r="P1" s="46" t="s">
        <v>93</v>
      </c>
      <c r="Q1" s="46" t="s">
        <v>94</v>
      </c>
      <c r="R1" s="46" t="s">
        <v>95</v>
      </c>
      <c r="T1" s="43" t="s">
        <v>3</v>
      </c>
      <c r="U1" s="43" t="s">
        <v>1</v>
      </c>
      <c r="V1" s="44" t="s">
        <v>4</v>
      </c>
      <c r="W1" s="44" t="s">
        <v>82</v>
      </c>
      <c r="X1" s="45" t="s">
        <v>32</v>
      </c>
      <c r="Y1" s="46" t="s">
        <v>83</v>
      </c>
      <c r="Z1" s="46" t="s">
        <v>84</v>
      </c>
      <c r="AA1" s="46" t="s">
        <v>85</v>
      </c>
      <c r="AB1" s="46" t="s">
        <v>86</v>
      </c>
      <c r="AC1" s="46" t="s">
        <v>87</v>
      </c>
      <c r="AD1" s="46" t="s">
        <v>88</v>
      </c>
      <c r="AE1" s="46" t="s">
        <v>89</v>
      </c>
      <c r="AF1" s="46" t="s">
        <v>90</v>
      </c>
      <c r="AG1" s="46" t="s">
        <v>91</v>
      </c>
      <c r="AH1" s="46" t="s">
        <v>92</v>
      </c>
      <c r="AI1" s="46" t="s">
        <v>93</v>
      </c>
      <c r="AJ1" s="46" t="s">
        <v>94</v>
      </c>
      <c r="AK1" s="46" t="s">
        <v>95</v>
      </c>
    </row>
    <row r="2" spans="1:37" ht="12.75">
      <c r="A2" s="48" t="s">
        <v>23</v>
      </c>
      <c r="B2" s="48" t="s">
        <v>96</v>
      </c>
      <c r="C2" s="49">
        <v>2.9999999999999997E-4</v>
      </c>
      <c r="D2" s="49">
        <v>0.1188</v>
      </c>
      <c r="E2" s="50">
        <v>0.05</v>
      </c>
      <c r="F2" s="51">
        <f t="shared" ref="F2:F22" si="0">E2*1000</f>
        <v>50</v>
      </c>
      <c r="G2" s="51">
        <f>F2*12</f>
        <v>600</v>
      </c>
      <c r="H2" s="52">
        <f>IF(MID(G$1,1,2) &lt;&gt; "CY",($F2*12*(1+$D2)) - ($F2*12*(1+$D2))*$C2, (F2+($F2*12))*(1+$D2) - (F2+($F2*12))*(1+$D2)*$C2)</f>
        <v>671.07861600000001</v>
      </c>
      <c r="I2" s="52">
        <f t="shared" ref="I2:Q2" si="1">IF(MID(H$1,1,2) &lt;&gt; "CY",($F2*12*(1+$D2)) - ($F2*12*(1+$D2))*$C2, (H2+($F2*12))*(1+$D2) - (H2+($F2*12))*(1+$D2)*$C2)</f>
        <v>1421.6561307541258</v>
      </c>
      <c r="J2" s="52">
        <f t="shared" si="1"/>
        <v>2261.1503304239895</v>
      </c>
      <c r="K2" s="52">
        <f t="shared" si="1"/>
        <v>3200.0946731814561</v>
      </c>
      <c r="L2" s="52">
        <f t="shared" si="1"/>
        <v>4250.2704565793065</v>
      </c>
      <c r="M2" s="52">
        <f t="shared" si="1"/>
        <v>5424.854642044882</v>
      </c>
      <c r="N2" s="52">
        <f t="shared" si="1"/>
        <v>6738.5851913077586</v>
      </c>
      <c r="O2" s="52">
        <f t="shared" si="1"/>
        <v>8207.9459893015101</v>
      </c>
      <c r="P2" s="52">
        <f t="shared" si="1"/>
        <v>9851.3736738386815</v>
      </c>
      <c r="Q2" s="52">
        <f t="shared" si="1"/>
        <v>11689.488967230831</v>
      </c>
      <c r="R2" s="52">
        <f>G2*10</f>
        <v>6000</v>
      </c>
      <c r="T2" s="48" t="s">
        <v>23</v>
      </c>
      <c r="U2" s="48" t="s">
        <v>96</v>
      </c>
      <c r="V2" s="49">
        <v>2.9999999999999997E-4</v>
      </c>
      <c r="W2" s="49">
        <v>0.1188</v>
      </c>
      <c r="X2" s="50">
        <v>0.05</v>
      </c>
      <c r="Y2" s="51">
        <f t="shared" ref="Y2:Y22" si="2">X2*1000</f>
        <v>50</v>
      </c>
      <c r="Z2" s="51">
        <f>Y2*12</f>
        <v>600</v>
      </c>
      <c r="AA2" s="52">
        <f>IF(MID(Z$1,1,2) &lt;&gt; "CY",($Y2*12*(1+$W2)) - ($Y2*12*(1+$W2))*$V2, (Z2+($Y2*12))*(1+$W2) - (Z2+($Y2*12))*(1+$W2)*$V2)</f>
        <v>671.07861600000001</v>
      </c>
      <c r="AB2" s="52">
        <f t="shared" ref="AB2:AJ2" si="3">IF(MID(AA$1,1,2) &lt;&gt; "CY",($Y2*12*(1+$W2)) - ($Y2*12*(1+$W2))*$V2, (AA2+($Y2*12))*(1+$W2) - (AA2+($Y2*12))*(1+$W2)*$V2)</f>
        <v>1421.6561307541258</v>
      </c>
      <c r="AC2" s="52">
        <f t="shared" si="3"/>
        <v>2261.1503304239895</v>
      </c>
      <c r="AD2" s="52">
        <f t="shared" si="3"/>
        <v>3200.0946731814561</v>
      </c>
      <c r="AE2" s="52">
        <f t="shared" si="3"/>
        <v>4250.2704565793065</v>
      </c>
      <c r="AF2" s="52">
        <f t="shared" si="3"/>
        <v>5424.854642044882</v>
      </c>
      <c r="AG2" s="52">
        <f t="shared" si="3"/>
        <v>6738.5851913077586</v>
      </c>
      <c r="AH2" s="52">
        <f t="shared" si="3"/>
        <v>8207.9459893015101</v>
      </c>
      <c r="AI2" s="52">
        <f t="shared" si="3"/>
        <v>9851.3736738386815</v>
      </c>
      <c r="AJ2" s="52">
        <f t="shared" si="3"/>
        <v>11689.488967230831</v>
      </c>
      <c r="AK2" s="52">
        <f>Z2*10</f>
        <v>6000</v>
      </c>
    </row>
    <row r="3" spans="1:37" ht="12.75">
      <c r="A3" s="48" t="s">
        <v>23</v>
      </c>
      <c r="B3" s="48" t="s">
        <v>54</v>
      </c>
      <c r="C3" s="49">
        <v>1.4999999999999999E-4</v>
      </c>
      <c r="D3" s="49">
        <v>0.1111</v>
      </c>
      <c r="E3" s="50">
        <v>0.05</v>
      </c>
      <c r="F3" s="51">
        <f t="shared" si="0"/>
        <v>50</v>
      </c>
      <c r="G3" s="51">
        <f t="shared" ref="G3:G22" si="4">F3*12</f>
        <v>600</v>
      </c>
      <c r="H3" s="52">
        <f t="shared" ref="H3:H22" si="5">IF(MID(G$1,1,2) &lt;&gt; "CY",($F3*12*(1+$D3)) - ($F3*12*(1+$D3))*$C3, (F3+($F3*12))*(1+$D3) - (F3+($F3*12))*(1+$D3)*$C3)</f>
        <v>666.56000099999994</v>
      </c>
      <c r="I3" s="52">
        <f t="shared" ref="I3:Q3" si="6">IF(MID(H$1,1,2) &lt;&gt; "CY",($F3*12*(1+$D3)) - ($F3*12*(1+$D3))*$C3, (H3+($F3*12))*(1+$D3) - (H3+($F3*12))*(1+$D3)*$C3)</f>
        <v>1407.0637258885331</v>
      </c>
      <c r="J3" s="52">
        <f t="shared" si="6"/>
        <v>2229.7139985588738</v>
      </c>
      <c r="K3" s="52">
        <f t="shared" si="6"/>
        <v>3143.6236095151944</v>
      </c>
      <c r="L3" s="52">
        <f t="shared" si="6"/>
        <v>4158.916261503452</v>
      </c>
      <c r="M3" s="52">
        <f t="shared" si="6"/>
        <v>5286.8387133777624</v>
      </c>
      <c r="N3" s="52">
        <f t="shared" si="6"/>
        <v>6539.8853644598667</v>
      </c>
      <c r="O3" s="52">
        <f t="shared" si="6"/>
        <v>7931.9366594570902</v>
      </c>
      <c r="P3" s="52">
        <f t="shared" si="6"/>
        <v>9478.4128470994237</v>
      </c>
      <c r="Q3" s="52">
        <f t="shared" si="6"/>
        <v>11196.444795735008</v>
      </c>
      <c r="R3" s="52">
        <f t="shared" ref="R3:R22" si="7">G3*10</f>
        <v>6000</v>
      </c>
      <c r="T3" s="48" t="s">
        <v>23</v>
      </c>
      <c r="U3" s="48" t="s">
        <v>54</v>
      </c>
      <c r="V3" s="49">
        <v>1.4999999999999999E-4</v>
      </c>
      <c r="W3" s="49">
        <v>0.1111</v>
      </c>
      <c r="X3" s="50">
        <v>0.05</v>
      </c>
      <c r="Y3" s="51">
        <f t="shared" si="2"/>
        <v>50</v>
      </c>
      <c r="Z3" s="51">
        <f t="shared" ref="Z3:Z22" si="8">Y3*12</f>
        <v>600</v>
      </c>
      <c r="AA3" s="52">
        <f t="shared" ref="AA3:AJ3" si="9">IF(MID(Z$1,1,2) &lt;&gt; "CY",($Y3*12*(1+$W3)) - ($Y3*12*(1+$W3))*$V3, (Z3+($Y3*12))*(1+$W3) - (Z3+($Y3*12))*(1+$W3)*$V3)</f>
        <v>666.56000099999994</v>
      </c>
      <c r="AB3" s="52">
        <f t="shared" si="9"/>
        <v>1407.0637258885331</v>
      </c>
      <c r="AC3" s="52">
        <f t="shared" si="9"/>
        <v>2229.7139985588738</v>
      </c>
      <c r="AD3" s="52">
        <f t="shared" si="9"/>
        <v>3143.6236095151944</v>
      </c>
      <c r="AE3" s="52">
        <f t="shared" si="9"/>
        <v>4158.916261503452</v>
      </c>
      <c r="AF3" s="52">
        <f t="shared" si="9"/>
        <v>5286.8387133777624</v>
      </c>
      <c r="AG3" s="52">
        <f t="shared" si="9"/>
        <v>6539.8853644598667</v>
      </c>
      <c r="AH3" s="52">
        <f t="shared" si="9"/>
        <v>7931.9366594570902</v>
      </c>
      <c r="AI3" s="52">
        <f t="shared" si="9"/>
        <v>9478.4128470994237</v>
      </c>
      <c r="AJ3" s="52">
        <f t="shared" si="9"/>
        <v>11196.444795735008</v>
      </c>
      <c r="AK3" s="52">
        <f t="shared" ref="AK3:AK22" si="10">Z3*10</f>
        <v>6000</v>
      </c>
    </row>
    <row r="4" spans="1:37" ht="12.75">
      <c r="A4" s="24" t="s">
        <v>36</v>
      </c>
      <c r="B4" s="24" t="s">
        <v>97</v>
      </c>
      <c r="C4" s="36">
        <v>2.9999999999999997E-4</v>
      </c>
      <c r="D4" s="36">
        <v>0.12293</v>
      </c>
      <c r="E4" s="37">
        <v>2.5000000000000001E-2</v>
      </c>
      <c r="F4" s="38">
        <f t="shared" si="0"/>
        <v>25</v>
      </c>
      <c r="G4" s="38">
        <f t="shared" si="4"/>
        <v>300</v>
      </c>
      <c r="H4" s="39">
        <f t="shared" si="5"/>
        <v>336.77793630000002</v>
      </c>
      <c r="I4" s="39">
        <f t="shared" ref="I4:Q4" si="11">IF(MID(H$1,1,2) &lt;&gt; "CY",($F4*12*(1+$D4)) - ($F4*12*(1+$D4))*$C4, (H4+($F4*12))*(1+$D4) - (H4+($F4*12))*(1+$D4)*$C4)</f>
        <v>714.8425308949561</v>
      </c>
      <c r="J4" s="39">
        <f t="shared" si="11"/>
        <v>1139.2552440809077</v>
      </c>
      <c r="K4" s="39">
        <f t="shared" si="11"/>
        <v>1615.6980363684029</v>
      </c>
      <c r="L4" s="39">
        <f t="shared" si="11"/>
        <v>2150.5494375403769</v>
      </c>
      <c r="M4" s="39">
        <f t="shared" si="11"/>
        <v>2750.9699412532464</v>
      </c>
      <c r="N4" s="39">
        <f t="shared" si="11"/>
        <v>3424.9978684286684</v>
      </c>
      <c r="O4" s="39">
        <f t="shared" si="11"/>
        <v>4181.6569828376869</v>
      </c>
      <c r="P4" s="39">
        <f t="shared" si="11"/>
        <v>5031.0772996152018</v>
      </c>
      <c r="Q4" s="39">
        <f t="shared" si="11"/>
        <v>5984.6307040672818</v>
      </c>
      <c r="R4" s="39">
        <f t="shared" si="7"/>
        <v>3000</v>
      </c>
      <c r="T4" s="24" t="s">
        <v>36</v>
      </c>
      <c r="U4" s="24" t="s">
        <v>97</v>
      </c>
      <c r="V4" s="36">
        <v>2.9999999999999997E-4</v>
      </c>
      <c r="W4" s="36">
        <v>0.12293</v>
      </c>
      <c r="X4" s="37">
        <v>2.5000000000000001E-2</v>
      </c>
      <c r="Y4" s="38">
        <f t="shared" si="2"/>
        <v>25</v>
      </c>
      <c r="Z4" s="38">
        <f t="shared" si="8"/>
        <v>300</v>
      </c>
      <c r="AA4" s="39">
        <f t="shared" ref="AA4:AJ4" si="12">IF(MID(Z$1,1,2) &lt;&gt; "CY",($Y4*12*(1+$W4)) - ($Y4*12*(1+$W4))*$V4, (Z4+($Y4*12))*(1+$W4) - (Z4+($Y4*12))*(1+$W4)*$V4)</f>
        <v>336.77793630000002</v>
      </c>
      <c r="AB4" s="39">
        <f t="shared" si="12"/>
        <v>714.8425308949561</v>
      </c>
      <c r="AC4" s="39">
        <f t="shared" si="12"/>
        <v>1139.2552440809077</v>
      </c>
      <c r="AD4" s="39">
        <f t="shared" si="12"/>
        <v>1615.6980363684029</v>
      </c>
      <c r="AE4" s="39">
        <f t="shared" si="12"/>
        <v>2150.5494375403769</v>
      </c>
      <c r="AF4" s="39">
        <f t="shared" si="12"/>
        <v>2750.9699412532464</v>
      </c>
      <c r="AG4" s="39">
        <f t="shared" si="12"/>
        <v>3424.9978684286684</v>
      </c>
      <c r="AH4" s="39">
        <f t="shared" si="12"/>
        <v>4181.6569828376869</v>
      </c>
      <c r="AI4" s="39">
        <f t="shared" si="12"/>
        <v>5031.0772996152018</v>
      </c>
      <c r="AJ4" s="39">
        <f t="shared" si="12"/>
        <v>5984.6307040672818</v>
      </c>
      <c r="AK4" s="39">
        <f t="shared" si="10"/>
        <v>3000</v>
      </c>
    </row>
    <row r="5" spans="1:37" ht="12.75">
      <c r="A5" s="24" t="s">
        <v>36</v>
      </c>
      <c r="B5" s="24" t="s">
        <v>98</v>
      </c>
      <c r="C5" s="36">
        <v>2.9999999999999997E-4</v>
      </c>
      <c r="D5" s="36">
        <v>0.12335000000000002</v>
      </c>
      <c r="E5" s="37">
        <v>2.5000000000000001E-2</v>
      </c>
      <c r="F5" s="38">
        <f t="shared" si="0"/>
        <v>25</v>
      </c>
      <c r="G5" s="38">
        <f t="shared" si="4"/>
        <v>300</v>
      </c>
      <c r="H5" s="39">
        <f t="shared" si="5"/>
        <v>336.90389849999997</v>
      </c>
      <c r="I5" s="39">
        <f t="shared" ref="I5:Q5" si="13">IF(MID(H$1,1,2) &lt;&gt; "CY",($F5*12*(1+$D5)) - ($F5*12*(1+$D5))*$C5, (H5+($F5*12))*(1+$D5) - (H5+($F5*12))*(1+$D5)*$C5)</f>
        <v>715.25135458166096</v>
      </c>
      <c r="J5" s="39">
        <f t="shared" si="13"/>
        <v>1140.1404643865581</v>
      </c>
      <c r="K5" s="39">
        <f t="shared" si="13"/>
        <v>1617.2964561314395</v>
      </c>
      <c r="L5" s="39">
        <f t="shared" si="13"/>
        <v>2153.1488355030542</v>
      </c>
      <c r="M5" s="39">
        <f t="shared" si="13"/>
        <v>2754.9180209390474</v>
      </c>
      <c r="N5" s="39">
        <f t="shared" si="13"/>
        <v>3430.7126361742326</v>
      </c>
      <c r="O5" s="39">
        <f t="shared" si="13"/>
        <v>4189.6387710343706</v>
      </c>
      <c r="P5" s="39">
        <f t="shared" si="13"/>
        <v>5041.9226827274279</v>
      </c>
      <c r="Q5" s="39">
        <f t="shared" si="13"/>
        <v>5999.0485909881636</v>
      </c>
      <c r="R5" s="39">
        <f t="shared" si="7"/>
        <v>3000</v>
      </c>
      <c r="T5" s="24" t="s">
        <v>36</v>
      </c>
      <c r="U5" s="24" t="s">
        <v>98</v>
      </c>
      <c r="V5" s="36">
        <v>2.9999999999999997E-4</v>
      </c>
      <c r="W5" s="36">
        <v>0.12335000000000002</v>
      </c>
      <c r="X5" s="37">
        <v>2.5000000000000001E-2</v>
      </c>
      <c r="Y5" s="38">
        <f t="shared" si="2"/>
        <v>25</v>
      </c>
      <c r="Z5" s="38">
        <f t="shared" si="8"/>
        <v>300</v>
      </c>
      <c r="AA5" s="39">
        <f t="shared" ref="AA5:AJ5" si="14">IF(MID(Z$1,1,2) &lt;&gt; "CY",($Y5*12*(1+$W5)) - ($Y5*12*(1+$W5))*$V5, (Z5+($Y5*12))*(1+$W5) - (Z5+($Y5*12))*(1+$W5)*$V5)</f>
        <v>336.90389849999997</v>
      </c>
      <c r="AB5" s="39">
        <f t="shared" si="14"/>
        <v>715.25135458166096</v>
      </c>
      <c r="AC5" s="39">
        <f t="shared" si="14"/>
        <v>1140.1404643865581</v>
      </c>
      <c r="AD5" s="39">
        <f t="shared" si="14"/>
        <v>1617.2964561314395</v>
      </c>
      <c r="AE5" s="39">
        <f t="shared" si="14"/>
        <v>2153.1488355030542</v>
      </c>
      <c r="AF5" s="39">
        <f t="shared" si="14"/>
        <v>2754.9180209390474</v>
      </c>
      <c r="AG5" s="39">
        <f t="shared" si="14"/>
        <v>3430.7126361742326</v>
      </c>
      <c r="AH5" s="39">
        <f t="shared" si="14"/>
        <v>4189.6387710343706</v>
      </c>
      <c r="AI5" s="39">
        <f t="shared" si="14"/>
        <v>5041.9226827274279</v>
      </c>
      <c r="AJ5" s="39">
        <f t="shared" si="14"/>
        <v>5999.0485909881636</v>
      </c>
      <c r="AK5" s="39">
        <f t="shared" si="10"/>
        <v>3000</v>
      </c>
    </row>
    <row r="6" spans="1:37" ht="12.75">
      <c r="A6" s="24" t="s">
        <v>36</v>
      </c>
      <c r="B6" s="24" t="s">
        <v>55</v>
      </c>
      <c r="C6" s="36">
        <v>1.4999999999999999E-4</v>
      </c>
      <c r="D6" s="36">
        <v>0.11695</v>
      </c>
      <c r="E6" s="37">
        <v>0.05</v>
      </c>
      <c r="F6" s="38">
        <f t="shared" si="0"/>
        <v>50</v>
      </c>
      <c r="G6" s="38">
        <f t="shared" si="4"/>
        <v>600</v>
      </c>
      <c r="H6" s="39">
        <f t="shared" si="5"/>
        <v>670.06947450000007</v>
      </c>
      <c r="I6" s="39">
        <f t="shared" ref="I6:Q6" si="15">IF(MID(H$1,1,2) &lt;&gt; "CY",($F6*12*(1+$D6)) - ($F6*12*(1+$D6))*$C6, (H6+($F6*12))*(1+$D6) - (H6+($F6*12))*(1+$D6)*$C6)</f>
        <v>1418.3913089278437</v>
      </c>
      <c r="J6" s="39">
        <f t="shared" si="15"/>
        <v>2254.1040061810791</v>
      </c>
      <c r="K6" s="39">
        <f t="shared" si="15"/>
        <v>3187.4132859835013</v>
      </c>
      <c r="L6" s="39">
        <f t="shared" si="15"/>
        <v>4229.7167170888051</v>
      </c>
      <c r="M6" s="39">
        <f t="shared" si="15"/>
        <v>5393.7429043392685</v>
      </c>
      <c r="N6" s="39">
        <f t="shared" si="15"/>
        <v>6693.7069303311964</v>
      </c>
      <c r="O6" s="39">
        <f t="shared" si="15"/>
        <v>8145.483949940055</v>
      </c>
      <c r="P6" s="39">
        <f t="shared" si="15"/>
        <v>9766.8030576408619</v>
      </c>
      <c r="Q6" s="39">
        <f t="shared" si="15"/>
        <v>11577.463795130676</v>
      </c>
      <c r="R6" s="39">
        <f t="shared" si="7"/>
        <v>6000</v>
      </c>
      <c r="T6" s="24" t="s">
        <v>36</v>
      </c>
      <c r="U6" s="24" t="s">
        <v>55</v>
      </c>
      <c r="V6" s="36">
        <v>1.4999999999999999E-4</v>
      </c>
      <c r="W6" s="36">
        <v>0.11695</v>
      </c>
      <c r="X6" s="37">
        <v>0.05</v>
      </c>
      <c r="Y6" s="38">
        <f t="shared" si="2"/>
        <v>50</v>
      </c>
      <c r="Z6" s="38">
        <f t="shared" si="8"/>
        <v>600</v>
      </c>
      <c r="AA6" s="39">
        <f t="shared" ref="AA6:AJ6" si="16">IF(MID(Z$1,1,2) &lt;&gt; "CY",($Y6*12*(1+$W6)) - ($Y6*12*(1+$W6))*$V6, (Z6+($Y6*12))*(1+$W6) - (Z6+($Y6*12))*(1+$W6)*$V6)</f>
        <v>670.06947450000007</v>
      </c>
      <c r="AB6" s="39">
        <f t="shared" si="16"/>
        <v>1418.3913089278437</v>
      </c>
      <c r="AC6" s="39">
        <f t="shared" si="16"/>
        <v>2254.1040061810791</v>
      </c>
      <c r="AD6" s="39">
        <f t="shared" si="16"/>
        <v>3187.4132859835013</v>
      </c>
      <c r="AE6" s="39">
        <f t="shared" si="16"/>
        <v>4229.7167170888051</v>
      </c>
      <c r="AF6" s="39">
        <f t="shared" si="16"/>
        <v>5393.7429043392685</v>
      </c>
      <c r="AG6" s="39">
        <f t="shared" si="16"/>
        <v>6693.7069303311964</v>
      </c>
      <c r="AH6" s="39">
        <f t="shared" si="16"/>
        <v>8145.483949940055</v>
      </c>
      <c r="AI6" s="39">
        <f t="shared" si="16"/>
        <v>9766.8030576408619</v>
      </c>
      <c r="AJ6" s="39">
        <f t="shared" si="16"/>
        <v>11577.463795130676</v>
      </c>
      <c r="AK6" s="39">
        <f t="shared" si="10"/>
        <v>6000</v>
      </c>
    </row>
    <row r="7" spans="1:37" ht="12.75">
      <c r="A7" s="48" t="s">
        <v>22</v>
      </c>
      <c r="B7" s="48" t="s">
        <v>99</v>
      </c>
      <c r="C7" s="49">
        <v>1E-3</v>
      </c>
      <c r="D7" s="49">
        <v>0.2384</v>
      </c>
      <c r="E7" s="50">
        <v>0.1</v>
      </c>
      <c r="F7" s="51">
        <f t="shared" si="0"/>
        <v>100</v>
      </c>
      <c r="G7" s="51">
        <f t="shared" si="4"/>
        <v>1200</v>
      </c>
      <c r="H7" s="52">
        <f t="shared" si="5"/>
        <v>1484.59392</v>
      </c>
      <c r="I7" s="52">
        <f t="shared" ref="I7:Q7" si="17">IF(MID(H$1,1,2) &lt;&gt; "CY",($F7*12*(1+$D7)) - ($F7*12*(1+$D7))*$C7, (H7+($F7*12))*(1+$D7) - (H7+($F7*12))*(1+$D7)*$C7)</f>
        <v>3321.2765094174724</v>
      </c>
      <c r="J7" s="52">
        <f t="shared" si="17"/>
        <v>5593.5496804333343</v>
      </c>
      <c r="K7" s="52">
        <f t="shared" si="17"/>
        <v>8404.7187923243928</v>
      </c>
      <c r="L7" s="52">
        <f t="shared" si="17"/>
        <v>11882.589268662114</v>
      </c>
      <c r="M7" s="52">
        <f t="shared" si="17"/>
        <v>16185.277071760851</v>
      </c>
      <c r="N7" s="52">
        <f t="shared" si="17"/>
        <v>21508.397198542967</v>
      </c>
      <c r="O7" s="52">
        <f t="shared" si="17"/>
        <v>28093.957011584931</v>
      </c>
      <c r="P7" s="52">
        <f t="shared" si="17"/>
        <v>36241.358726783626</v>
      </c>
      <c r="Q7" s="52">
        <f t="shared" si="17"/>
        <v>46321.011268601593</v>
      </c>
      <c r="R7" s="52">
        <f t="shared" si="7"/>
        <v>12000</v>
      </c>
      <c r="T7" s="48" t="s">
        <v>22</v>
      </c>
      <c r="U7" s="48" t="s">
        <v>99</v>
      </c>
      <c r="V7" s="49">
        <v>1E-3</v>
      </c>
      <c r="W7" s="49">
        <v>0.2384</v>
      </c>
      <c r="X7" s="50">
        <v>0.1</v>
      </c>
      <c r="Y7" s="51">
        <f t="shared" si="2"/>
        <v>100</v>
      </c>
      <c r="Z7" s="51">
        <f t="shared" si="8"/>
        <v>1200</v>
      </c>
      <c r="AA7" s="52">
        <f t="shared" ref="AA7:AJ7" si="18">IF(MID(Z$1,1,2) &lt;&gt; "CY",($Y7*12*(1+$W7)) - ($Y7*12*(1+$W7))*$V7, (Z7+($Y7*12))*(1+$W7) - (Z7+($Y7*12))*(1+$W7)*$V7)</f>
        <v>1484.59392</v>
      </c>
      <c r="AB7" s="52">
        <f t="shared" si="18"/>
        <v>3321.2765094174724</v>
      </c>
      <c r="AC7" s="52">
        <f t="shared" si="18"/>
        <v>5593.5496804333343</v>
      </c>
      <c r="AD7" s="52">
        <f t="shared" si="18"/>
        <v>8404.7187923243928</v>
      </c>
      <c r="AE7" s="52">
        <f t="shared" si="18"/>
        <v>11882.589268662114</v>
      </c>
      <c r="AF7" s="52">
        <f t="shared" si="18"/>
        <v>16185.277071760851</v>
      </c>
      <c r="AG7" s="52">
        <f t="shared" si="18"/>
        <v>21508.397198542967</v>
      </c>
      <c r="AH7" s="52">
        <f t="shared" si="18"/>
        <v>28093.957011584931</v>
      </c>
      <c r="AI7" s="52">
        <f t="shared" si="18"/>
        <v>36241.358726783626</v>
      </c>
      <c r="AJ7" s="52">
        <f t="shared" si="18"/>
        <v>46321.011268601593</v>
      </c>
      <c r="AK7" s="52">
        <f t="shared" si="10"/>
        <v>12000</v>
      </c>
    </row>
    <row r="8" spans="1:37" ht="12.75">
      <c r="A8" s="48" t="s">
        <v>22</v>
      </c>
      <c r="B8" s="48" t="s">
        <v>100</v>
      </c>
      <c r="C8" s="49">
        <v>8.4000000000000003E-4</v>
      </c>
      <c r="D8" s="49">
        <v>0.23400000000000001</v>
      </c>
      <c r="E8" s="50">
        <v>0.1</v>
      </c>
      <c r="F8" s="51">
        <f t="shared" si="0"/>
        <v>100</v>
      </c>
      <c r="G8" s="51">
        <f t="shared" si="4"/>
        <v>1200</v>
      </c>
      <c r="H8" s="52">
        <f t="shared" si="5"/>
        <v>1479.5561279999999</v>
      </c>
      <c r="I8" s="52">
        <f t="shared" ref="I8:Q8" si="19">IF(MID(H$1,1,2) &lt;&gt; "CY",($F8*12*(1+$D8)) - ($F8*12*(1+$D8))*$C8, (H8+($F8*12))*(1+$D8) - (H8+($F8*12))*(1+$D8)*$C8)</f>
        <v>3303.7947412519607</v>
      </c>
      <c r="J8" s="52">
        <f t="shared" si="19"/>
        <v>5553.0142572279274</v>
      </c>
      <c r="K8" s="52">
        <f t="shared" si="19"/>
        <v>8326.2196889607894</v>
      </c>
      <c r="L8" s="52">
        <f t="shared" si="19"/>
        <v>11745.480597896825</v>
      </c>
      <c r="M8" s="52">
        <f t="shared" si="19"/>
        <v>15961.304290436126</v>
      </c>
      <c r="N8" s="52">
        <f t="shared" si="19"/>
        <v>21159.260772822887</v>
      </c>
      <c r="O8" s="52">
        <f t="shared" si="19"/>
        <v>27568.151078316761</v>
      </c>
      <c r="P8" s="52">
        <f t="shared" si="19"/>
        <v>35470.078515961141</v>
      </c>
      <c r="Q8" s="52">
        <f t="shared" si="19"/>
        <v>45212.866152109542</v>
      </c>
      <c r="R8" s="52">
        <f t="shared" si="7"/>
        <v>12000</v>
      </c>
      <c r="T8" s="48" t="s">
        <v>22</v>
      </c>
      <c r="U8" s="48" t="s">
        <v>100</v>
      </c>
      <c r="V8" s="49">
        <v>8.4000000000000003E-4</v>
      </c>
      <c r="W8" s="49">
        <v>0.23400000000000001</v>
      </c>
      <c r="X8" s="50">
        <v>0.1</v>
      </c>
      <c r="Y8" s="51">
        <f t="shared" si="2"/>
        <v>100</v>
      </c>
      <c r="Z8" s="51">
        <f t="shared" si="8"/>
        <v>1200</v>
      </c>
      <c r="AA8" s="52">
        <f t="shared" ref="AA8:AJ8" si="20">IF(MID(Z$1,1,2) &lt;&gt; "CY",($Y8*12*(1+$W8)) - ($Y8*12*(1+$W8))*$V8, (Z8+($Y8*12))*(1+$W8) - (Z8+($Y8*12))*(1+$W8)*$V8)</f>
        <v>1479.5561279999999</v>
      </c>
      <c r="AB8" s="52">
        <f t="shared" si="20"/>
        <v>3303.7947412519607</v>
      </c>
      <c r="AC8" s="52">
        <f t="shared" si="20"/>
        <v>5553.0142572279274</v>
      </c>
      <c r="AD8" s="52">
        <f t="shared" si="20"/>
        <v>8326.2196889607894</v>
      </c>
      <c r="AE8" s="52">
        <f t="shared" si="20"/>
        <v>11745.480597896825</v>
      </c>
      <c r="AF8" s="52">
        <f t="shared" si="20"/>
        <v>15961.304290436126</v>
      </c>
      <c r="AG8" s="52">
        <f t="shared" si="20"/>
        <v>21159.260772822887</v>
      </c>
      <c r="AH8" s="52">
        <f t="shared" si="20"/>
        <v>27568.151078316761</v>
      </c>
      <c r="AI8" s="52">
        <f t="shared" si="20"/>
        <v>35470.078515961141</v>
      </c>
      <c r="AJ8" s="52">
        <f t="shared" si="20"/>
        <v>45212.866152109542</v>
      </c>
      <c r="AK8" s="52">
        <f t="shared" si="10"/>
        <v>12000</v>
      </c>
    </row>
    <row r="9" spans="1:37" ht="12.75">
      <c r="A9" s="24" t="s">
        <v>17</v>
      </c>
      <c r="B9" s="24" t="s">
        <v>101</v>
      </c>
      <c r="C9" s="36">
        <v>1E-3</v>
      </c>
      <c r="D9" s="36">
        <v>0.13850000000000001</v>
      </c>
      <c r="E9" s="37">
        <v>4.2000000000000003E-2</v>
      </c>
      <c r="F9" s="38">
        <f t="shared" si="0"/>
        <v>42</v>
      </c>
      <c r="G9" s="38">
        <f t="shared" si="4"/>
        <v>504</v>
      </c>
      <c r="H9" s="39">
        <f t="shared" si="5"/>
        <v>573.23019600000009</v>
      </c>
      <c r="I9" s="39">
        <f t="shared" ref="I9:Q9" si="21">IF(MID(H$1,1,2) &lt;&gt; "CY",($F9*12*(1+$D9)) - ($F9*12*(1+$D9))*$C9, (H9+($F9*12))*(1+$D9) - (H9+($F9*12))*(1+$D9)*$C9)</f>
        <v>1225.2001515678542</v>
      </c>
      <c r="J9" s="39">
        <f t="shared" si="21"/>
        <v>1966.7256781874421</v>
      </c>
      <c r="K9" s="39">
        <f t="shared" si="21"/>
        <v>2810.1082634317868</v>
      </c>
      <c r="L9" s="39">
        <f t="shared" si="21"/>
        <v>3769.3391456591726</v>
      </c>
      <c r="M9" s="39">
        <f t="shared" si="21"/>
        <v>4860.3314207156354</v>
      </c>
      <c r="N9" s="39">
        <f t="shared" si="21"/>
        <v>6101.1840311622673</v>
      </c>
      <c r="O9" s="39">
        <f t="shared" si="21"/>
        <v>7512.4820174587639</v>
      </c>
      <c r="P9" s="39">
        <f t="shared" si="21"/>
        <v>9117.6380120999274</v>
      </c>
      <c r="Q9" s="39">
        <f t="shared" si="21"/>
        <v>10943.280641898993</v>
      </c>
      <c r="R9" s="39">
        <f t="shared" si="7"/>
        <v>5040</v>
      </c>
      <c r="T9" s="24" t="s">
        <v>17</v>
      </c>
      <c r="U9" s="24" t="s">
        <v>101</v>
      </c>
      <c r="V9" s="36">
        <v>1E-3</v>
      </c>
      <c r="W9" s="36">
        <v>0.13850000000000001</v>
      </c>
      <c r="X9" s="37">
        <v>4.2000000000000003E-2</v>
      </c>
      <c r="Y9" s="38">
        <f t="shared" si="2"/>
        <v>42</v>
      </c>
      <c r="Z9" s="38">
        <f t="shared" si="8"/>
        <v>504</v>
      </c>
      <c r="AA9" s="39">
        <f t="shared" ref="AA9:AJ9" si="22">IF(MID(Z$1,1,2) &lt;&gt; "CY",($Y9*12*(1+$W9)) - ($Y9*12*(1+$W9))*$V9, (Z9+($Y9*12))*(1+$W9) - (Z9+($Y9*12))*(1+$W9)*$V9)</f>
        <v>573.23019600000009</v>
      </c>
      <c r="AB9" s="39">
        <f t="shared" si="22"/>
        <v>1225.2001515678542</v>
      </c>
      <c r="AC9" s="39">
        <f t="shared" si="22"/>
        <v>1966.7256781874421</v>
      </c>
      <c r="AD9" s="39">
        <f t="shared" si="22"/>
        <v>2810.1082634317868</v>
      </c>
      <c r="AE9" s="39">
        <f t="shared" si="22"/>
        <v>3769.3391456591726</v>
      </c>
      <c r="AF9" s="39">
        <f t="shared" si="22"/>
        <v>4860.3314207156354</v>
      </c>
      <c r="AG9" s="39">
        <f t="shared" si="22"/>
        <v>6101.1840311622673</v>
      </c>
      <c r="AH9" s="39">
        <f t="shared" si="22"/>
        <v>7512.4820174587639</v>
      </c>
      <c r="AI9" s="39">
        <f t="shared" si="22"/>
        <v>9117.6380120999274</v>
      </c>
      <c r="AJ9" s="39">
        <f t="shared" si="22"/>
        <v>10943.280641898993</v>
      </c>
      <c r="AK9" s="39">
        <f t="shared" si="10"/>
        <v>5040</v>
      </c>
    </row>
    <row r="10" spans="1:37" ht="12.75">
      <c r="A10" s="24" t="s">
        <v>17</v>
      </c>
      <c r="B10" s="24" t="s">
        <v>102</v>
      </c>
      <c r="C10" s="36">
        <v>8.4000000000000003E-4</v>
      </c>
      <c r="D10" s="36">
        <v>0.13827</v>
      </c>
      <c r="E10" s="37">
        <v>4.2000000000000003E-2</v>
      </c>
      <c r="F10" s="38">
        <f t="shared" si="0"/>
        <v>42</v>
      </c>
      <c r="G10" s="38">
        <f t="shared" si="4"/>
        <v>504</v>
      </c>
      <c r="H10" s="39">
        <f t="shared" si="5"/>
        <v>573.2061820127999</v>
      </c>
      <c r="I10" s="39">
        <f t="shared" ref="I10:Q10" si="23">IF(MID(H$1,1,2) &lt;&gt; "CY",($F10*12*(1+$D10)) - ($F10*12*(1+$D10))*$C10, (H10+($F10*12))*(1+$D10) - (H10+($F10*12))*(1+$D10)*$C10)</f>
        <v>1225.1215135558377</v>
      </c>
      <c r="J10" s="39">
        <f t="shared" si="23"/>
        <v>1966.5538512332055</v>
      </c>
      <c r="K10" s="39">
        <f t="shared" si="23"/>
        <v>2809.7951200841362</v>
      </c>
      <c r="L10" s="39">
        <f t="shared" si="23"/>
        <v>3768.8250967382451</v>
      </c>
      <c r="M10" s="39">
        <f t="shared" si="23"/>
        <v>4859.5431748210349</v>
      </c>
      <c r="N10" s="39">
        <f t="shared" si="23"/>
        <v>6100.0319549602718</v>
      </c>
      <c r="O10" s="39">
        <f t="shared" si="23"/>
        <v>7510.8570293517951</v>
      </c>
      <c r="P10" s="39">
        <f t="shared" si="23"/>
        <v>9115.407930899195</v>
      </c>
      <c r="Q10" s="39">
        <f t="shared" si="23"/>
        <v>10940.285899393601</v>
      </c>
      <c r="R10" s="39">
        <f t="shared" si="7"/>
        <v>5040</v>
      </c>
      <c r="T10" s="24" t="s">
        <v>17</v>
      </c>
      <c r="U10" s="24" t="s">
        <v>102</v>
      </c>
      <c r="V10" s="36">
        <v>8.4000000000000003E-4</v>
      </c>
      <c r="W10" s="36">
        <v>0.13827</v>
      </c>
      <c r="X10" s="37">
        <v>4.2000000000000003E-2</v>
      </c>
      <c r="Y10" s="38">
        <f t="shared" si="2"/>
        <v>42</v>
      </c>
      <c r="Z10" s="38">
        <f t="shared" si="8"/>
        <v>504</v>
      </c>
      <c r="AA10" s="39">
        <f t="shared" ref="AA10:AJ10" si="24">IF(MID(Z$1,1,2) &lt;&gt; "CY",($Y10*12*(1+$W10)) - ($Y10*12*(1+$W10))*$V10, (Z10+($Y10*12))*(1+$W10) - (Z10+($Y10*12))*(1+$W10)*$V10)</f>
        <v>573.2061820127999</v>
      </c>
      <c r="AB10" s="39">
        <f t="shared" si="24"/>
        <v>1225.1215135558377</v>
      </c>
      <c r="AC10" s="39">
        <f t="shared" si="24"/>
        <v>1966.5538512332055</v>
      </c>
      <c r="AD10" s="39">
        <f t="shared" si="24"/>
        <v>2809.7951200841362</v>
      </c>
      <c r="AE10" s="39">
        <f t="shared" si="24"/>
        <v>3768.8250967382451</v>
      </c>
      <c r="AF10" s="39">
        <f t="shared" si="24"/>
        <v>4859.5431748210349</v>
      </c>
      <c r="AG10" s="39">
        <f t="shared" si="24"/>
        <v>6100.0319549602718</v>
      </c>
      <c r="AH10" s="39">
        <f t="shared" si="24"/>
        <v>7510.8570293517951</v>
      </c>
      <c r="AI10" s="39">
        <f t="shared" si="24"/>
        <v>9115.407930899195</v>
      </c>
      <c r="AJ10" s="39">
        <f t="shared" si="24"/>
        <v>10940.285899393601</v>
      </c>
      <c r="AK10" s="39">
        <f t="shared" si="10"/>
        <v>5040</v>
      </c>
    </row>
    <row r="11" spans="1:37" ht="12.75">
      <c r="A11" s="48" t="s">
        <v>103</v>
      </c>
      <c r="B11" s="48" t="s">
        <v>44</v>
      </c>
      <c r="C11" s="49">
        <v>4.3E-3</v>
      </c>
      <c r="D11" s="49">
        <v>0.18910999999999994</v>
      </c>
      <c r="E11" s="50">
        <v>3.5999999999999997E-2</v>
      </c>
      <c r="F11" s="51">
        <f t="shared" si="0"/>
        <v>36</v>
      </c>
      <c r="G11" s="51">
        <f t="shared" si="4"/>
        <v>432</v>
      </c>
      <c r="H11" s="52">
        <f t="shared" si="5"/>
        <v>511.48662926399999</v>
      </c>
      <c r="I11" s="52">
        <f t="shared" ref="I11:Q11" si="25">IF(MID(H$1,1,2) &lt;&gt; "CY",($F11*12*(1+$D11)) - ($F11*12*(1+$D11))*$C11, (H11+($F11*12))*(1+$D11) - (H11+($F11*12))*(1+$D11)*$C11)</f>
        <v>1117.0851753655011</v>
      </c>
      <c r="J11" s="52">
        <f t="shared" si="25"/>
        <v>1834.1119323854916</v>
      </c>
      <c r="K11" s="52">
        <f t="shared" si="25"/>
        <v>2683.0693375712608</v>
      </c>
      <c r="L11" s="52">
        <f t="shared" si="25"/>
        <v>3688.2322115693642</v>
      </c>
      <c r="M11" s="52">
        <f t="shared" si="25"/>
        <v>4878.34186500132</v>
      </c>
      <c r="N11" s="52">
        <f t="shared" si="25"/>
        <v>6287.4279184468242</v>
      </c>
      <c r="O11" s="52">
        <f t="shared" si="25"/>
        <v>7955.7813346962539</v>
      </c>
      <c r="P11" s="52">
        <f t="shared" si="25"/>
        <v>9931.1064858501886</v>
      </c>
      <c r="Q11" s="52">
        <f t="shared" si="25"/>
        <v>12269.885197109741</v>
      </c>
      <c r="R11" s="52">
        <f t="shared" si="7"/>
        <v>4320</v>
      </c>
      <c r="T11" s="48" t="s">
        <v>103</v>
      </c>
      <c r="U11" s="48" t="s">
        <v>44</v>
      </c>
      <c r="V11" s="49">
        <v>4.3E-3</v>
      </c>
      <c r="W11" s="49">
        <v>0.18910999999999994</v>
      </c>
      <c r="X11" s="50">
        <v>3.5999999999999997E-2</v>
      </c>
      <c r="Y11" s="51">
        <f t="shared" si="2"/>
        <v>36</v>
      </c>
      <c r="Z11" s="51">
        <f t="shared" si="8"/>
        <v>432</v>
      </c>
      <c r="AA11" s="52">
        <f t="shared" ref="AA11:AJ11" si="26">IF(MID(Z$1,1,2) &lt;&gt; "CY",($Y11*12*(1+$W11)) - ($Y11*12*(1+$W11))*$V11, (Z11+($Y11*12))*(1+$W11) - (Z11+($Y11*12))*(1+$W11)*$V11)</f>
        <v>511.48662926399999</v>
      </c>
      <c r="AB11" s="52">
        <f t="shared" si="26"/>
        <v>1117.0851753655011</v>
      </c>
      <c r="AC11" s="52">
        <f t="shared" si="26"/>
        <v>1834.1119323854916</v>
      </c>
      <c r="AD11" s="52">
        <f t="shared" si="26"/>
        <v>2683.0693375712608</v>
      </c>
      <c r="AE11" s="52">
        <f t="shared" si="26"/>
        <v>3688.2322115693642</v>
      </c>
      <c r="AF11" s="52">
        <f t="shared" si="26"/>
        <v>4878.34186500132</v>
      </c>
      <c r="AG11" s="52">
        <f t="shared" si="26"/>
        <v>6287.4279184468242</v>
      </c>
      <c r="AH11" s="52">
        <f t="shared" si="26"/>
        <v>7955.7813346962539</v>
      </c>
      <c r="AI11" s="52">
        <f t="shared" si="26"/>
        <v>9931.1064858501886</v>
      </c>
      <c r="AJ11" s="52">
        <f t="shared" si="26"/>
        <v>12269.885197109741</v>
      </c>
      <c r="AK11" s="52">
        <f t="shared" si="10"/>
        <v>4320</v>
      </c>
    </row>
    <row r="12" spans="1:37" ht="12.75">
      <c r="A12" s="24" t="s">
        <v>39</v>
      </c>
      <c r="B12" s="24" t="s">
        <v>104</v>
      </c>
      <c r="C12" s="36">
        <v>3.5000000000000001E-3</v>
      </c>
      <c r="D12" s="36">
        <v>0.25640000000000002</v>
      </c>
      <c r="E12" s="37">
        <v>5.5E-2</v>
      </c>
      <c r="F12" s="38">
        <f t="shared" si="0"/>
        <v>55</v>
      </c>
      <c r="G12" s="38">
        <f t="shared" si="4"/>
        <v>660</v>
      </c>
      <c r="H12" s="39">
        <f t="shared" si="5"/>
        <v>826.32171599999992</v>
      </c>
      <c r="I12" s="39">
        <f t="shared" ref="I12:Q12" si="27">IF(MID(H$1,1,2) &lt;&gt; "CY",($F12*12*(1+$D12)) - ($F12*12*(1+$D12))*$C12, (H12+($F12*12))*(1+$D12) - (H12+($F12*12))*(1+$D12)*$C12)</f>
        <v>1860.8786528684614</v>
      </c>
      <c r="J12" s="39">
        <f t="shared" si="27"/>
        <v>3156.146627675811</v>
      </c>
      <c r="K12" s="39">
        <f t="shared" si="27"/>
        <v>4777.8254998313469</v>
      </c>
      <c r="L12" s="39">
        <f t="shared" si="27"/>
        <v>6808.1716641351459</v>
      </c>
      <c r="M12" s="39">
        <f t="shared" si="27"/>
        <v>9350.1703407435289</v>
      </c>
      <c r="N12" s="39">
        <f t="shared" si="27"/>
        <v>12532.759293053783</v>
      </c>
      <c r="O12" s="39">
        <f t="shared" si="27"/>
        <v>16517.368936077499</v>
      </c>
      <c r="P12" s="39">
        <f t="shared" si="27"/>
        <v>21506.110569128261</v>
      </c>
      <c r="Q12" s="39">
        <f t="shared" si="27"/>
        <v>27752.028064436061</v>
      </c>
      <c r="R12" s="39">
        <f t="shared" si="7"/>
        <v>6600</v>
      </c>
      <c r="T12" s="24" t="s">
        <v>39</v>
      </c>
      <c r="U12" s="24" t="s">
        <v>104</v>
      </c>
      <c r="V12" s="36">
        <v>3.5000000000000001E-3</v>
      </c>
      <c r="W12" s="36">
        <v>0.25640000000000002</v>
      </c>
      <c r="X12" s="37">
        <v>5.5E-2</v>
      </c>
      <c r="Y12" s="38">
        <f t="shared" si="2"/>
        <v>55</v>
      </c>
      <c r="Z12" s="38">
        <f t="shared" si="8"/>
        <v>660</v>
      </c>
      <c r="AA12" s="39">
        <f t="shared" ref="AA12:AJ12" si="28">IF(MID(Z$1,1,2) &lt;&gt; "CY",($Y12*12*(1+$W12)) - ($Y12*12*(1+$W12))*$V12, (Z12+($Y12*12))*(1+$W12) - (Z12+($Y12*12))*(1+$W12)*$V12)</f>
        <v>826.32171599999992</v>
      </c>
      <c r="AB12" s="39">
        <f t="shared" si="28"/>
        <v>1860.8786528684614</v>
      </c>
      <c r="AC12" s="39">
        <f t="shared" si="28"/>
        <v>3156.146627675811</v>
      </c>
      <c r="AD12" s="39">
        <f t="shared" si="28"/>
        <v>4777.8254998313469</v>
      </c>
      <c r="AE12" s="39">
        <f t="shared" si="28"/>
        <v>6808.1716641351459</v>
      </c>
      <c r="AF12" s="39">
        <f t="shared" si="28"/>
        <v>9350.1703407435289</v>
      </c>
      <c r="AG12" s="39">
        <f t="shared" si="28"/>
        <v>12532.759293053783</v>
      </c>
      <c r="AH12" s="39">
        <f t="shared" si="28"/>
        <v>16517.368936077499</v>
      </c>
      <c r="AI12" s="39">
        <f t="shared" si="28"/>
        <v>21506.110569128261</v>
      </c>
      <c r="AJ12" s="39">
        <f t="shared" si="28"/>
        <v>27752.028064436061</v>
      </c>
      <c r="AK12" s="39">
        <f t="shared" si="10"/>
        <v>6600</v>
      </c>
    </row>
    <row r="13" spans="1:37" ht="12.75">
      <c r="A13" s="24" t="s">
        <v>39</v>
      </c>
      <c r="B13" s="24" t="s">
        <v>105</v>
      </c>
      <c r="C13" s="36">
        <v>3.5000000000000001E-3</v>
      </c>
      <c r="D13" s="36">
        <v>0.23544999999999999</v>
      </c>
      <c r="E13" s="37">
        <v>5.5E-2</v>
      </c>
      <c r="F13" s="38">
        <f t="shared" si="0"/>
        <v>55</v>
      </c>
      <c r="G13" s="38">
        <f t="shared" si="4"/>
        <v>660</v>
      </c>
      <c r="H13" s="39">
        <f t="shared" si="5"/>
        <v>812.5431104999999</v>
      </c>
      <c r="I13" s="39">
        <f t="shared" ref="I13:Q13" si="29">IF(MID(H$1,1,2) &lt;&gt; "CY",($F13*12*(1+$D13)) - ($F13*12*(1+$D13))*$C13, (H13+($F13*12))*(1+$D13) - (H13+($F13*12))*(1+$D13)*$C13)</f>
        <v>1812.8859990166893</v>
      </c>
      <c r="J13" s="39">
        <f t="shared" si="29"/>
        <v>3044.4340629589706</v>
      </c>
      <c r="K13" s="39">
        <f t="shared" si="29"/>
        <v>4560.6248123618707</v>
      </c>
      <c r="L13" s="39">
        <f t="shared" si="29"/>
        <v>6427.2465511969585</v>
      </c>
      <c r="M13" s="39">
        <f t="shared" si="29"/>
        <v>8725.2929660454156</v>
      </c>
      <c r="N13" s="39">
        <f t="shared" si="29"/>
        <v>11554.477484218656</v>
      </c>
      <c r="O13" s="39">
        <f t="shared" si="29"/>
        <v>15037.559891150366</v>
      </c>
      <c r="P13" s="39">
        <f t="shared" si="29"/>
        <v>19325.672941235392</v>
      </c>
      <c r="Q13" s="39">
        <f t="shared" si="29"/>
        <v>24604.880086525889</v>
      </c>
      <c r="R13" s="39">
        <f t="shared" si="7"/>
        <v>6600</v>
      </c>
      <c r="T13" s="24" t="s">
        <v>39</v>
      </c>
      <c r="U13" s="24" t="s">
        <v>105</v>
      </c>
      <c r="V13" s="36">
        <v>3.5000000000000001E-3</v>
      </c>
      <c r="W13" s="36">
        <v>0.23544999999999999</v>
      </c>
      <c r="X13" s="37">
        <v>5.5E-2</v>
      </c>
      <c r="Y13" s="38">
        <f t="shared" si="2"/>
        <v>55</v>
      </c>
      <c r="Z13" s="38">
        <f t="shared" si="8"/>
        <v>660</v>
      </c>
      <c r="AA13" s="39">
        <f t="shared" ref="AA13:AJ13" si="30">IF(MID(Z$1,1,2) &lt;&gt; "CY",($Y13*12*(1+$W13)) - ($Y13*12*(1+$W13))*$V13, (Z13+($Y13*12))*(1+$W13) - (Z13+($Y13*12))*(1+$W13)*$V13)</f>
        <v>812.5431104999999</v>
      </c>
      <c r="AB13" s="39">
        <f t="shared" si="30"/>
        <v>1812.8859990166893</v>
      </c>
      <c r="AC13" s="39">
        <f t="shared" si="30"/>
        <v>3044.4340629589706</v>
      </c>
      <c r="AD13" s="39">
        <f t="shared" si="30"/>
        <v>4560.6248123618707</v>
      </c>
      <c r="AE13" s="39">
        <f t="shared" si="30"/>
        <v>6427.2465511969585</v>
      </c>
      <c r="AF13" s="39">
        <f t="shared" si="30"/>
        <v>8725.2929660454156</v>
      </c>
      <c r="AG13" s="39">
        <f t="shared" si="30"/>
        <v>11554.477484218656</v>
      </c>
      <c r="AH13" s="39">
        <f t="shared" si="30"/>
        <v>15037.559891150366</v>
      </c>
      <c r="AI13" s="39">
        <f t="shared" si="30"/>
        <v>19325.672941235392</v>
      </c>
      <c r="AJ13" s="39">
        <f t="shared" si="30"/>
        <v>24604.880086525889</v>
      </c>
      <c r="AK13" s="39">
        <f t="shared" si="10"/>
        <v>6600</v>
      </c>
    </row>
    <row r="14" spans="1:37" ht="12.75">
      <c r="A14" s="48" t="s">
        <v>16</v>
      </c>
      <c r="B14" s="48" t="s">
        <v>106</v>
      </c>
      <c r="C14" s="49">
        <v>5.9999999999999995E-4</v>
      </c>
      <c r="D14" s="49">
        <v>6.9339999999999999E-2</v>
      </c>
      <c r="E14" s="50">
        <v>5.5E-2</v>
      </c>
      <c r="F14" s="51">
        <f t="shared" si="0"/>
        <v>55</v>
      </c>
      <c r="G14" s="51">
        <f t="shared" si="4"/>
        <v>660</v>
      </c>
      <c r="H14" s="52">
        <f t="shared" si="5"/>
        <v>705.34094135999999</v>
      </c>
      <c r="I14" s="52">
        <f t="shared" ref="I14:Q14" si="31">IF(MID(H$1,1,2) &lt;&gt; "CY",($F14*12*(1+$D14)) - ($F14*12*(1+$D14))*$C14, (H14+($F14*12))*(1+$D14) - (H14+($F14*12))*(1+$D14)*$C14)</f>
        <v>1459.1376740245619</v>
      </c>
      <c r="J14" s="52">
        <f t="shared" si="31"/>
        <v>2264.7190331332199</v>
      </c>
      <c r="K14" s="52">
        <f t="shared" si="31"/>
        <v>3125.6425394601429</v>
      </c>
      <c r="L14" s="52">
        <f t="shared" si="31"/>
        <v>4045.7101097504215</v>
      </c>
      <c r="M14" s="52">
        <f t="shared" si="31"/>
        <v>5028.9848463312592</v>
      </c>
      <c r="N14" s="52">
        <f t="shared" si="31"/>
        <v>6079.8089801425231</v>
      </c>
      <c r="O14" s="52">
        <f t="shared" si="31"/>
        <v>7202.8230464247099</v>
      </c>
      <c r="P14" s="52">
        <f t="shared" si="31"/>
        <v>8402.9863777459195</v>
      </c>
      <c r="Q14" s="52">
        <f t="shared" si="31"/>
        <v>9685.5990048669137</v>
      </c>
      <c r="R14" s="52">
        <f t="shared" si="7"/>
        <v>6600</v>
      </c>
      <c r="T14" s="48" t="s">
        <v>16</v>
      </c>
      <c r="U14" s="48" t="s">
        <v>106</v>
      </c>
      <c r="V14" s="49">
        <v>5.9999999999999995E-4</v>
      </c>
      <c r="W14" s="49">
        <v>6.9339999999999999E-2</v>
      </c>
      <c r="X14" s="50">
        <v>0</v>
      </c>
      <c r="Y14" s="51">
        <f t="shared" si="2"/>
        <v>0</v>
      </c>
      <c r="Z14" s="51">
        <f t="shared" si="8"/>
        <v>0</v>
      </c>
      <c r="AA14" s="52">
        <f t="shared" ref="AA14:AJ14" si="32">IF(MID(Z$1,1,2) &lt;&gt; "CY",($Y14*12*(1+$W14)) - ($Y14*12*(1+$W14))*$V14, (Z14+($Y14*12))*(1+$W14) - (Z14+($Y14*12))*(1+$W14)*$V14)</f>
        <v>0</v>
      </c>
      <c r="AB14" s="52">
        <f t="shared" si="32"/>
        <v>0</v>
      </c>
      <c r="AC14" s="52">
        <f t="shared" si="32"/>
        <v>0</v>
      </c>
      <c r="AD14" s="52">
        <f t="shared" si="32"/>
        <v>0</v>
      </c>
      <c r="AE14" s="52">
        <f t="shared" si="32"/>
        <v>0</v>
      </c>
      <c r="AF14" s="52">
        <f t="shared" si="32"/>
        <v>0</v>
      </c>
      <c r="AG14" s="52">
        <f t="shared" si="32"/>
        <v>0</v>
      </c>
      <c r="AH14" s="52">
        <f t="shared" si="32"/>
        <v>0</v>
      </c>
      <c r="AI14" s="52">
        <f t="shared" si="32"/>
        <v>0</v>
      </c>
      <c r="AJ14" s="52">
        <f t="shared" si="32"/>
        <v>0</v>
      </c>
      <c r="AK14" s="52">
        <f t="shared" si="10"/>
        <v>0</v>
      </c>
    </row>
    <row r="15" spans="1:37" ht="12.75">
      <c r="A15" s="53" t="s">
        <v>16</v>
      </c>
      <c r="B15" s="53" t="s">
        <v>107</v>
      </c>
      <c r="C15" s="54">
        <v>5.9999999999999995E-4</v>
      </c>
      <c r="D15" s="54">
        <v>0.10698000000000001</v>
      </c>
      <c r="E15" s="55">
        <v>5.5E-2</v>
      </c>
      <c r="F15" s="51">
        <f t="shared" si="0"/>
        <v>55</v>
      </c>
      <c r="G15" s="51">
        <f t="shared" si="4"/>
        <v>660</v>
      </c>
      <c r="H15" s="52">
        <f t="shared" si="5"/>
        <v>730.16843591999998</v>
      </c>
      <c r="I15" s="52">
        <f t="shared" ref="I15:Q15" si="33">IF(MID(H$1,1,2) &lt;&gt; "CY",($F15*12*(1+$D15)) - ($F15*12*(1+$D15))*$C15, (H15+($F15*12))*(1+$D15) - (H15+($F15*12))*(1+$D15)*$C15)</f>
        <v>1537.9653220016048</v>
      </c>
      <c r="J15" s="52">
        <f t="shared" si="33"/>
        <v>2431.6437899580469</v>
      </c>
      <c r="K15" s="52">
        <f t="shared" si="33"/>
        <v>3420.3344099021942</v>
      </c>
      <c r="L15" s="52">
        <f t="shared" si="33"/>
        <v>4514.1384759224875</v>
      </c>
      <c r="M15" s="52">
        <f t="shared" si="33"/>
        <v>5724.2312093906294</v>
      </c>
      <c r="N15" s="52">
        <f t="shared" si="33"/>
        <v>7062.9759344127369</v>
      </c>
      <c r="O15" s="52">
        <f t="shared" si="33"/>
        <v>8544.0503919362855</v>
      </c>
      <c r="P15" s="52">
        <f t="shared" si="33"/>
        <v>10182.58648304391</v>
      </c>
      <c r="Q15" s="52">
        <f t="shared" si="33"/>
        <v>11995.324869168948</v>
      </c>
      <c r="R15" s="52">
        <f t="shared" si="7"/>
        <v>6600</v>
      </c>
      <c r="T15" s="53" t="s">
        <v>16</v>
      </c>
      <c r="U15" s="53" t="s">
        <v>107</v>
      </c>
      <c r="V15" s="54">
        <v>5.9999999999999995E-4</v>
      </c>
      <c r="W15" s="54">
        <v>0.10698000000000001</v>
      </c>
      <c r="X15" s="55">
        <v>0</v>
      </c>
      <c r="Y15" s="51">
        <f t="shared" si="2"/>
        <v>0</v>
      </c>
      <c r="Z15" s="51">
        <f t="shared" si="8"/>
        <v>0</v>
      </c>
      <c r="AA15" s="52">
        <f t="shared" ref="AA15:AJ15" si="34">IF(MID(Z$1,1,2) &lt;&gt; "CY",($Y15*12*(1+$W15)) - ($Y15*12*(1+$W15))*$V15, (Z15+($Y15*12))*(1+$W15) - (Z15+($Y15*12))*(1+$W15)*$V15)</f>
        <v>0</v>
      </c>
      <c r="AB15" s="52">
        <f t="shared" si="34"/>
        <v>0</v>
      </c>
      <c r="AC15" s="52">
        <f t="shared" si="34"/>
        <v>0</v>
      </c>
      <c r="AD15" s="52">
        <f t="shared" si="34"/>
        <v>0</v>
      </c>
      <c r="AE15" s="52">
        <f t="shared" si="34"/>
        <v>0</v>
      </c>
      <c r="AF15" s="52">
        <f t="shared" si="34"/>
        <v>0</v>
      </c>
      <c r="AG15" s="52">
        <f t="shared" si="34"/>
        <v>0</v>
      </c>
      <c r="AH15" s="52">
        <f t="shared" si="34"/>
        <v>0</v>
      </c>
      <c r="AI15" s="52">
        <f t="shared" si="34"/>
        <v>0</v>
      </c>
      <c r="AJ15" s="52">
        <f t="shared" si="34"/>
        <v>0</v>
      </c>
      <c r="AK15" s="52">
        <f t="shared" si="10"/>
        <v>0</v>
      </c>
    </row>
    <row r="16" spans="1:37" ht="12.75">
      <c r="A16" s="24" t="s">
        <v>108</v>
      </c>
      <c r="B16" s="24" t="s">
        <v>109</v>
      </c>
      <c r="C16" s="36">
        <v>4.4999999999999997E-3</v>
      </c>
      <c r="D16" s="36">
        <v>0.2389</v>
      </c>
      <c r="E16" s="37">
        <v>5.5E-2</v>
      </c>
      <c r="F16" s="38">
        <f t="shared" si="0"/>
        <v>55</v>
      </c>
      <c r="G16" s="38">
        <f t="shared" si="4"/>
        <v>660</v>
      </c>
      <c r="H16" s="39">
        <f t="shared" si="5"/>
        <v>813.9944670000001</v>
      </c>
      <c r="I16" s="39">
        <f t="shared" ref="I16:Q16" si="35">IF(MID(H$1,1,2) &lt;&gt; "CY",($F16*12*(1+$D16)) - ($F16*12*(1+$D16))*$C16, (H16+($F16*12))*(1+$D16) - (H16+($F16*12))*(1+$D16)*$C16)</f>
        <v>1817.9141523130518</v>
      </c>
      <c r="J16" s="39">
        <f t="shared" si="35"/>
        <v>3056.0733480057875</v>
      </c>
      <c r="K16" s="39">
        <f t="shared" si="35"/>
        <v>4583.1259761255706</v>
      </c>
      <c r="L16" s="39">
        <f t="shared" si="35"/>
        <v>6466.4780823487708</v>
      </c>
      <c r="M16" s="39">
        <f t="shared" si="35"/>
        <v>8789.2632245888944</v>
      </c>
      <c r="N16" s="39">
        <f t="shared" si="35"/>
        <v>11654.012094002939</v>
      </c>
      <c r="O16" s="39">
        <f t="shared" si="35"/>
        <v>15187.178350135573</v>
      </c>
      <c r="P16" s="39">
        <f t="shared" si="35"/>
        <v>19544.720446322041</v>
      </c>
      <c r="Q16" s="39">
        <f t="shared" si="35"/>
        <v>24918.98583422411</v>
      </c>
      <c r="R16" s="39">
        <f t="shared" si="7"/>
        <v>6600</v>
      </c>
      <c r="T16" s="24" t="s">
        <v>108</v>
      </c>
      <c r="U16" s="24" t="s">
        <v>110</v>
      </c>
      <c r="V16" s="36">
        <v>7.4999999999999997E-3</v>
      </c>
      <c r="W16" s="36">
        <v>0.37198333333333333</v>
      </c>
      <c r="X16" s="37">
        <v>0.11</v>
      </c>
      <c r="Y16" s="38">
        <f t="shared" si="2"/>
        <v>110</v>
      </c>
      <c r="Z16" s="38">
        <f t="shared" si="8"/>
        <v>1320</v>
      </c>
      <c r="AA16" s="39">
        <f t="shared" ref="AA16:AJ16" si="36">IF(MID(Z$1,1,2) &lt;&gt; "CY",($Y16*12*(1+$W16)) - ($Y16*12*(1+$W16))*$V16, (Z16+($Y16*12))*(1+$W16) - (Z16+($Y16*12))*(1+$W16)*$V16)</f>
        <v>1797.435365</v>
      </c>
      <c r="AB16" s="39">
        <f t="shared" si="36"/>
        <v>4244.9913432974872</v>
      </c>
      <c r="AC16" s="39">
        <f t="shared" si="36"/>
        <v>7577.8123078498174</v>
      </c>
      <c r="AD16" s="39">
        <f t="shared" si="36"/>
        <v>12116.092813076915</v>
      </c>
      <c r="AE16" s="39">
        <f t="shared" si="36"/>
        <v>18295.839689126351</v>
      </c>
      <c r="AF16" s="39">
        <f t="shared" si="36"/>
        <v>26710.760584398718</v>
      </c>
      <c r="AG16" s="39">
        <f t="shared" si="36"/>
        <v>38169.303319883584</v>
      </c>
      <c r="AH16" s="39">
        <f t="shared" si="36"/>
        <v>53772.32600482626</v>
      </c>
      <c r="AI16" s="39">
        <f t="shared" si="36"/>
        <v>75018.859925139303</v>
      </c>
      <c r="AJ16" s="39">
        <f t="shared" si="36"/>
        <v>103950.12617668684</v>
      </c>
      <c r="AK16" s="39">
        <f t="shared" si="10"/>
        <v>13200</v>
      </c>
    </row>
    <row r="17" spans="1:37" ht="12.75">
      <c r="A17" s="24" t="s">
        <v>108</v>
      </c>
      <c r="B17" s="24" t="s">
        <v>111</v>
      </c>
      <c r="C17" s="36">
        <v>6.0000000000000001E-3</v>
      </c>
      <c r="D17" s="36">
        <v>0.23888333333333336</v>
      </c>
      <c r="E17" s="37">
        <v>5.5E-2</v>
      </c>
      <c r="F17" s="38">
        <f t="shared" si="0"/>
        <v>55</v>
      </c>
      <c r="G17" s="38">
        <f t="shared" si="4"/>
        <v>660</v>
      </c>
      <c r="H17" s="39">
        <f t="shared" si="5"/>
        <v>812.75702200000001</v>
      </c>
      <c r="I17" s="39">
        <f t="shared" ref="I17:Q17" si="37">IF(MID(H$1,1,2) &lt;&gt; "CY",($F17*12*(1+$D17)) - ($F17*12*(1+$D17))*$C17, (H17+($F17*12))*(1+$D17) - (H17+($F17*12))*(1+$D17)*$C17)</f>
        <v>1813.6266838338008</v>
      </c>
      <c r="J17" s="39">
        <f t="shared" si="37"/>
        <v>3046.1476622613568</v>
      </c>
      <c r="K17" s="39">
        <f t="shared" si="37"/>
        <v>4563.9356622300029</v>
      </c>
      <c r="L17" s="39">
        <f t="shared" si="37"/>
        <v>6433.0157453843258</v>
      </c>
      <c r="M17" s="39">
        <f t="shared" si="37"/>
        <v>8734.6944760873866</v>
      </c>
      <c r="N17" s="39">
        <f t="shared" si="37"/>
        <v>11569.096825734294</v>
      </c>
      <c r="O17" s="39">
        <f t="shared" si="37"/>
        <v>15059.521693687058</v>
      </c>
      <c r="P17" s="39">
        <f t="shared" si="37"/>
        <v>19357.805513674986</v>
      </c>
      <c r="Q17" s="39">
        <f t="shared" si="37"/>
        <v>24650.927267075247</v>
      </c>
      <c r="R17" s="39">
        <f t="shared" si="7"/>
        <v>6600</v>
      </c>
      <c r="T17" s="24" t="s">
        <v>108</v>
      </c>
      <c r="U17" s="24" t="s">
        <v>112</v>
      </c>
      <c r="V17" s="36">
        <v>7.6E-3</v>
      </c>
      <c r="W17" s="36">
        <v>0.47854999999999998</v>
      </c>
      <c r="X17" s="37">
        <v>0.11</v>
      </c>
      <c r="Y17" s="38">
        <f t="shared" si="2"/>
        <v>110</v>
      </c>
      <c r="Z17" s="38">
        <f t="shared" si="8"/>
        <v>1320</v>
      </c>
      <c r="AA17" s="39">
        <f t="shared" ref="AA17:AJ17" si="38">IF(MID(Z$1,1,2) &lt;&gt; "CY",($Y17*12*(1+$W17)) - ($Y17*12*(1+$W17))*$V17, (Z17+($Y17*12))*(1+$W17) - (Z17+($Y17*12))*(1+$W17)*$V17)</f>
        <v>1936.8531864000001</v>
      </c>
      <c r="AB17" s="39">
        <f t="shared" si="38"/>
        <v>4778.8230846332071</v>
      </c>
      <c r="AC17" s="39">
        <f t="shared" si="38"/>
        <v>8948.8825187588682</v>
      </c>
      <c r="AD17" s="39">
        <f t="shared" si="38"/>
        <v>15067.665020625282</v>
      </c>
      <c r="AE17" s="39">
        <f t="shared" si="38"/>
        <v>24045.834252162047</v>
      </c>
      <c r="AF17" s="39">
        <f t="shared" si="38"/>
        <v>37219.618861359333</v>
      </c>
      <c r="AG17" s="39">
        <f t="shared" si="38"/>
        <v>56549.684541110124</v>
      </c>
      <c r="AH17" s="39">
        <f t="shared" si="38"/>
        <v>84912.941590463612</v>
      </c>
      <c r="AI17" s="39">
        <f t="shared" si="38"/>
        <v>126530.71794858677</v>
      </c>
      <c r="AJ17" s="39">
        <f t="shared" si="38"/>
        <v>187597.02306230908</v>
      </c>
      <c r="AK17" s="39">
        <f t="shared" si="10"/>
        <v>13200</v>
      </c>
    </row>
    <row r="18" spans="1:37" ht="12.75">
      <c r="A18" s="48" t="s">
        <v>113</v>
      </c>
      <c r="B18" s="48" t="s">
        <v>114</v>
      </c>
      <c r="C18" s="49">
        <v>3.5E-4</v>
      </c>
      <c r="D18" s="49">
        <v>4.8899999999999999E-2</v>
      </c>
      <c r="E18" s="50">
        <f>0.1*0.2</f>
        <v>2.0000000000000004E-2</v>
      </c>
      <c r="F18" s="51">
        <f t="shared" si="0"/>
        <v>20.000000000000004</v>
      </c>
      <c r="G18" s="51">
        <f t="shared" si="4"/>
        <v>240.00000000000006</v>
      </c>
      <c r="H18" s="52">
        <f t="shared" si="5"/>
        <v>251.64789240000005</v>
      </c>
      <c r="I18" s="52">
        <f t="shared" ref="I18:Q18" si="39">IF(MID(H$1,1,2) &lt;&gt; "CY",($F18*12*(1+$D18)) - ($F18*12*(1+$D18))*$C18, (H18+($F18*12))*(1+$D18) - (H18+($F18*12))*(1+$D18)*$C18)</f>
        <v>515.50898302234168</v>
      </c>
      <c r="J18" s="52">
        <f t="shared" si="39"/>
        <v>792.17601361183199</v>
      </c>
      <c r="K18" s="52">
        <f t="shared" si="39"/>
        <v>1082.2704933802136</v>
      </c>
      <c r="L18" s="52">
        <f t="shared" si="39"/>
        <v>1386.4440951743286</v>
      </c>
      <c r="M18" s="52">
        <f t="shared" si="39"/>
        <v>1705.3801194043533</v>
      </c>
      <c r="N18" s="52">
        <f t="shared" si="39"/>
        <v>2039.7950290206909</v>
      </c>
      <c r="O18" s="52">
        <f t="shared" si="39"/>
        <v>2390.4400589877237</v>
      </c>
      <c r="P18" s="52">
        <f t="shared" si="39"/>
        <v>2758.102903869968</v>
      </c>
      <c r="Q18" s="52">
        <f t="shared" si="39"/>
        <v>3143.6094873216553</v>
      </c>
      <c r="R18" s="52">
        <f t="shared" si="7"/>
        <v>2400.0000000000005</v>
      </c>
      <c r="T18" s="48" t="s">
        <v>113</v>
      </c>
      <c r="U18" s="48" t="s">
        <v>114</v>
      </c>
      <c r="V18" s="49">
        <v>3.5E-4</v>
      </c>
      <c r="W18" s="49">
        <v>4.8899999999999999E-2</v>
      </c>
      <c r="X18" s="50">
        <f>0.1*0.2</f>
        <v>2.0000000000000004E-2</v>
      </c>
      <c r="Y18" s="51">
        <f t="shared" si="2"/>
        <v>20.000000000000004</v>
      </c>
      <c r="Z18" s="51">
        <f t="shared" si="8"/>
        <v>240.00000000000006</v>
      </c>
      <c r="AA18" s="52">
        <f t="shared" ref="AA18:AJ18" si="40">IF(MID(Z$1,1,2) &lt;&gt; "CY",($Y18*12*(1+$W18)) - ($Y18*12*(1+$W18))*$V18, (Z18+($Y18*12))*(1+$W18) - (Z18+($Y18*12))*(1+$W18)*$V18)</f>
        <v>251.64789240000005</v>
      </c>
      <c r="AB18" s="52">
        <f t="shared" si="40"/>
        <v>515.50898302234168</v>
      </c>
      <c r="AC18" s="52">
        <f t="shared" si="40"/>
        <v>792.17601361183199</v>
      </c>
      <c r="AD18" s="52">
        <f t="shared" si="40"/>
        <v>1082.2704933802136</v>
      </c>
      <c r="AE18" s="52">
        <f t="shared" si="40"/>
        <v>1386.4440951743286</v>
      </c>
      <c r="AF18" s="52">
        <f t="shared" si="40"/>
        <v>1705.3801194043533</v>
      </c>
      <c r="AG18" s="52">
        <f t="shared" si="40"/>
        <v>2039.7950290206909</v>
      </c>
      <c r="AH18" s="52">
        <f t="shared" si="40"/>
        <v>2390.4400589877237</v>
      </c>
      <c r="AI18" s="52">
        <f t="shared" si="40"/>
        <v>2758.102903869968</v>
      </c>
      <c r="AJ18" s="52">
        <f t="shared" si="40"/>
        <v>3143.6094873216553</v>
      </c>
      <c r="AK18" s="52">
        <f t="shared" si="10"/>
        <v>2400.0000000000005</v>
      </c>
    </row>
    <row r="19" spans="1:37" ht="12.75">
      <c r="A19" s="48" t="s">
        <v>113</v>
      </c>
      <c r="B19" s="48" t="s">
        <v>115</v>
      </c>
      <c r="C19" s="49">
        <v>3.5E-4</v>
      </c>
      <c r="D19" s="49">
        <v>5.0099999999999999E-2</v>
      </c>
      <c r="E19" s="50">
        <f>0.1*0.2</f>
        <v>2.0000000000000004E-2</v>
      </c>
      <c r="F19" s="51">
        <f t="shared" si="0"/>
        <v>20.000000000000004</v>
      </c>
      <c r="G19" s="51">
        <f t="shared" si="4"/>
        <v>240.00000000000006</v>
      </c>
      <c r="H19" s="52">
        <f t="shared" si="5"/>
        <v>251.93579160000004</v>
      </c>
      <c r="I19" s="52">
        <f t="shared" ref="I19:Q19" si="41">IF(MID(H$1,1,2) &lt;&gt; "CY",($F19*12*(1+$D19)) - ($F19*12*(1+$D19))*$C19, (H19+($F19*12))*(1+$D19) - (H19+($F19*12))*(1+$D19)*$C19)</f>
        <v>516.40097113799436</v>
      </c>
      <c r="J19" s="52">
        <f t="shared" si="41"/>
        <v>794.01865596108075</v>
      </c>
      <c r="K19" s="52">
        <f t="shared" si="41"/>
        <v>1085.4429525780124</v>
      </c>
      <c r="L19" s="52">
        <f t="shared" si="41"/>
        <v>1391.3604978265951</v>
      </c>
      <c r="M19" s="52">
        <f t="shared" si="41"/>
        <v>1712.4920766871387</v>
      </c>
      <c r="N19" s="52">
        <f t="shared" si="41"/>
        <v>2049.5943205537592</v>
      </c>
      <c r="O19" s="52">
        <f t="shared" si="41"/>
        <v>2403.4614899648982</v>
      </c>
      <c r="P19" s="52">
        <f t="shared" si="41"/>
        <v>2774.9273459934257</v>
      </c>
      <c r="Q19" s="52">
        <f t="shared" si="41"/>
        <v>3164.8671147055866</v>
      </c>
      <c r="R19" s="52">
        <f t="shared" si="7"/>
        <v>2400.0000000000005</v>
      </c>
      <c r="T19" s="48" t="s">
        <v>113</v>
      </c>
      <c r="U19" s="48" t="s">
        <v>115</v>
      </c>
      <c r="V19" s="49">
        <v>3.5E-4</v>
      </c>
      <c r="W19" s="49">
        <v>5.0099999999999999E-2</v>
      </c>
      <c r="X19" s="50">
        <f>0.1*0.2</f>
        <v>2.0000000000000004E-2</v>
      </c>
      <c r="Y19" s="51">
        <f t="shared" si="2"/>
        <v>20.000000000000004</v>
      </c>
      <c r="Z19" s="51">
        <f t="shared" si="8"/>
        <v>240.00000000000006</v>
      </c>
      <c r="AA19" s="52">
        <f t="shared" ref="AA19:AJ19" si="42">IF(MID(Z$1,1,2) &lt;&gt; "CY",($Y19*12*(1+$W19)) - ($Y19*12*(1+$W19))*$V19, (Z19+($Y19*12))*(1+$W19) - (Z19+($Y19*12))*(1+$W19)*$V19)</f>
        <v>251.93579160000004</v>
      </c>
      <c r="AB19" s="52">
        <f t="shared" si="42"/>
        <v>516.40097113799436</v>
      </c>
      <c r="AC19" s="52">
        <f t="shared" si="42"/>
        <v>794.01865596108075</v>
      </c>
      <c r="AD19" s="52">
        <f t="shared" si="42"/>
        <v>1085.4429525780124</v>
      </c>
      <c r="AE19" s="52">
        <f t="shared" si="42"/>
        <v>1391.3604978265951</v>
      </c>
      <c r="AF19" s="52">
        <f t="shared" si="42"/>
        <v>1712.4920766871387</v>
      </c>
      <c r="AG19" s="52">
        <f t="shared" si="42"/>
        <v>2049.5943205537592</v>
      </c>
      <c r="AH19" s="52">
        <f t="shared" si="42"/>
        <v>2403.4614899648982</v>
      </c>
      <c r="AI19" s="52">
        <f t="shared" si="42"/>
        <v>2774.9273459934257</v>
      </c>
      <c r="AJ19" s="52">
        <f t="shared" si="42"/>
        <v>3164.8671147055866</v>
      </c>
      <c r="AK19" s="52">
        <f t="shared" si="10"/>
        <v>2400.0000000000005</v>
      </c>
    </row>
    <row r="20" spans="1:37" ht="12.75">
      <c r="A20" s="48" t="s">
        <v>113</v>
      </c>
      <c r="B20" s="48" t="s">
        <v>116</v>
      </c>
      <c r="C20" s="49">
        <v>2.9999999999999997E-4</v>
      </c>
      <c r="D20" s="49">
        <v>0.1076</v>
      </c>
      <c r="E20" s="50">
        <f>0.1*0.6</f>
        <v>0.06</v>
      </c>
      <c r="F20" s="51">
        <f t="shared" si="0"/>
        <v>60</v>
      </c>
      <c r="G20" s="51">
        <f t="shared" si="4"/>
        <v>720</v>
      </c>
      <c r="H20" s="52">
        <f t="shared" si="5"/>
        <v>797.23275839999997</v>
      </c>
      <c r="I20" s="52">
        <f t="shared" ref="I20:Q20" si="43">IF(MID(H$1,1,2) &lt;&gt; "CY",($F20*12*(1+$D20)) - ($F20*12*(1+$D20))*$C20, (H20+($F20*12))*(1+$D20) - (H20+($F20*12))*(1+$D20)*$C20)</f>
        <v>1679.9828571028786</v>
      </c>
      <c r="J20" s="52">
        <f t="shared" si="43"/>
        <v>2657.4235462233901</v>
      </c>
      <c r="K20" s="52">
        <f t="shared" si="43"/>
        <v>3739.7120695010876</v>
      </c>
      <c r="L20" s="52">
        <f t="shared" si="43"/>
        <v>4938.0952150529502</v>
      </c>
      <c r="M20" s="52">
        <f t="shared" si="43"/>
        <v>6265.0261883145895</v>
      </c>
      <c r="N20" s="52">
        <f t="shared" si="43"/>
        <v>7734.2940216753859</v>
      </c>
      <c r="O20" s="52">
        <f t="shared" si="43"/>
        <v>9361.166865590134</v>
      </c>
      <c r="P20" s="52">
        <f t="shared" si="43"/>
        <v>11162.550650201532</v>
      </c>
      <c r="Q20" s="52">
        <f t="shared" si="43"/>
        <v>13157.164766233167</v>
      </c>
      <c r="R20" s="52">
        <f t="shared" si="7"/>
        <v>7200</v>
      </c>
      <c r="T20" s="48" t="s">
        <v>113</v>
      </c>
      <c r="U20" s="48" t="s">
        <v>116</v>
      </c>
      <c r="V20" s="49">
        <v>2.9999999999999997E-4</v>
      </c>
      <c r="W20" s="49">
        <v>0.1076</v>
      </c>
      <c r="X20" s="50">
        <f>0.1*0.6</f>
        <v>0.06</v>
      </c>
      <c r="Y20" s="51">
        <f t="shared" si="2"/>
        <v>60</v>
      </c>
      <c r="Z20" s="51">
        <f t="shared" si="8"/>
        <v>720</v>
      </c>
      <c r="AA20" s="52">
        <f t="shared" ref="AA20:AJ20" si="44">IF(MID(Z$1,1,2) &lt;&gt; "CY",($Y20*12*(1+$W20)) - ($Y20*12*(1+$W20))*$V20, (Z20+($Y20*12))*(1+$W20) - (Z20+($Y20*12))*(1+$W20)*$V20)</f>
        <v>797.23275839999997</v>
      </c>
      <c r="AB20" s="52">
        <f t="shared" si="44"/>
        <v>1679.9828571028786</v>
      </c>
      <c r="AC20" s="52">
        <f t="shared" si="44"/>
        <v>2657.4235462233901</v>
      </c>
      <c r="AD20" s="52">
        <f t="shared" si="44"/>
        <v>3739.7120695010876</v>
      </c>
      <c r="AE20" s="52">
        <f t="shared" si="44"/>
        <v>4938.0952150529502</v>
      </c>
      <c r="AF20" s="52">
        <f t="shared" si="44"/>
        <v>6265.0261883145895</v>
      </c>
      <c r="AG20" s="52">
        <f t="shared" si="44"/>
        <v>7734.2940216753859</v>
      </c>
      <c r="AH20" s="52">
        <f t="shared" si="44"/>
        <v>9361.166865590134</v>
      </c>
      <c r="AI20" s="52">
        <f t="shared" si="44"/>
        <v>11162.550650201532</v>
      </c>
      <c r="AJ20" s="52">
        <f t="shared" si="44"/>
        <v>13157.164766233167</v>
      </c>
      <c r="AK20" s="52">
        <f t="shared" si="10"/>
        <v>7200</v>
      </c>
    </row>
    <row r="21" spans="1:37" ht="12.75">
      <c r="A21" s="24" t="s">
        <v>51</v>
      </c>
      <c r="B21" s="24" t="s">
        <v>117</v>
      </c>
      <c r="C21" s="36">
        <v>1.8E-3</v>
      </c>
      <c r="D21" s="36">
        <v>9.9000000000000005E-2</v>
      </c>
      <c r="E21" s="37">
        <v>2.5000000000000001E-2</v>
      </c>
      <c r="F21" s="38">
        <f t="shared" si="0"/>
        <v>25</v>
      </c>
      <c r="G21" s="38">
        <f t="shared" si="4"/>
        <v>300</v>
      </c>
      <c r="H21" s="39">
        <f t="shared" si="5"/>
        <v>329.10654</v>
      </c>
      <c r="I21" s="39">
        <f t="shared" ref="I21:Q21" si="45">IF(MID(H$1,1,2) &lt;&gt; "CY",($F21*12*(1+$D21)) - ($F21*12*(1+$D21))*$C21, (H21+($F21*12))*(1+$D21) - (H21+($F21*12))*(1+$D21)*$C21)</f>
        <v>690.14358890257199</v>
      </c>
      <c r="J21" s="39">
        <f t="shared" si="45"/>
        <v>1086.2091021563594</v>
      </c>
      <c r="K21" s="39">
        <f t="shared" si="45"/>
        <v>1520.7016044239533</v>
      </c>
      <c r="L21" s="39">
        <f t="shared" si="45"/>
        <v>1997.3493513480532</v>
      </c>
      <c r="M21" s="39">
        <f t="shared" si="45"/>
        <v>2520.2423206446738</v>
      </c>
      <c r="N21" s="39">
        <f t="shared" si="45"/>
        <v>3093.8673070297973</v>
      </c>
      <c r="O21" s="39">
        <f t="shared" si="45"/>
        <v>3723.1464221189808</v>
      </c>
      <c r="P21" s="39">
        <f t="shared" si="45"/>
        <v>4413.479329656524</v>
      </c>
      <c r="Q21" s="39">
        <f t="shared" si="45"/>
        <v>5170.7895784825932</v>
      </c>
      <c r="R21" s="39">
        <f t="shared" si="7"/>
        <v>3000</v>
      </c>
      <c r="T21" s="24" t="s">
        <v>51</v>
      </c>
      <c r="U21" s="24" t="s">
        <v>117</v>
      </c>
      <c r="V21" s="36">
        <v>1.8E-3</v>
      </c>
      <c r="W21" s="36">
        <v>9.9000000000000005E-2</v>
      </c>
      <c r="X21" s="37">
        <v>2.5000000000000001E-2</v>
      </c>
      <c r="Y21" s="38">
        <f t="shared" si="2"/>
        <v>25</v>
      </c>
      <c r="Z21" s="38">
        <f t="shared" si="8"/>
        <v>300</v>
      </c>
      <c r="AA21" s="39">
        <f t="shared" ref="AA21:AJ21" si="46">IF(MID(Z$1,1,2) &lt;&gt; "CY",($Y21*12*(1+$W21)) - ($Y21*12*(1+$W21))*$V21, (Z21+($Y21*12))*(1+$W21) - (Z21+($Y21*12))*(1+$W21)*$V21)</f>
        <v>329.10654</v>
      </c>
      <c r="AB21" s="39">
        <f t="shared" si="46"/>
        <v>690.14358890257199</v>
      </c>
      <c r="AC21" s="39">
        <f t="shared" si="46"/>
        <v>1086.2091021563594</v>
      </c>
      <c r="AD21" s="39">
        <f t="shared" si="46"/>
        <v>1520.7016044239533</v>
      </c>
      <c r="AE21" s="39">
        <f t="shared" si="46"/>
        <v>1997.3493513480532</v>
      </c>
      <c r="AF21" s="39">
        <f t="shared" si="46"/>
        <v>2520.2423206446738</v>
      </c>
      <c r="AG21" s="39">
        <f t="shared" si="46"/>
        <v>3093.8673070297973</v>
      </c>
      <c r="AH21" s="39">
        <f t="shared" si="46"/>
        <v>3723.1464221189808</v>
      </c>
      <c r="AI21" s="39">
        <f t="shared" si="46"/>
        <v>4413.479329656524</v>
      </c>
      <c r="AJ21" s="39">
        <f t="shared" si="46"/>
        <v>5170.7895784825932</v>
      </c>
      <c r="AK21" s="39">
        <f t="shared" si="10"/>
        <v>3000</v>
      </c>
    </row>
    <row r="22" spans="1:37" ht="12.75">
      <c r="A22" s="26" t="s">
        <v>51</v>
      </c>
      <c r="B22" s="26" t="s">
        <v>118</v>
      </c>
      <c r="C22" s="40">
        <v>5.0000000000000001E-3</v>
      </c>
      <c r="D22" s="40">
        <v>5.45E-2</v>
      </c>
      <c r="E22" s="41">
        <v>2.5000000000000001E-2</v>
      </c>
      <c r="F22" s="38">
        <f t="shared" si="0"/>
        <v>25</v>
      </c>
      <c r="G22" s="38">
        <f t="shared" si="4"/>
        <v>300</v>
      </c>
      <c r="H22" s="39">
        <f t="shared" si="5"/>
        <v>314.76825000000002</v>
      </c>
      <c r="I22" s="39">
        <f t="shared" ref="I22:Q22" si="47">IF(MID(H$1,1,2) &lt;&gt; "CY",($F22*12*(1+$D22)) - ($F22*12*(1+$D22))*$C22, (H22+($F22*12))*(1+$D22) - (H22+($F22*12))*(1+$D22)*$C22)</f>
        <v>645.03175402687509</v>
      </c>
      <c r="J22" s="39">
        <f t="shared" si="47"/>
        <v>991.55330469823309</v>
      </c>
      <c r="K22" s="39">
        <f t="shared" si="47"/>
        <v>1355.1332450052655</v>
      </c>
      <c r="L22" s="39">
        <f t="shared" si="47"/>
        <v>1736.6113168237623</v>
      </c>
      <c r="M22" s="39">
        <f t="shared" si="47"/>
        <v>2136.8686004227043</v>
      </c>
      <c r="N22" s="39">
        <f t="shared" si="47"/>
        <v>2556.829549450013</v>
      </c>
      <c r="O22" s="39">
        <f t="shared" si="47"/>
        <v>2997.4641260955632</v>
      </c>
      <c r="P22" s="39">
        <f t="shared" si="47"/>
        <v>3459.7900413629322</v>
      </c>
      <c r="Q22" s="39">
        <f t="shared" si="47"/>
        <v>3944.8751056241263</v>
      </c>
      <c r="R22" s="39">
        <f t="shared" si="7"/>
        <v>3000</v>
      </c>
      <c r="T22" s="26" t="s">
        <v>51</v>
      </c>
      <c r="U22" s="26" t="s">
        <v>118</v>
      </c>
      <c r="V22" s="40">
        <v>5.0000000000000001E-3</v>
      </c>
      <c r="W22" s="40">
        <v>5.45E-2</v>
      </c>
      <c r="X22" s="41">
        <v>2.5000000000000001E-2</v>
      </c>
      <c r="Y22" s="38">
        <f t="shared" si="2"/>
        <v>25</v>
      </c>
      <c r="Z22" s="38">
        <f t="shared" si="8"/>
        <v>300</v>
      </c>
      <c r="AA22" s="39">
        <f t="shared" ref="AA22:AJ22" si="48">IF(MID(Z$1,1,2) &lt;&gt; "CY",($Y22*12*(1+$W22)) - ($Y22*12*(1+$W22))*$V22, (Z22+($Y22*12))*(1+$W22) - (Z22+($Y22*12))*(1+$W22)*$V22)</f>
        <v>314.76825000000002</v>
      </c>
      <c r="AB22" s="39">
        <f t="shared" si="48"/>
        <v>645.03175402687509</v>
      </c>
      <c r="AC22" s="39">
        <f t="shared" si="48"/>
        <v>991.55330469823309</v>
      </c>
      <c r="AD22" s="39">
        <f t="shared" si="48"/>
        <v>1355.1332450052655</v>
      </c>
      <c r="AE22" s="39">
        <f t="shared" si="48"/>
        <v>1736.6113168237623</v>
      </c>
      <c r="AF22" s="39">
        <f t="shared" si="48"/>
        <v>2136.8686004227043</v>
      </c>
      <c r="AG22" s="39">
        <f t="shared" si="48"/>
        <v>2556.829549450013</v>
      </c>
      <c r="AH22" s="39">
        <f t="shared" si="48"/>
        <v>2997.4641260955632</v>
      </c>
      <c r="AI22" s="39">
        <f t="shared" si="48"/>
        <v>3459.7900413629322</v>
      </c>
      <c r="AJ22" s="39">
        <f t="shared" si="48"/>
        <v>3944.8751056241263</v>
      </c>
      <c r="AK22" s="39">
        <f t="shared" si="10"/>
        <v>3000</v>
      </c>
    </row>
    <row r="23" spans="1:37" ht="12.75">
      <c r="A23" s="24" t="s">
        <v>119</v>
      </c>
      <c r="B23" s="24" t="s">
        <v>119</v>
      </c>
      <c r="C23" s="36"/>
      <c r="D23" s="36"/>
      <c r="E23" s="37"/>
      <c r="F23" s="38"/>
      <c r="G23" s="38"/>
      <c r="H23" s="39"/>
      <c r="I23" s="39"/>
      <c r="J23" s="39"/>
      <c r="K23" s="39"/>
      <c r="L23" s="39"/>
      <c r="M23" s="39"/>
      <c r="N23" s="39"/>
      <c r="O23" s="39"/>
      <c r="P23" s="39"/>
      <c r="Q23" s="39"/>
      <c r="R23" s="39"/>
      <c r="T23" s="24" t="s">
        <v>119</v>
      </c>
      <c r="U23" s="24" t="s">
        <v>119</v>
      </c>
      <c r="V23" s="36"/>
      <c r="W23" s="36"/>
      <c r="X23" s="37"/>
      <c r="Y23" s="38"/>
      <c r="Z23" s="38"/>
      <c r="AA23" s="39"/>
      <c r="AB23" s="39"/>
      <c r="AC23" s="39"/>
      <c r="AD23" s="39"/>
      <c r="AE23" s="39"/>
      <c r="AF23" s="39"/>
      <c r="AG23" s="39"/>
      <c r="AH23" s="39"/>
      <c r="AI23" s="39"/>
      <c r="AJ23" s="39"/>
      <c r="AK23" s="39"/>
    </row>
    <row r="24" spans="1:37" ht="12.75">
      <c r="A24" s="24" t="s">
        <v>119</v>
      </c>
      <c r="B24" s="24" t="s">
        <v>119</v>
      </c>
      <c r="C24" s="36"/>
      <c r="D24" s="36"/>
      <c r="E24" s="37"/>
      <c r="F24" s="38"/>
      <c r="G24" s="38"/>
      <c r="H24" s="39"/>
      <c r="I24" s="39"/>
      <c r="J24" s="39"/>
      <c r="K24" s="39"/>
      <c r="L24" s="39"/>
      <c r="M24" s="39"/>
      <c r="N24" s="39"/>
      <c r="O24" s="39"/>
      <c r="P24" s="39"/>
      <c r="Q24" s="39"/>
      <c r="R24" s="39"/>
      <c r="T24" s="24" t="s">
        <v>119</v>
      </c>
      <c r="U24" s="24" t="s">
        <v>119</v>
      </c>
      <c r="V24" s="36"/>
      <c r="W24" s="36"/>
      <c r="X24" s="37"/>
      <c r="Y24" s="38"/>
      <c r="Z24" s="38"/>
      <c r="AA24" s="39"/>
      <c r="AB24" s="39"/>
      <c r="AC24" s="39"/>
      <c r="AD24" s="39"/>
      <c r="AE24" s="39"/>
      <c r="AF24" s="39"/>
      <c r="AG24" s="39"/>
      <c r="AH24" s="39"/>
      <c r="AI24" s="39"/>
      <c r="AJ24" s="39"/>
      <c r="AK24" s="39"/>
    </row>
    <row r="25" spans="1:37" ht="12.75">
      <c r="A25" s="24" t="s">
        <v>119</v>
      </c>
      <c r="B25" s="24" t="s">
        <v>119</v>
      </c>
      <c r="C25" s="36"/>
      <c r="D25" s="36"/>
      <c r="E25" s="37"/>
      <c r="F25" s="38"/>
      <c r="G25" s="38"/>
      <c r="H25" s="39"/>
      <c r="I25" s="39"/>
      <c r="J25" s="39"/>
      <c r="K25" s="39"/>
      <c r="L25" s="39"/>
      <c r="M25" s="39"/>
      <c r="N25" s="39"/>
      <c r="O25" s="39"/>
      <c r="P25" s="39"/>
      <c r="Q25" s="39"/>
      <c r="R25" s="39"/>
      <c r="T25" s="24" t="s">
        <v>119</v>
      </c>
      <c r="U25" s="24" t="s">
        <v>119</v>
      </c>
      <c r="V25" s="36"/>
      <c r="W25" s="36"/>
      <c r="X25" s="37"/>
      <c r="Y25" s="38"/>
      <c r="Z25" s="38"/>
      <c r="AA25" s="39"/>
      <c r="AB25" s="39"/>
      <c r="AC25" s="39"/>
      <c r="AD25" s="39"/>
      <c r="AE25" s="39"/>
      <c r="AF25" s="39"/>
      <c r="AG25" s="39"/>
      <c r="AH25" s="39"/>
      <c r="AI25" s="39"/>
      <c r="AJ25" s="39"/>
      <c r="AK25" s="39"/>
    </row>
    <row r="26" spans="1:37" ht="12.75">
      <c r="A26" s="25" t="s">
        <v>53</v>
      </c>
      <c r="B26" s="25"/>
      <c r="C26" s="33"/>
      <c r="D26" s="33"/>
      <c r="E26" s="34"/>
      <c r="F26" s="35"/>
      <c r="G26" s="35"/>
      <c r="H26" s="42"/>
      <c r="I26" s="42"/>
      <c r="J26" s="42"/>
      <c r="K26" s="42"/>
      <c r="L26" s="42"/>
      <c r="M26" s="42"/>
      <c r="N26" s="42"/>
      <c r="O26" s="42"/>
      <c r="P26" s="42"/>
      <c r="Q26" s="42">
        <f>SUM(Q2:Q25)</f>
        <v>324323.45719092968</v>
      </c>
      <c r="R26" s="42">
        <f>SUM(R2:R25)</f>
        <v>120000</v>
      </c>
      <c r="T26" s="25" t="s">
        <v>53</v>
      </c>
      <c r="U26" s="25"/>
      <c r="V26" s="33"/>
      <c r="W26" s="33"/>
      <c r="X26" s="34"/>
      <c r="Y26" s="35"/>
      <c r="Z26" s="35"/>
      <c r="AA26" s="42"/>
      <c r="AB26" s="42"/>
      <c r="AC26" s="42"/>
      <c r="AD26" s="42"/>
      <c r="AE26" s="42"/>
      <c r="AF26" s="42"/>
      <c r="AG26" s="42"/>
      <c r="AH26" s="42"/>
      <c r="AI26" s="42"/>
      <c r="AJ26" s="42">
        <f>SUM(AJ2:AJ25)</f>
        <v>544619.76945459051</v>
      </c>
      <c r="AK26" s="42">
        <f>SUM(AK2:AK25)</f>
        <v>120000</v>
      </c>
    </row>
    <row r="27" spans="1:37" ht="12.75"/>
    <row r="28" spans="1:37" ht="12.75"/>
    <row r="29" spans="1:37" ht="12.75"/>
    <row r="30" spans="1:37" ht="12.75"/>
    <row r="31" spans="1:37" ht="12.75"/>
    <row r="32" spans="1:37" ht="12.75"/>
    <row r="33" ht="12.75"/>
    <row r="34" ht="12.7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F9"/>
  <sheetViews>
    <sheetView workbookViewId="0">
      <selection activeCell="A9" sqref="A9"/>
    </sheetView>
  </sheetViews>
  <sheetFormatPr defaultRowHeight="15"/>
  <cols>
    <col min="1" max="5" width="9.140625" style="29"/>
    <col min="6" max="6" width="10.7109375" style="29" customWidth="1"/>
    <col min="7" max="16384" width="9.140625" style="29"/>
  </cols>
  <sheetData>
    <row r="1" spans="1:6" ht="12.75">
      <c r="A1" s="30"/>
      <c r="B1" s="30" t="s">
        <v>120</v>
      </c>
      <c r="C1" s="30" t="s">
        <v>121</v>
      </c>
      <c r="D1" s="30" t="s">
        <v>122</v>
      </c>
      <c r="E1" s="30" t="s">
        <v>123</v>
      </c>
      <c r="F1" s="30" t="s">
        <v>82</v>
      </c>
    </row>
    <row r="2" spans="1:6" ht="12.75">
      <c r="A2" s="28"/>
      <c r="B2" s="31">
        <v>78.319999999999993</v>
      </c>
      <c r="C2" s="31">
        <v>40.74</v>
      </c>
      <c r="D2" s="31">
        <v>21.13</v>
      </c>
      <c r="E2" s="31"/>
      <c r="F2" s="32">
        <f>IFERROR((E2*4 + D2*3 +C2*2 +B2)/(COUNT(B2)*1 + COUNT(C2)*2 + COUNT(D2)*3 + COUNT(E2)*4),0)/100</f>
        <v>0.37198333333333333</v>
      </c>
    </row>
    <row r="3" spans="1:6" ht="12.75">
      <c r="A3" s="28"/>
      <c r="B3" s="31">
        <v>84.28</v>
      </c>
      <c r="C3" s="31">
        <v>45.49</v>
      </c>
      <c r="D3" s="31">
        <v>37.29</v>
      </c>
      <c r="E3" s="31"/>
      <c r="F3" s="32">
        <f t="shared" ref="F3:F6" si="0">IFERROR((E3*4 + D3*3 +C3*2 +B3)/(COUNT(B3)*1 + COUNT(C3)*2 + COUNT(D3)*3 + COUNT(E3)*4),0)/100</f>
        <v>0.47854999999999998</v>
      </c>
    </row>
    <row r="4" spans="1:6" ht="12.75">
      <c r="A4" s="28"/>
      <c r="B4" s="31">
        <v>74.39</v>
      </c>
      <c r="C4" s="31">
        <v>43.63</v>
      </c>
      <c r="D4" s="31">
        <v>32.61</v>
      </c>
      <c r="E4" s="31"/>
      <c r="F4" s="32">
        <f t="shared" si="0"/>
        <v>0.43246666666666672</v>
      </c>
    </row>
    <row r="5" spans="1:6" ht="12.75">
      <c r="A5" s="28"/>
      <c r="B5" s="31"/>
      <c r="C5" s="31"/>
      <c r="D5" s="31"/>
      <c r="E5" s="31"/>
      <c r="F5" s="32">
        <f t="shared" si="0"/>
        <v>0</v>
      </c>
    </row>
    <row r="6" spans="1:6" ht="12.75">
      <c r="A6" s="28"/>
      <c r="B6" s="31"/>
      <c r="C6" s="31"/>
      <c r="D6" s="31"/>
      <c r="E6" s="31"/>
      <c r="F6" s="32">
        <f t="shared" si="0"/>
        <v>0</v>
      </c>
    </row>
    <row r="7" spans="1:6" ht="12.75"/>
    <row r="9" spans="1:6">
      <c r="A9" s="56" t="s">
        <v>124</v>
      </c>
    </row>
  </sheetData>
  <hyperlinks>
    <hyperlink ref="A9" r:id="rId1" xr:uid="{28C6F78E-4222-4F9F-A934-9AB62C9CCF4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321DBA-FDAB-45E8-A045-E3E44A7AE235}"/>
</file>

<file path=customXml/itemProps2.xml><?xml version="1.0" encoding="utf-8"?>
<ds:datastoreItem xmlns:ds="http://schemas.openxmlformats.org/officeDocument/2006/customXml" ds:itemID="{401ADED5-CC5A-4072-B36A-6DA217C5A368}"/>
</file>

<file path=customXml/itemProps3.xml><?xml version="1.0" encoding="utf-8"?>
<ds:datastoreItem xmlns:ds="http://schemas.openxmlformats.org/officeDocument/2006/customXml" ds:itemID="{4DB5870C-189D-475E-8E58-449C30115A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2020-07-16T17:36:03Z</dcterms:created>
  <dcterms:modified xsi:type="dcterms:W3CDTF">2020-07-22T04:23:45Z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