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7" activeTab="8"/>
  </bookViews>
  <sheets>
    <sheet name="MasterList" sheetId="1" r:id="rId1"/>
    <sheet name="MarsPower" sheetId="2" r:id="rId2"/>
    <sheet name="ISFR and Sparing" sheetId="3" r:id="rId3"/>
    <sheet name="Astronaut_Time" sheetId="5" r:id="rId4"/>
    <sheet name="Descent" sheetId="6" r:id="rId5"/>
    <sheet name="NewTransit" sheetId="7" r:id="rId6"/>
    <sheet name="Lunar_ISRU" sheetId="8" r:id="rId7"/>
    <sheet name="Staging Module" sheetId="10" r:id="rId8"/>
    <sheet name="Site_Selection" sheetId="11" r:id="rId9"/>
    <sheet name="ISRU" sheetId="12" r:id="rId10"/>
  </sheets>
  <calcPr calcId="152511"/>
</workbook>
</file>

<file path=xl/calcChain.xml><?xml version="1.0" encoding="utf-8"?>
<calcChain xmlns="http://schemas.openxmlformats.org/spreadsheetml/2006/main">
  <c r="F14" i="8" l="1"/>
  <c r="F11" i="8"/>
  <c r="F3" i="8"/>
  <c r="F2" i="8"/>
  <c r="F21" i="2"/>
  <c r="F20" i="2"/>
  <c r="F19" i="2"/>
  <c r="F17" i="2"/>
  <c r="F15" i="2"/>
  <c r="F13" i="2"/>
  <c r="F14" i="2"/>
  <c r="F11" i="12"/>
  <c r="F6" i="12"/>
  <c r="F2" i="12"/>
  <c r="F22" i="2"/>
  <c r="F12" i="2"/>
  <c r="F11" i="2"/>
  <c r="F10" i="2"/>
  <c r="F9" i="2"/>
  <c r="F7" i="2"/>
  <c r="F5" i="2"/>
</calcChain>
</file>

<file path=xl/sharedStrings.xml><?xml version="1.0" encoding="utf-8"?>
<sst xmlns="http://schemas.openxmlformats.org/spreadsheetml/2006/main" count="550" uniqueCount="182">
  <si>
    <t>TransitHabitat</t>
  </si>
  <si>
    <t>Modules</t>
  </si>
  <si>
    <t>Earth Entry Module</t>
  </si>
  <si>
    <t>Return_Trans</t>
  </si>
  <si>
    <t>Ascent</t>
  </si>
  <si>
    <t>Surface_Habitat</t>
  </si>
  <si>
    <t>ECLSS</t>
  </si>
  <si>
    <t>Site_Selection</t>
  </si>
  <si>
    <t>ISRU</t>
  </si>
  <si>
    <t>MarsPower</t>
  </si>
  <si>
    <t>ISFR and Sparing Module</t>
  </si>
  <si>
    <t>NewMars2040trade</t>
  </si>
  <si>
    <t>Astronaut_Time</t>
  </si>
  <si>
    <t>Descent</t>
  </si>
  <si>
    <t>NewTransit</t>
  </si>
  <si>
    <t>Lunar_ISRU</t>
  </si>
  <si>
    <t>Propellant_Mass</t>
  </si>
  <si>
    <t>Science Module</t>
  </si>
  <si>
    <t>Not Used?</t>
  </si>
  <si>
    <t>Symbol</t>
  </si>
  <si>
    <t>Description</t>
  </si>
  <si>
    <t xml:space="preserve">Min </t>
  </si>
  <si>
    <t>Max</t>
  </si>
  <si>
    <t>Nominal Value</t>
  </si>
  <si>
    <t>Units</t>
  </si>
  <si>
    <t>kg/day</t>
  </si>
  <si>
    <t xml:space="preserve">Results.Cum_Surface_Power </t>
  </si>
  <si>
    <t>if no power input, use DRA5 number.</t>
  </si>
  <si>
    <t>kW</t>
  </si>
  <si>
    <t>Source</t>
  </si>
  <si>
    <t>DRA5</t>
  </si>
  <si>
    <t>Brayton_Eff</t>
  </si>
  <si>
    <t>Reactor</t>
  </si>
  <si>
    <t>FuelDen</t>
  </si>
  <si>
    <t>%</t>
  </si>
  <si>
    <t>UN_Energy</t>
  </si>
  <si>
    <t>kW-days/kg</t>
  </si>
  <si>
    <t>Rod_Number</t>
  </si>
  <si>
    <t xml:space="preserve">Rod_Radius </t>
  </si>
  <si>
    <t>m</t>
  </si>
  <si>
    <t>Neutron_Reflector_Thickness</t>
  </si>
  <si>
    <t>Material Densities</t>
  </si>
  <si>
    <t xml:space="preserve">B4C_Den </t>
  </si>
  <si>
    <t>kg/m3</t>
  </si>
  <si>
    <t>BeO_Den</t>
  </si>
  <si>
    <t>LiH_Den</t>
  </si>
  <si>
    <t>Tung_Den</t>
  </si>
  <si>
    <t>EFFECTIVE NEUTRON MULTIPLICATION FACTOR COEFFICIENTS</t>
  </si>
  <si>
    <t>NUCLEAR Rx</t>
  </si>
  <si>
    <t>RADIATION SHIELDING</t>
  </si>
  <si>
    <t>RADIATOR (100 kWe Design)</t>
  </si>
  <si>
    <t>% Sources:</t>
  </si>
  <si>
    <t xml:space="preserve">% Kerwin PT, Whitmarsh CL. A 1-Megawatt Reactor Design for </t>
  </si>
  <si>
    <t xml:space="preserve">% Brayton-Cycle Space Power Application.  Part 1 - Thermal </t>
  </si>
  <si>
    <t>% Analysis and Core Design.; 1969.</t>
  </si>
  <si>
    <t xml:space="preserve">% Chang YI, LoPinto P, Konomura M, Cahalan J, Dunn F, Farmer M, </t>
  </si>
  <si>
    <t xml:space="preserve">% Krajtl L, Moisseytsev A, Momozaki Y, Sienicki J, et al. Small </t>
  </si>
  <si>
    <t xml:space="preserve">% Modular Fast Reactor design description. Argonne National Lab., </t>
  </si>
  <si>
    <t>% Argonne, IL (US); 2005.</t>
  </si>
  <si>
    <t xml:space="preserve">% Silver M, Hofstetter W, Cooper C, Hoffman J. Comparative Analysis </t>
  </si>
  <si>
    <t xml:space="preserve">% of Power System Architectures: The Case of Human Mars Surface Missions. </t>
  </si>
  <si>
    <t>% In: Mars: Prospective Energy and Material Resources. 2009. p. 351–368.</t>
  </si>
  <si>
    <t xml:space="preserve">% Cooper C, Hofstetter W, Hoffman JA, Crawley EF. Assessment of </t>
  </si>
  <si>
    <t>% Storage on Human Mars Missions. Acta Astronautica. 2010;66 p. 1106–1112.</t>
  </si>
  <si>
    <t>distance from power plant to habitat, DRA5, no sheild</t>
  </si>
  <si>
    <t xml:space="preserve">PowerPlant_Distance </t>
  </si>
  <si>
    <t>SOLAR POWER VS MARS LATITUDE</t>
  </si>
  <si>
    <t xml:space="preserve">Solar w/ Regenerative Fuel Cell Storage - Mass Specific Power </t>
  </si>
  <si>
    <t>W/kg</t>
  </si>
  <si>
    <t>Solar w/ Regenerative Fuel Cell Storage - Volume Specific Power</t>
  </si>
  <si>
    <t>BattMassT</t>
  </si>
  <si>
    <t>[4.364712409 6.67559655 8.104392063 9.103719142 9.850820857 10.44611402 10.93315193 11.35002896 11.71295531 12.03727493 12.3290483 12.59478129 12.83897158 13.06013452 13.25602269 13.41847127 13.52437953 13.5440157 13.35682488 12.17109275 11.40516687 10.61699711 9.586809323 8.07482646 5.498705418];</t>
  </si>
  <si>
    <t>W/m^3</t>
  </si>
  <si>
    <t>[291.7468514 527.2660964 716.7809428 875.6959312 1011.727129 1132.201472 1239.729571 1338.690399 1430.458445 1517.144652 1599.182895 1677.41138 1752.437133 1823.276943 1888.668668 1945.467704 1985.668067 1998.58092 1945.284234 1599.118296 1390.217495 1196.965702 979.633325 721.094657 400.0783237]</t>
  </si>
  <si>
    <t>RFCVolT</t>
  </si>
  <si>
    <t>Solar w/ Lithium-Ion Battery Storage - Mass Specific Power</t>
  </si>
  <si>
    <t>[292.6896298 530.2758055 722.2615266 883.7864188 1022.433241 1145.511762 1255.589822 1357.08213 1451.354303 1540.542658 1625.070869 1705.783305 1783.291738 1856.567668 1924.290231 1983.18504 2024.931397 2038.410783 1983.265893 1625.565605 1410.458251 1212.11723 989.8947949 726.7352519 401.8533821];</t>
  </si>
  <si>
    <t>BattVolT</t>
  </si>
  <si>
    <t>Solar w/ Lithium-Ion Battery Storage</t>
  </si>
  <si>
    <t>SparesRatio</t>
  </si>
  <si>
    <t>%percentage</t>
  </si>
  <si>
    <t>percentage of Mass per Year</t>
  </si>
  <si>
    <t>Leath and Green, 1993</t>
  </si>
  <si>
    <t>Synod</t>
  </si>
  <si>
    <t>Years per Synodic Cycle</t>
  </si>
  <si>
    <t>years</t>
  </si>
  <si>
    <t>%sleeping 8, exercise 2, hygiene 1, personal 2</t>
  </si>
  <si>
    <t>hours</t>
  </si>
  <si>
    <t>personal</t>
  </si>
  <si>
    <t>Max_AeroB_Mass</t>
  </si>
  <si>
    <t>kg</t>
  </si>
  <si>
    <t>Module</t>
  </si>
  <si>
    <t>ISFR and Sparing</t>
  </si>
  <si>
    <t>Capture_Time</t>
  </si>
  <si>
    <t>%days based on DRA 5.0?</t>
  </si>
  <si>
    <t>days</t>
  </si>
  <si>
    <t>Based on DRA 5.0, including payload fairing &amp; adapter</t>
  </si>
  <si>
    <t>Cap_Stage.Bus_Mass</t>
  </si>
  <si>
    <t>Staging Module</t>
  </si>
  <si>
    <t>% Regolith Moisture Content extracted from Mars Odyssey: GRS H2O</t>
  </si>
  <si>
    <t>case Site.HOLDEN</t>
  </si>
  <si>
    <t xml:space="preserve">        </t>
  </si>
  <si>
    <t xml:space="preserve">    case Site.GALE</t>
  </si>
  <si>
    <t xml:space="preserve">    case Site.MERIDIANI</t>
  </si>
  <si>
    <t xml:space="preserve">    case Site.GUSEV</t>
  </si>
  <si>
    <t xml:space="preserve">    case Site.ISIDIS</t>
  </si>
  <si>
    <t xml:space="preserve">    case Site.ELYSIUM</t>
  </si>
  <si>
    <t xml:space="preserve">    case Site.MAWRTH</t>
  </si>
  <si>
    <t xml:space="preserve">    case Site.EBERSWALDE</t>
  </si>
  <si>
    <t xml:space="preserve">    case Site.UTOPIA</t>
  </si>
  <si>
    <t xml:space="preserve">    case Site.PLANUS_BOREUM</t>
  </si>
  <si>
    <t xml:space="preserve">    case Site.HELLAS</t>
  </si>
  <si>
    <t xml:space="preserve">    case Site.AMAZONIS</t>
  </si>
  <si>
    <t>S_Plant_Output</t>
  </si>
  <si>
    <t>M_Plant_Output</t>
  </si>
  <si>
    <t>L_Plant_Output</t>
  </si>
  <si>
    <t>Electrolysis_Plant_Mass</t>
  </si>
  <si>
    <t>Electrolysis_Plant_Power</t>
  </si>
  <si>
    <t>%72 kWh per kilogram, times kg per day, divided by  24 hours running per day</t>
  </si>
  <si>
    <t>%kg of Water processed per day</t>
  </si>
  <si>
    <t>Electrolysis_Plant_Capacity</t>
  </si>
  <si>
    <t xml:space="preserve">Sabatier_Mass </t>
  </si>
  <si>
    <t>Sabatier_Vol</t>
  </si>
  <si>
    <t>m^3</t>
  </si>
  <si>
    <t>Sabatier_Power</t>
  </si>
  <si>
    <t>Sabatier_Production</t>
  </si>
  <si>
    <t>kg per day, CH4,</t>
  </si>
  <si>
    <t>DRA5 Addendum 1, Table 3-18, necessary CH4 for trip, divided by stay duration</t>
  </si>
  <si>
    <t xml:space="preserve">RSigma_f </t>
  </si>
  <si>
    <t>Sigma_a</t>
  </si>
  <si>
    <t>Sigma_tr</t>
  </si>
  <si>
    <t>Duration_Yrs</t>
  </si>
  <si>
    <t xml:space="preserve">Wire_Eff </t>
  </si>
  <si>
    <t>Li_Shield_Thck</t>
  </si>
  <si>
    <t xml:space="preserve">Rad_Mass100 </t>
  </si>
  <si>
    <t xml:space="preserve">Rad_Vol100 </t>
  </si>
  <si>
    <t xml:space="preserve">Rad_Area100 </t>
  </si>
  <si>
    <t>m^2</t>
  </si>
  <si>
    <t xml:space="preserve">MarsLatT </t>
  </si>
  <si>
    <t>[-60 -55 -50 -45 -40 -35 -30 -25 -20 -15 -10 -5 0 5 10 15 20 25 30 35 40 45 50 55 60];</t>
  </si>
  <si>
    <t xml:space="preserve">RFCMassT </t>
  </si>
  <si>
    <t>[4.845010567 7.833596698 9.841331374 11.31986659 12.46520732 13.40169797 14.18348732 14.86331412 15.46299724 16.00481623 16.49705038 16.94919278 17.36792385 17.75014533 18.09149292 18.37767261 18.56919109 18.61464779 18.3097226 16.33125137 15.05009617 13.75409675 12.11506707 9.832893282 6.283439143]</t>
  </si>
  <si>
    <t xml:space="preserve"> Size of solar panels that were used for Spirit and Opportunity</t>
  </si>
  <si>
    <t>Solar_Size</t>
  </si>
  <si>
    <t>W/hr</t>
  </si>
  <si>
    <t>MW</t>
  </si>
  <si>
    <t>Lowest power output for solar panels from Spirit and Opportunity Missions. Worst case was asuumed for this study.</t>
  </si>
  <si>
    <t>Solar_Output</t>
  </si>
  <si>
    <t>kg/m2</t>
  </si>
  <si>
    <t>Mass of solar panels used for Spirit and Opportunity</t>
  </si>
  <si>
    <t>Panel_Mass</t>
  </si>
  <si>
    <t xml:space="preserve">XL_Reactor_Size </t>
  </si>
  <si>
    <t>Rocketdyne reactor, liquid cooled</t>
  </si>
  <si>
    <t>ORNL reactor, UN pellet fuel pin w/T-111 alloy</t>
  </si>
  <si>
    <t>L_Reactor_Size</t>
  </si>
  <si>
    <t>1993 DRM derived from NTP and SP-100</t>
  </si>
  <si>
    <t>SP-100 US Research group for nuclear reactors in space</t>
  </si>
  <si>
    <t>M_Reactor_Size</t>
  </si>
  <si>
    <t>S_Reactor_Size</t>
  </si>
  <si>
    <t>XL_Reactor_Mass</t>
  </si>
  <si>
    <t xml:space="preserve">XL_Reactor_Volume </t>
  </si>
  <si>
    <t>m3</t>
  </si>
  <si>
    <t xml:space="preserve"> ORNL reactor, UN pellet fuel pin w/T-111 alloy</t>
  </si>
  <si>
    <t>L_Reactor_Mass</t>
  </si>
  <si>
    <t>L_Reactor_Volume</t>
  </si>
  <si>
    <t xml:space="preserve">M_Reactor_Mass </t>
  </si>
  <si>
    <t xml:space="preserve">S_Reactor_Mass </t>
  </si>
  <si>
    <t xml:space="preserve">S_Reactor_Volume </t>
  </si>
  <si>
    <t>HOLDEN</t>
  </si>
  <si>
    <t>GALE</t>
  </si>
  <si>
    <t xml:space="preserve">        Site_Sci_Value</t>
  </si>
  <si>
    <t xml:space="preserve">        Site_Elevation</t>
  </si>
  <si>
    <t xml:space="preserve">        Site_Water_Percent</t>
  </si>
  <si>
    <t xml:space="preserve">        Site_Lat</t>
  </si>
  <si>
    <t>km</t>
  </si>
  <si>
    <t>deg lat</t>
  </si>
  <si>
    <t>%Based on internal Site selection document</t>
  </si>
  <si>
    <t xml:space="preserve">         Site_Elevation</t>
  </si>
  <si>
    <t xml:space="preserve">        Site_Lat </t>
  </si>
  <si>
    <t xml:space="preserve">        Site_Sci_Value </t>
  </si>
  <si>
    <t xml:space="preserve">         Site_Elevation </t>
  </si>
  <si>
    <t xml:space="preserve">        Site_Water_Percent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</si>
</sst>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8" workbookViewId="0">
      <selection activeCell="A18" sqref="A18"/>
    </sheetView>
  </sheetViews>
  <sheetFormatPr defaultRowHeight="14.4" x14ac:dyDescent="0.3"/>
  <cols>
    <col min="1" max="1" width="26.88671875" customWidth="1"/>
  </cols>
  <sheetData>
    <row r="1" spans="1:2" s="1" customFormat="1" x14ac:dyDescent="0.3">
      <c r="A1" s="1" t="s">
        <v>1</v>
      </c>
    </row>
    <row r="2" spans="1:2" x14ac:dyDescent="0.3">
      <c r="A2" t="s">
        <v>0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  <c r="B7" t="s">
        <v>18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  <c r="B11" t="s">
        <v>11</v>
      </c>
    </row>
    <row r="12" spans="1:2" x14ac:dyDescent="0.3">
      <c r="A12" t="s">
        <v>12</v>
      </c>
    </row>
    <row r="13" spans="1:2" x14ac:dyDescent="0.3">
      <c r="A13" t="s">
        <v>13</v>
      </c>
    </row>
    <row r="14" spans="1:2" x14ac:dyDescent="0.3">
      <c r="A14" t="s">
        <v>14</v>
      </c>
    </row>
    <row r="15" spans="1:2" x14ac:dyDescent="0.3">
      <c r="A15" t="s">
        <v>15</v>
      </c>
    </row>
    <row r="16" spans="1:2" x14ac:dyDescent="0.3">
      <c r="A16" t="s">
        <v>16</v>
      </c>
    </row>
    <row r="17" spans="1:2" x14ac:dyDescent="0.3">
      <c r="A17" t="s">
        <v>17</v>
      </c>
      <c r="B17" t="s">
        <v>11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1" topLeftCell="A2" activePane="bottomLeft" state="frozen"/>
      <selection pane="bottomLeft" activeCell="A4" sqref="A4:A11"/>
    </sheetView>
  </sheetViews>
  <sheetFormatPr defaultRowHeight="14.4" x14ac:dyDescent="0.3"/>
  <cols>
    <col min="2" max="2" width="28.44140625" customWidth="1"/>
    <col min="6" max="6" width="13.44140625" bestFit="1" customWidth="1"/>
  </cols>
  <sheetData>
    <row r="1" spans="1:8" x14ac:dyDescent="0.3">
      <c r="A1" s="1" t="s">
        <v>91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</row>
    <row r="2" spans="1:8" x14ac:dyDescent="0.3">
      <c r="A2" t="s">
        <v>8</v>
      </c>
      <c r="B2" t="s">
        <v>113</v>
      </c>
      <c r="F2">
        <f xml:space="preserve"> 7.15</f>
        <v>7.15</v>
      </c>
      <c r="G2" t="s">
        <v>25</v>
      </c>
    </row>
    <row r="3" spans="1:8" x14ac:dyDescent="0.3">
      <c r="A3" t="s">
        <v>8</v>
      </c>
      <c r="B3" t="s">
        <v>114</v>
      </c>
      <c r="F3">
        <v>11.95</v>
      </c>
      <c r="G3" t="s">
        <v>25</v>
      </c>
    </row>
    <row r="4" spans="1:8" x14ac:dyDescent="0.3">
      <c r="A4" t="s">
        <v>8</v>
      </c>
      <c r="B4" t="s">
        <v>115</v>
      </c>
      <c r="F4">
        <v>55.96</v>
      </c>
      <c r="G4" t="s">
        <v>25</v>
      </c>
    </row>
    <row r="5" spans="1:8" x14ac:dyDescent="0.3">
      <c r="A5" t="s">
        <v>8</v>
      </c>
      <c r="B5" t="s">
        <v>116</v>
      </c>
      <c r="F5">
        <v>38.5</v>
      </c>
      <c r="G5" t="s">
        <v>90</v>
      </c>
    </row>
    <row r="6" spans="1:8" x14ac:dyDescent="0.3">
      <c r="A6" t="s">
        <v>8</v>
      </c>
      <c r="B6" t="s">
        <v>117</v>
      </c>
      <c r="C6" t="s">
        <v>118</v>
      </c>
      <c r="F6">
        <f xml:space="preserve"> (72 * 36) / 24</f>
        <v>108</v>
      </c>
      <c r="G6" t="s">
        <v>28</v>
      </c>
    </row>
    <row r="7" spans="1:8" x14ac:dyDescent="0.3">
      <c r="A7" t="s">
        <v>8</v>
      </c>
      <c r="B7" t="s">
        <v>120</v>
      </c>
      <c r="C7" t="s">
        <v>119</v>
      </c>
      <c r="F7">
        <v>36</v>
      </c>
      <c r="G7" t="s">
        <v>25</v>
      </c>
    </row>
    <row r="8" spans="1:8" x14ac:dyDescent="0.3">
      <c r="A8" t="s">
        <v>8</v>
      </c>
      <c r="B8" t="s">
        <v>121</v>
      </c>
      <c r="F8">
        <v>479.12</v>
      </c>
      <c r="G8" t="s">
        <v>90</v>
      </c>
    </row>
    <row r="9" spans="1:8" x14ac:dyDescent="0.3">
      <c r="A9" t="s">
        <v>8</v>
      </c>
      <c r="B9" t="s">
        <v>122</v>
      </c>
      <c r="F9">
        <v>0.8</v>
      </c>
      <c r="G9" t="s">
        <v>123</v>
      </c>
    </row>
    <row r="10" spans="1:8" x14ac:dyDescent="0.3">
      <c r="A10" t="s">
        <v>8</v>
      </c>
      <c r="B10" t="s">
        <v>124</v>
      </c>
      <c r="F10">
        <v>24.98</v>
      </c>
    </row>
    <row r="11" spans="1:8" x14ac:dyDescent="0.3">
      <c r="A11" t="s">
        <v>8</v>
      </c>
      <c r="B11" t="s">
        <v>125</v>
      </c>
      <c r="C11" t="s">
        <v>127</v>
      </c>
      <c r="F11">
        <f>6567 / 496</f>
        <v>13.23991935483871</v>
      </c>
      <c r="G11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pane ySplit="1" topLeftCell="A2" activePane="bottomLeft" state="frozen"/>
      <selection pane="bottomLeft" activeCell="F27" sqref="F27"/>
    </sheetView>
  </sheetViews>
  <sheetFormatPr defaultRowHeight="14.4" x14ac:dyDescent="0.3"/>
  <cols>
    <col min="2" max="2" width="27.109375" customWidth="1"/>
    <col min="3" max="3" width="10.44140625" bestFit="1" customWidth="1"/>
    <col min="6" max="6" width="13.44140625" bestFit="1" customWidth="1"/>
    <col min="7" max="7" width="9.33203125" customWidth="1"/>
  </cols>
  <sheetData>
    <row r="1" spans="1:10" s="1" customFormat="1" x14ac:dyDescent="0.3">
      <c r="A1" s="1" t="s">
        <v>91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  <c r="J1" s="1" t="s">
        <v>51</v>
      </c>
    </row>
    <row r="2" spans="1:10" x14ac:dyDescent="0.3">
      <c r="A2" t="s">
        <v>9</v>
      </c>
      <c r="B2" t="s">
        <v>26</v>
      </c>
      <c r="C2" t="s">
        <v>27</v>
      </c>
      <c r="F2">
        <v>26</v>
      </c>
      <c r="G2" t="s">
        <v>28</v>
      </c>
      <c r="H2" t="s">
        <v>30</v>
      </c>
      <c r="J2" t="s">
        <v>52</v>
      </c>
    </row>
    <row r="3" spans="1:10" x14ac:dyDescent="0.3">
      <c r="A3" t="s">
        <v>9</v>
      </c>
      <c r="B3" t="s">
        <v>31</v>
      </c>
      <c r="C3" t="s">
        <v>32</v>
      </c>
      <c r="F3">
        <v>0.24</v>
      </c>
      <c r="J3" t="s">
        <v>53</v>
      </c>
    </row>
    <row r="4" spans="1:10" x14ac:dyDescent="0.3">
      <c r="A4" t="s">
        <v>9</v>
      </c>
      <c r="B4" t="s">
        <v>33</v>
      </c>
      <c r="C4" t="s">
        <v>32</v>
      </c>
      <c r="D4">
        <v>0</v>
      </c>
      <c r="E4">
        <v>1</v>
      </c>
      <c r="F4">
        <v>0.96</v>
      </c>
      <c r="G4" t="s">
        <v>34</v>
      </c>
      <c r="J4" t="s">
        <v>54</v>
      </c>
    </row>
    <row r="5" spans="1:10" x14ac:dyDescent="0.3">
      <c r="A5" t="s">
        <v>9</v>
      </c>
      <c r="B5" t="s">
        <v>35</v>
      </c>
      <c r="C5" t="s">
        <v>32</v>
      </c>
      <c r="F5">
        <f>65*(1000)</f>
        <v>65000</v>
      </c>
      <c r="G5" t="s">
        <v>36</v>
      </c>
      <c r="J5" t="s">
        <v>34</v>
      </c>
    </row>
    <row r="6" spans="1:10" x14ac:dyDescent="0.3">
      <c r="A6" t="s">
        <v>9</v>
      </c>
      <c r="B6" t="s">
        <v>37</v>
      </c>
      <c r="C6" t="s">
        <v>32</v>
      </c>
      <c r="F6">
        <v>8</v>
      </c>
      <c r="J6" t="s">
        <v>55</v>
      </c>
    </row>
    <row r="7" spans="1:10" x14ac:dyDescent="0.3">
      <c r="A7" t="s">
        <v>9</v>
      </c>
      <c r="B7" t="s">
        <v>38</v>
      </c>
      <c r="C7" t="s">
        <v>32</v>
      </c>
      <c r="F7">
        <f xml:space="preserve"> 0.59*(1/100)</f>
        <v>5.8999999999999999E-3</v>
      </c>
      <c r="G7" t="s">
        <v>39</v>
      </c>
      <c r="J7" t="s">
        <v>56</v>
      </c>
    </row>
    <row r="8" spans="1:10" x14ac:dyDescent="0.3">
      <c r="A8" t="s">
        <v>9</v>
      </c>
      <c r="B8" t="s">
        <v>40</v>
      </c>
      <c r="C8" t="s">
        <v>32</v>
      </c>
      <c r="F8">
        <v>0.1</v>
      </c>
      <c r="G8" t="s">
        <v>39</v>
      </c>
      <c r="J8" t="s">
        <v>57</v>
      </c>
    </row>
    <row r="9" spans="1:10" x14ac:dyDescent="0.3">
      <c r="A9" t="s">
        <v>9</v>
      </c>
      <c r="B9" t="s">
        <v>42</v>
      </c>
      <c r="C9" t="s">
        <v>41</v>
      </c>
      <c r="F9">
        <f xml:space="preserve"> 2.52*(1/1000)*(100)^3</f>
        <v>2520</v>
      </c>
      <c r="G9" t="s">
        <v>43</v>
      </c>
      <c r="J9" t="s">
        <v>58</v>
      </c>
    </row>
    <row r="10" spans="1:10" x14ac:dyDescent="0.3">
      <c r="A10" t="s">
        <v>9</v>
      </c>
      <c r="B10" t="s">
        <v>44</v>
      </c>
      <c r="C10" t="s">
        <v>41</v>
      </c>
      <c r="F10">
        <f xml:space="preserve"> 3*(1/1000)*(100)^3</f>
        <v>3000</v>
      </c>
      <c r="G10" t="s">
        <v>43</v>
      </c>
      <c r="J10" t="s">
        <v>34</v>
      </c>
    </row>
    <row r="11" spans="1:10" x14ac:dyDescent="0.3">
      <c r="A11" t="s">
        <v>9</v>
      </c>
      <c r="B11" t="s">
        <v>45</v>
      </c>
      <c r="C11" t="s">
        <v>41</v>
      </c>
      <c r="F11">
        <f xml:space="preserve"> 780</f>
        <v>780</v>
      </c>
      <c r="G11" t="s">
        <v>43</v>
      </c>
      <c r="J11" t="s">
        <v>59</v>
      </c>
    </row>
    <row r="12" spans="1:10" x14ac:dyDescent="0.3">
      <c r="A12" t="s">
        <v>9</v>
      </c>
      <c r="B12" t="s">
        <v>46</v>
      </c>
      <c r="C12" t="s">
        <v>41</v>
      </c>
      <c r="F12">
        <f xml:space="preserve"> 19.25*(1/1000)*(100^3)</f>
        <v>19250</v>
      </c>
      <c r="G12" t="s">
        <v>43</v>
      </c>
      <c r="J12" t="s">
        <v>60</v>
      </c>
    </row>
    <row r="13" spans="1:10" x14ac:dyDescent="0.3">
      <c r="A13" t="s">
        <v>9</v>
      </c>
      <c r="B13" t="s">
        <v>129</v>
      </c>
      <c r="C13" t="s">
        <v>47</v>
      </c>
      <c r="F13">
        <f xml:space="preserve"> 2.277*10^-2</f>
        <v>2.2770000000000002E-2</v>
      </c>
      <c r="J13" t="s">
        <v>61</v>
      </c>
    </row>
    <row r="14" spans="1:10" x14ac:dyDescent="0.3">
      <c r="A14" t="s">
        <v>9</v>
      </c>
      <c r="B14" t="s">
        <v>128</v>
      </c>
      <c r="C14" t="s">
        <v>47</v>
      </c>
      <c r="F14">
        <f xml:space="preserve"> 4.391*10^-2</f>
        <v>4.3909999999999998E-2</v>
      </c>
      <c r="J14" t="s">
        <v>34</v>
      </c>
    </row>
    <row r="15" spans="1:10" x14ac:dyDescent="0.3">
      <c r="A15" t="s">
        <v>9</v>
      </c>
      <c r="B15" t="s">
        <v>130</v>
      </c>
      <c r="C15" t="s">
        <v>47</v>
      </c>
      <c r="F15">
        <f xml:space="preserve"> 3.84*10^-1</f>
        <v>0.38400000000000001</v>
      </c>
      <c r="J15" t="s">
        <v>62</v>
      </c>
    </row>
    <row r="16" spans="1:10" x14ac:dyDescent="0.3">
      <c r="A16" t="s">
        <v>9</v>
      </c>
      <c r="B16" t="s">
        <v>131</v>
      </c>
      <c r="C16" t="s">
        <v>48</v>
      </c>
      <c r="F16">
        <v>10</v>
      </c>
      <c r="G16" t="s">
        <v>85</v>
      </c>
      <c r="J16" t="s">
        <v>63</v>
      </c>
    </row>
    <row r="17" spans="1:7" x14ac:dyDescent="0.3">
      <c r="A17" t="s">
        <v>9</v>
      </c>
      <c r="B17" t="s">
        <v>132</v>
      </c>
      <c r="C17" t="s">
        <v>48</v>
      </c>
      <c r="D17">
        <v>0</v>
      </c>
      <c r="E17">
        <v>1</v>
      </c>
      <c r="F17">
        <f xml:space="preserve"> 0.98</f>
        <v>0.98</v>
      </c>
      <c r="G17" t="s">
        <v>34</v>
      </c>
    </row>
    <row r="18" spans="1:7" x14ac:dyDescent="0.3">
      <c r="A18" t="s">
        <v>9</v>
      </c>
      <c r="B18" t="s">
        <v>133</v>
      </c>
      <c r="C18" t="s">
        <v>49</v>
      </c>
      <c r="F18">
        <v>0.1</v>
      </c>
      <c r="G18" t="s">
        <v>39</v>
      </c>
    </row>
    <row r="19" spans="1:7" x14ac:dyDescent="0.3">
      <c r="A19" t="s">
        <v>9</v>
      </c>
      <c r="B19" t="s">
        <v>134</v>
      </c>
      <c r="C19" t="s">
        <v>50</v>
      </c>
      <c r="F19">
        <f xml:space="preserve"> 720</f>
        <v>720</v>
      </c>
      <c r="G19" t="s">
        <v>90</v>
      </c>
    </row>
    <row r="20" spans="1:7" x14ac:dyDescent="0.3">
      <c r="A20" t="s">
        <v>9</v>
      </c>
      <c r="B20" t="s">
        <v>135</v>
      </c>
      <c r="C20" t="s">
        <v>50</v>
      </c>
      <c r="F20">
        <f xml:space="preserve"> 1.728</f>
        <v>1.728</v>
      </c>
      <c r="G20" t="s">
        <v>123</v>
      </c>
    </row>
    <row r="21" spans="1:7" x14ac:dyDescent="0.3">
      <c r="A21" t="s">
        <v>9</v>
      </c>
      <c r="B21" t="s">
        <v>136</v>
      </c>
      <c r="C21" t="s">
        <v>50</v>
      </c>
      <c r="F21">
        <f xml:space="preserve"> 22.43</f>
        <v>22.43</v>
      </c>
      <c r="G21" t="s">
        <v>137</v>
      </c>
    </row>
    <row r="22" spans="1:7" x14ac:dyDescent="0.3">
      <c r="A22" t="s">
        <v>9</v>
      </c>
      <c r="B22" t="s">
        <v>65</v>
      </c>
      <c r="C22" t="s">
        <v>64</v>
      </c>
      <c r="F22">
        <f xml:space="preserve"> 3000</f>
        <v>3000</v>
      </c>
      <c r="G22" t="s">
        <v>39</v>
      </c>
    </row>
    <row r="23" spans="1:7" x14ac:dyDescent="0.3">
      <c r="A23" t="s">
        <v>9</v>
      </c>
      <c r="B23" t="s">
        <v>138</v>
      </c>
      <c r="C23" t="s">
        <v>66</v>
      </c>
      <c r="F23" t="s">
        <v>139</v>
      </c>
    </row>
    <row r="24" spans="1:7" x14ac:dyDescent="0.3">
      <c r="A24" t="s">
        <v>9</v>
      </c>
      <c r="B24" t="s">
        <v>140</v>
      </c>
      <c r="C24" t="s">
        <v>67</v>
      </c>
      <c r="F24" t="s">
        <v>141</v>
      </c>
      <c r="G24" t="s">
        <v>68</v>
      </c>
    </row>
    <row r="25" spans="1:7" x14ac:dyDescent="0.3">
      <c r="A25" t="s">
        <v>9</v>
      </c>
      <c r="B25" t="s">
        <v>74</v>
      </c>
      <c r="C25" t="s">
        <v>69</v>
      </c>
      <c r="F25" t="s">
        <v>73</v>
      </c>
      <c r="G25" t="s">
        <v>72</v>
      </c>
    </row>
    <row r="26" spans="1:7" x14ac:dyDescent="0.3">
      <c r="A26" t="s">
        <v>9</v>
      </c>
      <c r="B26" t="s">
        <v>70</v>
      </c>
      <c r="C26" t="s">
        <v>75</v>
      </c>
      <c r="F26" t="s">
        <v>71</v>
      </c>
      <c r="G26" t="s">
        <v>68</v>
      </c>
    </row>
    <row r="27" spans="1:7" x14ac:dyDescent="0.3">
      <c r="A27" t="s">
        <v>9</v>
      </c>
      <c r="B27" t="s">
        <v>77</v>
      </c>
      <c r="C27" t="s">
        <v>78</v>
      </c>
      <c r="F27" t="s">
        <v>76</v>
      </c>
      <c r="G27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1" topLeftCell="A2" activePane="bottomLeft" state="frozen"/>
      <selection pane="bottomLeft" activeCell="B11" sqref="B11"/>
    </sheetView>
  </sheetViews>
  <sheetFormatPr defaultRowHeight="14.4" x14ac:dyDescent="0.3"/>
  <cols>
    <col min="1" max="1" width="14.33203125" bestFit="1" customWidth="1"/>
    <col min="2" max="2" width="10.6640625" bestFit="1" customWidth="1"/>
    <col min="3" max="3" width="24.5546875" customWidth="1"/>
    <col min="6" max="6" width="13.44140625" bestFit="1" customWidth="1"/>
  </cols>
  <sheetData>
    <row r="1" spans="1:8" x14ac:dyDescent="0.3">
      <c r="A1" s="1" t="s">
        <v>91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</row>
    <row r="2" spans="1:8" x14ac:dyDescent="0.3">
      <c r="A2" t="s">
        <v>92</v>
      </c>
      <c r="B2" t="s">
        <v>79</v>
      </c>
      <c r="C2" t="s">
        <v>81</v>
      </c>
      <c r="D2">
        <v>0</v>
      </c>
      <c r="E2">
        <v>1</v>
      </c>
      <c r="F2">
        <v>0.05</v>
      </c>
      <c r="G2" t="s">
        <v>80</v>
      </c>
      <c r="H2" t="s">
        <v>82</v>
      </c>
    </row>
    <row r="3" spans="1:8" x14ac:dyDescent="0.3">
      <c r="A3" t="s">
        <v>92</v>
      </c>
      <c r="B3" t="s">
        <v>83</v>
      </c>
      <c r="C3" t="s">
        <v>84</v>
      </c>
      <c r="F3">
        <v>2.137</v>
      </c>
      <c r="G3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ySplit="1" topLeftCell="A2" activePane="bottomLeft" state="frozen"/>
      <selection pane="bottomLeft" sqref="A1:A1048576"/>
    </sheetView>
  </sheetViews>
  <sheetFormatPr defaultRowHeight="14.4" x14ac:dyDescent="0.3"/>
  <cols>
    <col min="1" max="1" width="14.109375" bestFit="1" customWidth="1"/>
    <col min="2" max="2" width="8" bestFit="1" customWidth="1"/>
    <col min="6" max="6" width="13.44140625" bestFit="1" customWidth="1"/>
  </cols>
  <sheetData>
    <row r="1" spans="1:8" x14ac:dyDescent="0.3">
      <c r="A1" s="1" t="s">
        <v>91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</row>
    <row r="2" spans="1:8" x14ac:dyDescent="0.3">
      <c r="A2" t="s">
        <v>12</v>
      </c>
      <c r="B2" t="s">
        <v>88</v>
      </c>
      <c r="C2" t="s">
        <v>86</v>
      </c>
      <c r="D2">
        <v>0</v>
      </c>
      <c r="E2">
        <v>24.66</v>
      </c>
      <c r="F2">
        <v>13</v>
      </c>
      <c r="G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ySplit="1" topLeftCell="A2" activePane="bottomLeft" state="frozen"/>
      <selection pane="bottomLeft" sqref="A1:A1048576"/>
    </sheetView>
  </sheetViews>
  <sheetFormatPr defaultRowHeight="14.4" x14ac:dyDescent="0.3"/>
  <cols>
    <col min="1" max="1" width="7.5546875" bestFit="1" customWidth="1"/>
    <col min="2" max="2" width="15.88671875" bestFit="1" customWidth="1"/>
    <col min="3" max="3" width="10.44140625" bestFit="1" customWidth="1"/>
    <col min="6" max="6" width="13.44140625" bestFit="1" customWidth="1"/>
  </cols>
  <sheetData>
    <row r="1" spans="1:8" x14ac:dyDescent="0.3">
      <c r="A1" s="1" t="s">
        <v>91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</row>
    <row r="2" spans="1:8" x14ac:dyDescent="0.3">
      <c r="A2" t="s">
        <v>13</v>
      </c>
      <c r="B2" t="s">
        <v>89</v>
      </c>
      <c r="F2">
        <v>40400</v>
      </c>
      <c r="G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1" topLeftCell="A2" activePane="bottomLeft" state="frozen"/>
      <selection pane="bottomLeft" activeCell="A6" sqref="A6"/>
    </sheetView>
  </sheetViews>
  <sheetFormatPr defaultRowHeight="14.4" x14ac:dyDescent="0.3"/>
  <cols>
    <col min="1" max="1" width="10.33203125" bestFit="1" customWidth="1"/>
    <col min="2" max="2" width="18.44140625" bestFit="1" customWidth="1"/>
    <col min="6" max="6" width="13.44140625" bestFit="1" customWidth="1"/>
  </cols>
  <sheetData>
    <row r="1" spans="1:8" x14ac:dyDescent="0.3">
      <c r="A1" s="1" t="s">
        <v>91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</row>
    <row r="2" spans="1:8" x14ac:dyDescent="0.3">
      <c r="A2" t="s">
        <v>14</v>
      </c>
      <c r="B2" t="s">
        <v>93</v>
      </c>
      <c r="C2" t="s">
        <v>94</v>
      </c>
      <c r="F2">
        <v>30</v>
      </c>
      <c r="G2" t="s">
        <v>95</v>
      </c>
      <c r="H2" t="s">
        <v>30</v>
      </c>
    </row>
    <row r="3" spans="1:8" x14ac:dyDescent="0.3">
      <c r="A3" t="s">
        <v>14</v>
      </c>
      <c r="B3" t="s">
        <v>97</v>
      </c>
      <c r="C3" t="s">
        <v>96</v>
      </c>
      <c r="F3">
        <v>66100</v>
      </c>
      <c r="G3" t="s">
        <v>90</v>
      </c>
      <c r="H3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B17" sqref="B17"/>
    </sheetView>
  </sheetViews>
  <sheetFormatPr defaultRowHeight="14.4" x14ac:dyDescent="0.3"/>
  <cols>
    <col min="1" max="1" width="10.44140625" bestFit="1" customWidth="1"/>
    <col min="2" max="2" width="27.21875" customWidth="1"/>
    <col min="6" max="6" width="13.44140625" bestFit="1" customWidth="1"/>
  </cols>
  <sheetData>
    <row r="1" spans="1:8" x14ac:dyDescent="0.3">
      <c r="A1" s="1" t="s">
        <v>91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</row>
    <row r="2" spans="1:8" x14ac:dyDescent="0.3">
      <c r="A2" t="s">
        <v>15</v>
      </c>
      <c r="B2" t="s">
        <v>143</v>
      </c>
      <c r="C2" t="s">
        <v>142</v>
      </c>
      <c r="F2">
        <f xml:space="preserve"> 1.3</f>
        <v>1.3</v>
      </c>
      <c r="G2" t="s">
        <v>137</v>
      </c>
      <c r="H2" t="s">
        <v>142</v>
      </c>
    </row>
    <row r="3" spans="1:8" x14ac:dyDescent="0.3">
      <c r="A3" t="s">
        <v>15</v>
      </c>
      <c r="B3" t="s">
        <v>147</v>
      </c>
      <c r="C3" t="s">
        <v>146</v>
      </c>
      <c r="F3">
        <f xml:space="preserve"> 450</f>
        <v>450</v>
      </c>
      <c r="G3" t="s">
        <v>144</v>
      </c>
      <c r="H3" t="s">
        <v>146</v>
      </c>
    </row>
    <row r="4" spans="1:8" x14ac:dyDescent="0.3">
      <c r="A4" t="s">
        <v>15</v>
      </c>
      <c r="B4" t="s">
        <v>150</v>
      </c>
      <c r="C4" t="s">
        <v>149</v>
      </c>
      <c r="F4">
        <v>2.5</v>
      </c>
      <c r="G4" t="s">
        <v>148</v>
      </c>
      <c r="H4" t="s">
        <v>149</v>
      </c>
    </row>
    <row r="5" spans="1:8" x14ac:dyDescent="0.3">
      <c r="A5" t="s">
        <v>15</v>
      </c>
      <c r="B5" t="s">
        <v>65</v>
      </c>
      <c r="C5" t="s">
        <v>64</v>
      </c>
      <c r="F5">
        <v>3000</v>
      </c>
      <c r="G5" t="s">
        <v>39</v>
      </c>
      <c r="H5" t="s">
        <v>64</v>
      </c>
    </row>
    <row r="6" spans="1:8" x14ac:dyDescent="0.3">
      <c r="A6" t="s">
        <v>15</v>
      </c>
      <c r="B6" t="s">
        <v>151</v>
      </c>
      <c r="C6" t="s">
        <v>152</v>
      </c>
      <c r="F6">
        <v>10</v>
      </c>
      <c r="G6" t="s">
        <v>145</v>
      </c>
      <c r="H6" t="s">
        <v>152</v>
      </c>
    </row>
    <row r="7" spans="1:8" x14ac:dyDescent="0.3">
      <c r="A7" t="s">
        <v>15</v>
      </c>
      <c r="B7" t="s">
        <v>154</v>
      </c>
      <c r="C7" t="s">
        <v>153</v>
      </c>
      <c r="F7">
        <v>5</v>
      </c>
      <c r="G7" t="s">
        <v>145</v>
      </c>
      <c r="H7" t="s">
        <v>153</v>
      </c>
    </row>
    <row r="8" spans="1:8" x14ac:dyDescent="0.3">
      <c r="A8" t="s">
        <v>15</v>
      </c>
      <c r="B8" t="s">
        <v>157</v>
      </c>
      <c r="C8" t="s">
        <v>155</v>
      </c>
      <c r="F8">
        <v>4</v>
      </c>
      <c r="G8" t="s">
        <v>145</v>
      </c>
      <c r="H8" t="s">
        <v>155</v>
      </c>
    </row>
    <row r="9" spans="1:8" x14ac:dyDescent="0.3">
      <c r="A9" t="s">
        <v>15</v>
      </c>
      <c r="B9" t="s">
        <v>158</v>
      </c>
      <c r="C9" t="s">
        <v>156</v>
      </c>
      <c r="F9">
        <v>0.1</v>
      </c>
      <c r="G9" t="s">
        <v>145</v>
      </c>
      <c r="H9" t="s">
        <v>156</v>
      </c>
    </row>
    <row r="10" spans="1:8" x14ac:dyDescent="0.3">
      <c r="A10" t="s">
        <v>15</v>
      </c>
      <c r="B10" t="s">
        <v>159</v>
      </c>
      <c r="C10" t="s">
        <v>152</v>
      </c>
      <c r="F10">
        <v>40095</v>
      </c>
      <c r="G10" t="s">
        <v>145</v>
      </c>
      <c r="H10" t="s">
        <v>152</v>
      </c>
    </row>
    <row r="11" spans="1:8" x14ac:dyDescent="0.3">
      <c r="A11" t="s">
        <v>15</v>
      </c>
      <c r="B11" t="s">
        <v>160</v>
      </c>
      <c r="F11">
        <f xml:space="preserve"> 8247.98</f>
        <v>8247.98</v>
      </c>
      <c r="G11" t="s">
        <v>161</v>
      </c>
    </row>
    <row r="12" spans="1:8" x14ac:dyDescent="0.3">
      <c r="A12" t="s">
        <v>15</v>
      </c>
      <c r="B12" t="s">
        <v>163</v>
      </c>
      <c r="C12" t="s">
        <v>162</v>
      </c>
      <c r="F12">
        <v>24500</v>
      </c>
      <c r="G12" t="s">
        <v>90</v>
      </c>
      <c r="H12" t="s">
        <v>162</v>
      </c>
    </row>
    <row r="13" spans="1:8" x14ac:dyDescent="0.3">
      <c r="A13" t="s">
        <v>15</v>
      </c>
      <c r="B13" t="s">
        <v>164</v>
      </c>
      <c r="F13">
        <v>2324.7399999999998</v>
      </c>
      <c r="G13" t="s">
        <v>161</v>
      </c>
    </row>
    <row r="14" spans="1:8" x14ac:dyDescent="0.3">
      <c r="A14" t="s">
        <v>15</v>
      </c>
      <c r="B14" t="s">
        <v>165</v>
      </c>
      <c r="C14" t="s">
        <v>155</v>
      </c>
      <c r="F14">
        <f xml:space="preserve"> 41510</f>
        <v>41510</v>
      </c>
      <c r="G14" t="s">
        <v>90</v>
      </c>
      <c r="H14" t="s">
        <v>155</v>
      </c>
    </row>
    <row r="15" spans="1:8" x14ac:dyDescent="0.3">
      <c r="A15" t="s">
        <v>15</v>
      </c>
      <c r="B15" t="s">
        <v>166</v>
      </c>
      <c r="C15" t="s">
        <v>156</v>
      </c>
      <c r="F15">
        <v>4610</v>
      </c>
      <c r="G15" t="s">
        <v>90</v>
      </c>
      <c r="H15" t="s">
        <v>156</v>
      </c>
    </row>
    <row r="16" spans="1:8" x14ac:dyDescent="0.3">
      <c r="A16" t="s">
        <v>15</v>
      </c>
      <c r="B16" t="s">
        <v>167</v>
      </c>
      <c r="F16">
        <v>36.770000000000003</v>
      </c>
      <c r="G16" t="s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ySplit="1" topLeftCell="A2" activePane="bottomLeft" state="frozen"/>
      <selection pane="bottomLeft" activeCell="E23" sqref="E23"/>
    </sheetView>
  </sheetViews>
  <sheetFormatPr defaultRowHeight="14.4" x14ac:dyDescent="0.3"/>
  <cols>
    <col min="6" max="6" width="13.44140625" bestFit="1" customWidth="1"/>
  </cols>
  <sheetData>
    <row r="1" spans="1:8" x14ac:dyDescent="0.3">
      <c r="A1" s="1" t="s">
        <v>91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</row>
    <row r="2" spans="1:8" x14ac:dyDescent="0.3">
      <c r="A2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2" max="2" width="38.33203125" customWidth="1"/>
    <col min="6" max="6" width="13.44140625" bestFit="1" customWidth="1"/>
  </cols>
  <sheetData>
    <row r="1" spans="1:8" x14ac:dyDescent="0.3">
      <c r="A1" s="1" t="s">
        <v>91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</row>
    <row r="2" spans="1:8" x14ac:dyDescent="0.3">
      <c r="A2" t="s">
        <v>7</v>
      </c>
      <c r="B2" t="s">
        <v>100</v>
      </c>
    </row>
    <row r="3" spans="1:8" x14ac:dyDescent="0.3">
      <c r="A3" t="s">
        <v>7</v>
      </c>
      <c r="B3" t="s">
        <v>170</v>
      </c>
      <c r="C3" t="s">
        <v>168</v>
      </c>
      <c r="F3">
        <v>7.25</v>
      </c>
      <c r="H3" t="s">
        <v>176</v>
      </c>
    </row>
    <row r="4" spans="1:8" x14ac:dyDescent="0.3">
      <c r="A4" t="s">
        <v>7</v>
      </c>
      <c r="B4" t="s">
        <v>171</v>
      </c>
      <c r="C4" t="s">
        <v>168</v>
      </c>
      <c r="F4">
        <v>-4.5</v>
      </c>
      <c r="G4" t="s">
        <v>174</v>
      </c>
    </row>
    <row r="5" spans="1:8" x14ac:dyDescent="0.3">
      <c r="A5" t="s">
        <v>7</v>
      </c>
      <c r="B5" t="s">
        <v>172</v>
      </c>
      <c r="C5" t="s">
        <v>168</v>
      </c>
      <c r="F5">
        <v>2</v>
      </c>
      <c r="G5" t="s">
        <v>34</v>
      </c>
      <c r="H5" t="s">
        <v>99</v>
      </c>
    </row>
    <row r="6" spans="1:8" x14ac:dyDescent="0.3">
      <c r="A6" t="s">
        <v>7</v>
      </c>
      <c r="B6" t="s">
        <v>173</v>
      </c>
      <c r="C6" t="s">
        <v>168</v>
      </c>
      <c r="F6">
        <v>-26.4</v>
      </c>
      <c r="G6" t="s">
        <v>175</v>
      </c>
    </row>
    <row r="7" spans="1:8" x14ac:dyDescent="0.3">
      <c r="A7" t="s">
        <v>7</v>
      </c>
      <c r="B7" t="s">
        <v>101</v>
      </c>
    </row>
    <row r="8" spans="1:8" x14ac:dyDescent="0.3">
      <c r="A8" t="s">
        <v>7</v>
      </c>
      <c r="B8" t="s">
        <v>102</v>
      </c>
    </row>
    <row r="9" spans="1:8" x14ac:dyDescent="0.3">
      <c r="A9" t="s">
        <v>7</v>
      </c>
      <c r="B9" t="s">
        <v>170</v>
      </c>
      <c r="C9" t="s">
        <v>169</v>
      </c>
      <c r="F9">
        <v>6.5</v>
      </c>
      <c r="H9" t="s">
        <v>176</v>
      </c>
    </row>
    <row r="10" spans="1:8" x14ac:dyDescent="0.3">
      <c r="A10" t="s">
        <v>7</v>
      </c>
      <c r="B10" t="s">
        <v>177</v>
      </c>
      <c r="C10" t="s">
        <v>169</v>
      </c>
      <c r="F10">
        <v>-4.5</v>
      </c>
      <c r="G10" t="s">
        <v>174</v>
      </c>
    </row>
    <row r="11" spans="1:8" x14ac:dyDescent="0.3">
      <c r="A11" t="s">
        <v>7</v>
      </c>
      <c r="B11" t="s">
        <v>172</v>
      </c>
      <c r="C11" t="s">
        <v>169</v>
      </c>
      <c r="F11">
        <v>6</v>
      </c>
      <c r="G11" t="s">
        <v>34</v>
      </c>
      <c r="H11" t="s">
        <v>99</v>
      </c>
    </row>
    <row r="12" spans="1:8" x14ac:dyDescent="0.3">
      <c r="A12" t="s">
        <v>7</v>
      </c>
      <c r="B12" t="s">
        <v>178</v>
      </c>
      <c r="C12" t="s">
        <v>169</v>
      </c>
      <c r="F12">
        <v>-5.4</v>
      </c>
      <c r="G12" t="s">
        <v>175</v>
      </c>
    </row>
    <row r="13" spans="1:8" x14ac:dyDescent="0.3">
      <c r="A13" t="s">
        <v>7</v>
      </c>
      <c r="B13" t="s">
        <v>101</v>
      </c>
    </row>
    <row r="14" spans="1:8" x14ac:dyDescent="0.3">
      <c r="A14" t="s">
        <v>7</v>
      </c>
      <c r="B14" t="s">
        <v>103</v>
      </c>
    </row>
    <row r="15" spans="1:8" x14ac:dyDescent="0.3">
      <c r="A15" t="s">
        <v>7</v>
      </c>
      <c r="B15" t="s">
        <v>179</v>
      </c>
      <c r="F15">
        <v>5.25</v>
      </c>
      <c r="H15" t="s">
        <v>176</v>
      </c>
    </row>
    <row r="16" spans="1:8" x14ac:dyDescent="0.3">
      <c r="A16" t="s">
        <v>7</v>
      </c>
      <c r="B16" t="s">
        <v>180</v>
      </c>
      <c r="F16">
        <v>-1.3</v>
      </c>
      <c r="G16" t="s">
        <v>174</v>
      </c>
    </row>
    <row r="17" spans="1:8" x14ac:dyDescent="0.3">
      <c r="A17" t="s">
        <v>7</v>
      </c>
      <c r="B17" t="s">
        <v>181</v>
      </c>
      <c r="F17">
        <v>7</v>
      </c>
      <c r="G17" t="s">
        <v>34</v>
      </c>
      <c r="H17" t="s">
        <v>99</v>
      </c>
    </row>
    <row r="18" spans="1:8" x14ac:dyDescent="0.3">
      <c r="A18" t="s">
        <v>7</v>
      </c>
      <c r="B18" t="s">
        <v>178</v>
      </c>
      <c r="F18">
        <v>-2.1</v>
      </c>
      <c r="G18" t="s">
        <v>175</v>
      </c>
    </row>
    <row r="19" spans="1:8" x14ac:dyDescent="0.3">
      <c r="A19" t="s">
        <v>7</v>
      </c>
      <c r="B19" t="s">
        <v>101</v>
      </c>
    </row>
    <row r="20" spans="1:8" x14ac:dyDescent="0.3">
      <c r="A20" t="s">
        <v>7</v>
      </c>
      <c r="B20" t="s">
        <v>104</v>
      </c>
    </row>
    <row r="21" spans="1:8" x14ac:dyDescent="0.3">
      <c r="A21" t="s">
        <v>7</v>
      </c>
      <c r="B21" t="s">
        <v>179</v>
      </c>
      <c r="F21">
        <v>9</v>
      </c>
      <c r="H21" t="s">
        <v>176</v>
      </c>
    </row>
    <row r="22" spans="1:8" x14ac:dyDescent="0.3">
      <c r="A22" t="s">
        <v>7</v>
      </c>
      <c r="B22" t="s">
        <v>180</v>
      </c>
      <c r="F22">
        <v>-1.9</v>
      </c>
      <c r="G22" t="s">
        <v>174</v>
      </c>
    </row>
    <row r="23" spans="1:8" x14ac:dyDescent="0.3">
      <c r="A23" t="s">
        <v>7</v>
      </c>
      <c r="B23" t="s">
        <v>181</v>
      </c>
      <c r="F23">
        <v>8</v>
      </c>
      <c r="G23" t="s">
        <v>34</v>
      </c>
      <c r="H23" t="s">
        <v>99</v>
      </c>
    </row>
    <row r="24" spans="1:8" x14ac:dyDescent="0.3">
      <c r="A24" t="s">
        <v>7</v>
      </c>
      <c r="B24" t="s">
        <v>178</v>
      </c>
      <c r="F24">
        <v>-14.6</v>
      </c>
      <c r="G24" t="s">
        <v>175</v>
      </c>
    </row>
    <row r="25" spans="1:8" x14ac:dyDescent="0.3">
      <c r="A25" t="s">
        <v>7</v>
      </c>
      <c r="B25" t="s">
        <v>101</v>
      </c>
    </row>
    <row r="26" spans="1:8" x14ac:dyDescent="0.3">
      <c r="A26" t="s">
        <v>7</v>
      </c>
      <c r="B26" t="s">
        <v>105</v>
      </c>
    </row>
    <row r="27" spans="1:8" x14ac:dyDescent="0.3">
      <c r="A27" t="s">
        <v>7</v>
      </c>
      <c r="B27" t="s">
        <v>179</v>
      </c>
      <c r="F27">
        <v>3.75</v>
      </c>
      <c r="H27" t="s">
        <v>176</v>
      </c>
    </row>
    <row r="28" spans="1:8" x14ac:dyDescent="0.3">
      <c r="A28" t="s">
        <v>7</v>
      </c>
      <c r="B28" t="s">
        <v>180</v>
      </c>
      <c r="F28">
        <v>-4</v>
      </c>
      <c r="G28" t="s">
        <v>174</v>
      </c>
    </row>
    <row r="29" spans="1:8" x14ac:dyDescent="0.3">
      <c r="A29" t="s">
        <v>7</v>
      </c>
      <c r="B29" t="s">
        <v>172</v>
      </c>
      <c r="F29">
        <v>3</v>
      </c>
      <c r="G29" t="s">
        <v>34</v>
      </c>
      <c r="H29" t="s">
        <v>99</v>
      </c>
    </row>
    <row r="30" spans="1:8" x14ac:dyDescent="0.3">
      <c r="A30" t="s">
        <v>7</v>
      </c>
      <c r="B30" t="s">
        <v>178</v>
      </c>
      <c r="F30">
        <v>4.2</v>
      </c>
      <c r="G30" t="s">
        <v>175</v>
      </c>
    </row>
    <row r="31" spans="1:8" x14ac:dyDescent="0.3">
      <c r="A31" t="s">
        <v>7</v>
      </c>
      <c r="B31" t="s">
        <v>101</v>
      </c>
    </row>
    <row r="32" spans="1:8" x14ac:dyDescent="0.3">
      <c r="A32" t="s">
        <v>7</v>
      </c>
      <c r="B32" t="s">
        <v>106</v>
      </c>
    </row>
    <row r="33" spans="1:8" x14ac:dyDescent="0.3">
      <c r="A33" t="s">
        <v>7</v>
      </c>
      <c r="B33" t="s">
        <v>179</v>
      </c>
      <c r="F33">
        <v>3.75</v>
      </c>
      <c r="H33" t="s">
        <v>176</v>
      </c>
    </row>
    <row r="34" spans="1:8" x14ac:dyDescent="0.3">
      <c r="A34" t="s">
        <v>7</v>
      </c>
      <c r="B34" t="s">
        <v>180</v>
      </c>
      <c r="F34">
        <v>-3</v>
      </c>
      <c r="G34" t="s">
        <v>174</v>
      </c>
    </row>
    <row r="35" spans="1:8" x14ac:dyDescent="0.3">
      <c r="A35" t="s">
        <v>7</v>
      </c>
      <c r="B35" t="s">
        <v>181</v>
      </c>
      <c r="F35">
        <v>5</v>
      </c>
      <c r="G35" t="s">
        <v>34</v>
      </c>
      <c r="H35" t="s">
        <v>99</v>
      </c>
    </row>
    <row r="36" spans="1:8" x14ac:dyDescent="0.3">
      <c r="A36" t="s">
        <v>7</v>
      </c>
      <c r="B36" t="s">
        <v>178</v>
      </c>
      <c r="F36">
        <v>11.7</v>
      </c>
      <c r="G36" t="s">
        <v>175</v>
      </c>
    </row>
    <row r="37" spans="1:8" x14ac:dyDescent="0.3">
      <c r="A37" t="s">
        <v>7</v>
      </c>
      <c r="B37" t="s">
        <v>101</v>
      </c>
    </row>
    <row r="38" spans="1:8" x14ac:dyDescent="0.3">
      <c r="A38" t="s">
        <v>7</v>
      </c>
      <c r="B38" t="s">
        <v>107</v>
      </c>
    </row>
    <row r="39" spans="1:8" x14ac:dyDescent="0.3">
      <c r="A39" t="s">
        <v>7</v>
      </c>
      <c r="B39" t="s">
        <v>170</v>
      </c>
      <c r="F39">
        <v>6.5</v>
      </c>
      <c r="H39" t="s">
        <v>176</v>
      </c>
    </row>
    <row r="40" spans="1:8" x14ac:dyDescent="0.3">
      <c r="A40" t="s">
        <v>7</v>
      </c>
      <c r="B40" t="s">
        <v>180</v>
      </c>
      <c r="F40">
        <v>-2.2000000000000002</v>
      </c>
      <c r="G40" t="s">
        <v>174</v>
      </c>
    </row>
    <row r="41" spans="1:8" x14ac:dyDescent="0.3">
      <c r="A41" t="s">
        <v>7</v>
      </c>
      <c r="B41" t="s">
        <v>172</v>
      </c>
      <c r="F41">
        <v>3.5</v>
      </c>
      <c r="G41" t="s">
        <v>34</v>
      </c>
      <c r="H41" t="s">
        <v>99</v>
      </c>
    </row>
    <row r="42" spans="1:8" x14ac:dyDescent="0.3">
      <c r="A42" t="s">
        <v>7</v>
      </c>
      <c r="B42" t="s">
        <v>178</v>
      </c>
      <c r="F42">
        <v>23.9</v>
      </c>
      <c r="G42" t="s">
        <v>175</v>
      </c>
    </row>
    <row r="43" spans="1:8" x14ac:dyDescent="0.3">
      <c r="A43" t="s">
        <v>7</v>
      </c>
      <c r="B43" t="s">
        <v>101</v>
      </c>
    </row>
    <row r="44" spans="1:8" x14ac:dyDescent="0.3">
      <c r="A44" t="s">
        <v>7</v>
      </c>
      <c r="B44" t="s">
        <v>108</v>
      </c>
    </row>
    <row r="45" spans="1:8" x14ac:dyDescent="0.3">
      <c r="A45" t="s">
        <v>7</v>
      </c>
      <c r="B45" t="s">
        <v>170</v>
      </c>
      <c r="F45">
        <v>7</v>
      </c>
      <c r="H45" t="s">
        <v>176</v>
      </c>
    </row>
    <row r="46" spans="1:8" x14ac:dyDescent="0.3">
      <c r="A46" t="s">
        <v>7</v>
      </c>
      <c r="B46" t="s">
        <v>180</v>
      </c>
      <c r="F46">
        <v>-1.4</v>
      </c>
      <c r="G46" t="s">
        <v>174</v>
      </c>
    </row>
    <row r="47" spans="1:8" x14ac:dyDescent="0.3">
      <c r="A47" t="s">
        <v>7</v>
      </c>
      <c r="B47" t="s">
        <v>172</v>
      </c>
      <c r="F47">
        <v>2.5</v>
      </c>
      <c r="G47" t="s">
        <v>34</v>
      </c>
      <c r="H47" t="s">
        <v>99</v>
      </c>
    </row>
    <row r="48" spans="1:8" x14ac:dyDescent="0.3">
      <c r="A48" t="s">
        <v>7</v>
      </c>
      <c r="B48" t="s">
        <v>178</v>
      </c>
      <c r="F48">
        <v>-23.9</v>
      </c>
      <c r="G48" t="s">
        <v>175</v>
      </c>
    </row>
    <row r="49" spans="1:8" x14ac:dyDescent="0.3">
      <c r="A49" t="s">
        <v>7</v>
      </c>
      <c r="B49" t="s">
        <v>101</v>
      </c>
    </row>
    <row r="50" spans="1:8" x14ac:dyDescent="0.3">
      <c r="A50" t="s">
        <v>7</v>
      </c>
      <c r="B50" t="s">
        <v>109</v>
      </c>
    </row>
    <row r="51" spans="1:8" x14ac:dyDescent="0.3">
      <c r="A51" t="s">
        <v>7</v>
      </c>
      <c r="B51" t="s">
        <v>179</v>
      </c>
      <c r="F51">
        <v>5.75</v>
      </c>
      <c r="H51" t="s">
        <v>176</v>
      </c>
    </row>
    <row r="52" spans="1:8" x14ac:dyDescent="0.3">
      <c r="A52" t="s">
        <v>7</v>
      </c>
      <c r="B52" t="s">
        <v>177</v>
      </c>
      <c r="F52">
        <v>-5</v>
      </c>
      <c r="G52" t="s">
        <v>174</v>
      </c>
    </row>
    <row r="53" spans="1:8" x14ac:dyDescent="0.3">
      <c r="A53" t="s">
        <v>7</v>
      </c>
      <c r="B53" t="s">
        <v>181</v>
      </c>
      <c r="F53">
        <v>3.75</v>
      </c>
      <c r="G53" t="s">
        <v>34</v>
      </c>
      <c r="H53" t="s">
        <v>99</v>
      </c>
    </row>
    <row r="54" spans="1:8" x14ac:dyDescent="0.3">
      <c r="A54" t="s">
        <v>7</v>
      </c>
      <c r="B54" t="s">
        <v>178</v>
      </c>
      <c r="F54">
        <v>46.7</v>
      </c>
      <c r="G54" t="s">
        <v>175</v>
      </c>
    </row>
    <row r="55" spans="1:8" x14ac:dyDescent="0.3">
      <c r="A55" t="s">
        <v>7</v>
      </c>
      <c r="B55" t="s">
        <v>101</v>
      </c>
    </row>
    <row r="56" spans="1:8" x14ac:dyDescent="0.3">
      <c r="A56" t="s">
        <v>7</v>
      </c>
      <c r="B56" t="s">
        <v>110</v>
      </c>
    </row>
    <row r="57" spans="1:8" x14ac:dyDescent="0.3">
      <c r="A57" t="s">
        <v>7</v>
      </c>
      <c r="B57" t="s">
        <v>179</v>
      </c>
      <c r="F57">
        <v>5</v>
      </c>
      <c r="H57" t="s">
        <v>176</v>
      </c>
    </row>
    <row r="58" spans="1:8" x14ac:dyDescent="0.3">
      <c r="A58" t="s">
        <v>7</v>
      </c>
      <c r="B58" t="s">
        <v>177</v>
      </c>
      <c r="F58">
        <v>-5</v>
      </c>
      <c r="G58" t="s">
        <v>174</v>
      </c>
    </row>
    <row r="59" spans="1:8" x14ac:dyDescent="0.3">
      <c r="A59" t="s">
        <v>7</v>
      </c>
      <c r="B59" t="s">
        <v>172</v>
      </c>
      <c r="F59">
        <v>64</v>
      </c>
      <c r="G59" t="s">
        <v>34</v>
      </c>
      <c r="H59" t="s">
        <v>99</v>
      </c>
    </row>
    <row r="60" spans="1:8" x14ac:dyDescent="0.3">
      <c r="A60" t="s">
        <v>7</v>
      </c>
      <c r="B60" t="s">
        <v>178</v>
      </c>
      <c r="F60">
        <v>88</v>
      </c>
      <c r="G60" t="s">
        <v>175</v>
      </c>
    </row>
    <row r="61" spans="1:8" x14ac:dyDescent="0.3">
      <c r="A61" t="s">
        <v>7</v>
      </c>
      <c r="B61" t="s">
        <v>101</v>
      </c>
    </row>
    <row r="62" spans="1:8" x14ac:dyDescent="0.3">
      <c r="A62" t="s">
        <v>7</v>
      </c>
      <c r="B62" t="s">
        <v>111</v>
      </c>
    </row>
    <row r="63" spans="1:8" x14ac:dyDescent="0.3">
      <c r="A63" t="s">
        <v>7</v>
      </c>
      <c r="B63" t="s">
        <v>170</v>
      </c>
      <c r="F63">
        <v>5.75</v>
      </c>
      <c r="H63" t="s">
        <v>176</v>
      </c>
    </row>
    <row r="64" spans="1:8" x14ac:dyDescent="0.3">
      <c r="A64" t="s">
        <v>7</v>
      </c>
      <c r="B64" t="s">
        <v>180</v>
      </c>
      <c r="F64">
        <v>-7.2</v>
      </c>
      <c r="G64" t="s">
        <v>174</v>
      </c>
    </row>
    <row r="65" spans="1:8" x14ac:dyDescent="0.3">
      <c r="A65" t="s">
        <v>7</v>
      </c>
      <c r="B65" t="s">
        <v>181</v>
      </c>
      <c r="F65">
        <v>3</v>
      </c>
      <c r="G65" t="s">
        <v>34</v>
      </c>
      <c r="H65" t="s">
        <v>99</v>
      </c>
    </row>
    <row r="66" spans="1:8" x14ac:dyDescent="0.3">
      <c r="A66" t="s">
        <v>7</v>
      </c>
      <c r="B66" t="s">
        <v>178</v>
      </c>
      <c r="F66">
        <v>-40</v>
      </c>
      <c r="G66" t="s">
        <v>175</v>
      </c>
    </row>
    <row r="67" spans="1:8" x14ac:dyDescent="0.3">
      <c r="A67" t="s">
        <v>7</v>
      </c>
      <c r="B67" t="s">
        <v>101</v>
      </c>
    </row>
    <row r="68" spans="1:8" x14ac:dyDescent="0.3">
      <c r="A68" t="s">
        <v>7</v>
      </c>
      <c r="B68" t="s">
        <v>112</v>
      </c>
    </row>
    <row r="69" spans="1:8" x14ac:dyDescent="0.3">
      <c r="A69" t="s">
        <v>7</v>
      </c>
      <c r="B69" t="s">
        <v>179</v>
      </c>
      <c r="F69">
        <v>3.75</v>
      </c>
      <c r="H69" t="s">
        <v>176</v>
      </c>
    </row>
    <row r="70" spans="1:8" x14ac:dyDescent="0.3">
      <c r="A70" t="s">
        <v>7</v>
      </c>
      <c r="B70" t="s">
        <v>177</v>
      </c>
      <c r="F70">
        <v>-3.5</v>
      </c>
      <c r="G70" t="s">
        <v>174</v>
      </c>
    </row>
    <row r="71" spans="1:8" x14ac:dyDescent="0.3">
      <c r="A71" t="s">
        <v>7</v>
      </c>
      <c r="B71" t="s">
        <v>181</v>
      </c>
      <c r="F71">
        <v>4</v>
      </c>
      <c r="G71" t="s">
        <v>34</v>
      </c>
      <c r="H71" t="s">
        <v>99</v>
      </c>
    </row>
    <row r="72" spans="1:8" x14ac:dyDescent="0.3">
      <c r="A72" t="s">
        <v>7</v>
      </c>
      <c r="B72" t="s">
        <v>173</v>
      </c>
      <c r="F72">
        <v>24.8</v>
      </c>
      <c r="G7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MasterList</vt:lpstr>
      <vt:lpstr>MarsPower</vt:lpstr>
      <vt:lpstr>ISFR and Sparing</vt:lpstr>
      <vt:lpstr>Astronaut_Time</vt:lpstr>
      <vt:lpstr>Descent</vt:lpstr>
      <vt:lpstr>NewTransit</vt:lpstr>
      <vt:lpstr>Lunar_ISRU</vt:lpstr>
      <vt:lpstr>Staging Module</vt:lpstr>
      <vt:lpstr>Site_Selection</vt:lpstr>
      <vt:lpstr>ISRU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2016-03-01T04:19:36Z</dcterms:modified>
</cp:coreProperties>
</file>