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balint_sawyer_epa_gov/Documents/Profile/Documents/Sawyer Balint/RStudio/wickford_cores/data/"/>
    </mc:Choice>
  </mc:AlternateContent>
  <xr:revisionPtr revIDLastSave="64" documentId="13_ncr:1_{CE65E3BD-CAF7-4644-99DE-5912E97D48E3}" xr6:coauthVersionLast="47" xr6:coauthVersionMax="47" xr10:uidLastSave="{BB73DC78-4566-4186-AE61-FF3FF40F7D66}"/>
  <bookViews>
    <workbookView xWindow="-110" yWindow="-110" windowWidth="19420" windowHeight="10420" xr2:uid="{00000000-000D-0000-FFFF-FFFF00000000}"/>
  </bookViews>
  <sheets>
    <sheet name="Sheet1" sheetId="12" r:id="rId1"/>
    <sheet name="AC2" sheetId="1" r:id="rId2"/>
    <sheet name="M6-deep" sheetId="7" r:id="rId3"/>
    <sheet name="S3-deep" sheetId="9" r:id="rId4"/>
    <sheet name="S3-shallow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6" i="7"/>
  <c r="AN43" i="11"/>
  <c r="AO43" i="11" s="1"/>
  <c r="AM43" i="11"/>
  <c r="AP43" i="11" s="1"/>
  <c r="AQ42" i="11" s="1"/>
  <c r="AJ43" i="11"/>
  <c r="AN42" i="11"/>
  <c r="AO42" i="11" s="1"/>
  <c r="AM42" i="11"/>
  <c r="AP42" i="11" s="1"/>
  <c r="AJ42" i="11"/>
  <c r="AN41" i="11"/>
  <c r="AO41" i="11" s="1"/>
  <c r="AM41" i="11"/>
  <c r="AP41" i="11" s="1"/>
  <c r="AJ41" i="11"/>
  <c r="AN40" i="11"/>
  <c r="AO40" i="11" s="1"/>
  <c r="AM40" i="11"/>
  <c r="AP40" i="11" s="1"/>
  <c r="AJ40" i="11"/>
  <c r="AN39" i="11"/>
  <c r="AO39" i="11" s="1"/>
  <c r="AM39" i="11"/>
  <c r="AP39" i="11" s="1"/>
  <c r="AJ39" i="11"/>
  <c r="AN38" i="11"/>
  <c r="AO38" i="11" s="1"/>
  <c r="AM38" i="11"/>
  <c r="AP38" i="11" s="1"/>
  <c r="AJ38" i="11"/>
  <c r="AN37" i="11"/>
  <c r="AO37" i="11" s="1"/>
  <c r="AM37" i="11"/>
  <c r="AP37" i="11" s="1"/>
  <c r="AJ37" i="11"/>
  <c r="AN36" i="11"/>
  <c r="AO36" i="11" s="1"/>
  <c r="AM36" i="11"/>
  <c r="AP36" i="11" s="1"/>
  <c r="AJ36" i="11"/>
  <c r="AN35" i="11"/>
  <c r="AO35" i="11" s="1"/>
  <c r="AM35" i="11"/>
  <c r="AP35" i="11" s="1"/>
  <c r="AJ35" i="11"/>
  <c r="AN34" i="11"/>
  <c r="AO34" i="11" s="1"/>
  <c r="AM34" i="11"/>
  <c r="AP34" i="11" s="1"/>
  <c r="AJ34" i="11"/>
  <c r="AG33" i="11"/>
  <c r="AT31" i="11"/>
  <c r="AV33" i="11" s="1"/>
  <c r="AN31" i="11"/>
  <c r="K31" i="11"/>
  <c r="AN29" i="11"/>
  <c r="AO29" i="11" s="1"/>
  <c r="AM29" i="11"/>
  <c r="AP29" i="11" s="1"/>
  <c r="AJ29" i="11"/>
  <c r="Q29" i="11"/>
  <c r="P29" i="11"/>
  <c r="M29" i="11"/>
  <c r="L29" i="11"/>
  <c r="G29" i="11"/>
  <c r="H29" i="11" s="1"/>
  <c r="F29" i="11"/>
  <c r="AN28" i="11"/>
  <c r="AO28" i="11" s="1"/>
  <c r="AM28" i="11"/>
  <c r="AP28" i="11" s="1"/>
  <c r="AJ28" i="11"/>
  <c r="M28" i="11"/>
  <c r="I28" i="11"/>
  <c r="Q28" i="11" s="1"/>
  <c r="G28" i="11"/>
  <c r="H28" i="11" s="1"/>
  <c r="F28" i="11"/>
  <c r="AN27" i="11"/>
  <c r="AO27" i="11" s="1"/>
  <c r="AM27" i="11"/>
  <c r="AP27" i="11" s="1"/>
  <c r="AJ27" i="11"/>
  <c r="M27" i="11"/>
  <c r="I27" i="11"/>
  <c r="Q27" i="11" s="1"/>
  <c r="G27" i="11"/>
  <c r="H27" i="11" s="1"/>
  <c r="F27" i="11"/>
  <c r="AN26" i="11"/>
  <c r="AO26" i="11" s="1"/>
  <c r="AM26" i="11"/>
  <c r="AP26" i="11" s="1"/>
  <c r="AJ26" i="11"/>
  <c r="M26" i="11"/>
  <c r="I26" i="11"/>
  <c r="P26" i="11" s="1"/>
  <c r="G26" i="11"/>
  <c r="H26" i="11" s="1"/>
  <c r="F26" i="11"/>
  <c r="AN25" i="11"/>
  <c r="AO25" i="11" s="1"/>
  <c r="AM25" i="11"/>
  <c r="AP25" i="11" s="1"/>
  <c r="AJ25" i="11"/>
  <c r="M25" i="11"/>
  <c r="I25" i="11"/>
  <c r="Q25" i="11" s="1"/>
  <c r="G25" i="11"/>
  <c r="H25" i="11" s="1"/>
  <c r="F25" i="11"/>
  <c r="AN24" i="11"/>
  <c r="AO24" i="11" s="1"/>
  <c r="AM24" i="11"/>
  <c r="AP24" i="11" s="1"/>
  <c r="AJ24" i="11"/>
  <c r="M24" i="11"/>
  <c r="I24" i="11"/>
  <c r="L24" i="11" s="1"/>
  <c r="G24" i="11"/>
  <c r="H24" i="11" s="1"/>
  <c r="F24" i="11"/>
  <c r="AN23" i="11"/>
  <c r="AO23" i="11" s="1"/>
  <c r="AM23" i="11"/>
  <c r="AP23" i="11" s="1"/>
  <c r="AJ23" i="11"/>
  <c r="M23" i="11"/>
  <c r="I23" i="11"/>
  <c r="P23" i="11" s="1"/>
  <c r="G23" i="11"/>
  <c r="H23" i="11" s="1"/>
  <c r="F23" i="11"/>
  <c r="AN22" i="11"/>
  <c r="AO22" i="11" s="1"/>
  <c r="AM22" i="11"/>
  <c r="AP22" i="11" s="1"/>
  <c r="AJ22" i="11"/>
  <c r="M22" i="11"/>
  <c r="I22" i="11"/>
  <c r="Q22" i="11" s="1"/>
  <c r="G22" i="11"/>
  <c r="H22" i="11" s="1"/>
  <c r="F22" i="11"/>
  <c r="AN21" i="11"/>
  <c r="AO21" i="11" s="1"/>
  <c r="AM21" i="11"/>
  <c r="AP21" i="11" s="1"/>
  <c r="AJ21" i="11"/>
  <c r="M21" i="11"/>
  <c r="I21" i="11"/>
  <c r="Q21" i="11" s="1"/>
  <c r="G21" i="11"/>
  <c r="H21" i="11" s="1"/>
  <c r="F21" i="11"/>
  <c r="AN20" i="11"/>
  <c r="AO20" i="11" s="1"/>
  <c r="AM20" i="11"/>
  <c r="AP20" i="11" s="1"/>
  <c r="AJ20" i="11"/>
  <c r="M20" i="11"/>
  <c r="I20" i="11"/>
  <c r="L20" i="11" s="1"/>
  <c r="G20" i="11"/>
  <c r="H20" i="11" s="1"/>
  <c r="F20" i="11"/>
  <c r="AN19" i="11"/>
  <c r="AO19" i="11" s="1"/>
  <c r="AM19" i="11"/>
  <c r="AP19" i="11" s="1"/>
  <c r="AJ19" i="11"/>
  <c r="M19" i="11"/>
  <c r="I19" i="11"/>
  <c r="Q19" i="11" s="1"/>
  <c r="G19" i="11"/>
  <c r="H19" i="11" s="1"/>
  <c r="F19" i="11"/>
  <c r="AN18" i="11"/>
  <c r="AO18" i="11" s="1"/>
  <c r="AM18" i="11"/>
  <c r="AP18" i="11" s="1"/>
  <c r="AJ18" i="11"/>
  <c r="M18" i="11"/>
  <c r="I18" i="11"/>
  <c r="Q18" i="11" s="1"/>
  <c r="G18" i="11"/>
  <c r="H18" i="11" s="1"/>
  <c r="F18" i="11"/>
  <c r="AN17" i="11"/>
  <c r="AO17" i="11" s="1"/>
  <c r="AM17" i="11"/>
  <c r="AP17" i="11" s="1"/>
  <c r="AQ16" i="11" s="1"/>
  <c r="AJ17" i="11"/>
  <c r="M17" i="11"/>
  <c r="I17" i="11"/>
  <c r="L17" i="11" s="1"/>
  <c r="G17" i="11"/>
  <c r="H17" i="11" s="1"/>
  <c r="F17" i="11"/>
  <c r="AN16" i="11"/>
  <c r="AO16" i="11" s="1"/>
  <c r="AM16" i="11"/>
  <c r="AP16" i="11" s="1"/>
  <c r="AJ16" i="11"/>
  <c r="M16" i="11"/>
  <c r="I16" i="11"/>
  <c r="P16" i="11" s="1"/>
  <c r="G16" i="11"/>
  <c r="H16" i="11" s="1"/>
  <c r="F16" i="11"/>
  <c r="AN15" i="11"/>
  <c r="AO15" i="11" s="1"/>
  <c r="AM15" i="11"/>
  <c r="AP15" i="11" s="1"/>
  <c r="AJ15" i="11"/>
  <c r="M15" i="11"/>
  <c r="I15" i="11"/>
  <c r="P15" i="11" s="1"/>
  <c r="G15" i="11"/>
  <c r="H15" i="11" s="1"/>
  <c r="F15" i="11"/>
  <c r="AN14" i="11"/>
  <c r="AO14" i="11" s="1"/>
  <c r="AM14" i="11"/>
  <c r="AP14" i="11" s="1"/>
  <c r="AJ14" i="11"/>
  <c r="M14" i="11"/>
  <c r="I14" i="11"/>
  <c r="Q14" i="11" s="1"/>
  <c r="G14" i="11"/>
  <c r="H14" i="11" s="1"/>
  <c r="F14" i="11"/>
  <c r="AN13" i="11"/>
  <c r="AO13" i="11" s="1"/>
  <c r="AM13" i="11"/>
  <c r="AP13" i="11" s="1"/>
  <c r="AJ13" i="11"/>
  <c r="M13" i="11"/>
  <c r="I13" i="11"/>
  <c r="L13" i="11" s="1"/>
  <c r="G13" i="11"/>
  <c r="H13" i="11" s="1"/>
  <c r="F13" i="11"/>
  <c r="AN12" i="11"/>
  <c r="AO12" i="11" s="1"/>
  <c r="AM12" i="11"/>
  <c r="AP12" i="11" s="1"/>
  <c r="AJ12" i="11"/>
  <c r="M12" i="11"/>
  <c r="I12" i="11"/>
  <c r="Q12" i="11" s="1"/>
  <c r="G12" i="11"/>
  <c r="H12" i="11" s="1"/>
  <c r="F12" i="11"/>
  <c r="AN11" i="11"/>
  <c r="AO11" i="11" s="1"/>
  <c r="AM11" i="11"/>
  <c r="AP11" i="11" s="1"/>
  <c r="AJ11" i="11"/>
  <c r="M11" i="11"/>
  <c r="I11" i="11"/>
  <c r="P11" i="11" s="1"/>
  <c r="G11" i="11"/>
  <c r="H11" i="11" s="1"/>
  <c r="F11" i="11"/>
  <c r="AN10" i="11"/>
  <c r="AO10" i="11" s="1"/>
  <c r="AM10" i="11"/>
  <c r="AP10" i="11" s="1"/>
  <c r="AJ10" i="11"/>
  <c r="M10" i="11"/>
  <c r="I10" i="11"/>
  <c r="L10" i="11" s="1"/>
  <c r="G10" i="11"/>
  <c r="H10" i="11" s="1"/>
  <c r="F10" i="11"/>
  <c r="AN9" i="11"/>
  <c r="AO9" i="11" s="1"/>
  <c r="AM9" i="11"/>
  <c r="AP9" i="11" s="1"/>
  <c r="AJ9" i="11"/>
  <c r="M9" i="11"/>
  <c r="I9" i="11"/>
  <c r="Q9" i="11" s="1"/>
  <c r="G9" i="11"/>
  <c r="H9" i="11" s="1"/>
  <c r="F9" i="11"/>
  <c r="AN8" i="11"/>
  <c r="AO8" i="11" s="1"/>
  <c r="AM8" i="11"/>
  <c r="AP8" i="11" s="1"/>
  <c r="AJ8" i="11"/>
  <c r="M8" i="11"/>
  <c r="I8" i="11"/>
  <c r="Q8" i="11" s="1"/>
  <c r="G8" i="11"/>
  <c r="H8" i="11" s="1"/>
  <c r="F8" i="11"/>
  <c r="AN7" i="11"/>
  <c r="AO7" i="11" s="1"/>
  <c r="AM7" i="11"/>
  <c r="AP7" i="11" s="1"/>
  <c r="AJ7" i="11"/>
  <c r="M7" i="11"/>
  <c r="I7" i="11"/>
  <c r="P7" i="11" s="1"/>
  <c r="G7" i="11"/>
  <c r="H7" i="11" s="1"/>
  <c r="F7" i="11"/>
  <c r="AN6" i="11"/>
  <c r="AO6" i="11" s="1"/>
  <c r="AM6" i="11"/>
  <c r="AP6" i="11" s="1"/>
  <c r="AJ6" i="11"/>
  <c r="M6" i="11"/>
  <c r="I6" i="11"/>
  <c r="Q6" i="11" s="1"/>
  <c r="G6" i="11"/>
  <c r="H6" i="11" s="1"/>
  <c r="F6" i="11"/>
  <c r="AG5" i="11"/>
  <c r="AT2" i="11"/>
  <c r="AT5" i="11" s="1"/>
  <c r="AN2" i="11"/>
  <c r="K32" i="9"/>
  <c r="K36" i="7"/>
  <c r="AN45" i="9"/>
  <c r="AO45" i="9" s="1"/>
  <c r="AM45" i="9"/>
  <c r="AP45" i="9" s="1"/>
  <c r="AQ45" i="9" s="1"/>
  <c r="AJ45" i="9"/>
  <c r="AN44" i="9"/>
  <c r="AO44" i="9" s="1"/>
  <c r="AM44" i="9"/>
  <c r="AP44" i="9" s="1"/>
  <c r="AJ44" i="9"/>
  <c r="AN43" i="9"/>
  <c r="AO43" i="9" s="1"/>
  <c r="AM43" i="9"/>
  <c r="AP43" i="9" s="1"/>
  <c r="AJ43" i="9"/>
  <c r="AN42" i="9"/>
  <c r="AO42" i="9" s="1"/>
  <c r="AM42" i="9"/>
  <c r="AP42" i="9" s="1"/>
  <c r="AJ42" i="9"/>
  <c r="AN41" i="9"/>
  <c r="AO41" i="9" s="1"/>
  <c r="AM41" i="9"/>
  <c r="AP41" i="9" s="1"/>
  <c r="AJ41" i="9"/>
  <c r="AN40" i="9"/>
  <c r="AO40" i="9" s="1"/>
  <c r="AM40" i="9"/>
  <c r="AP40" i="9" s="1"/>
  <c r="AJ40" i="9"/>
  <c r="AN39" i="9"/>
  <c r="AO39" i="9" s="1"/>
  <c r="AM39" i="9"/>
  <c r="AP39" i="9" s="1"/>
  <c r="AJ39" i="9"/>
  <c r="AN38" i="9"/>
  <c r="AO38" i="9" s="1"/>
  <c r="AM38" i="9"/>
  <c r="AP38" i="9" s="1"/>
  <c r="AJ38" i="9"/>
  <c r="AN37" i="9"/>
  <c r="AO37" i="9" s="1"/>
  <c r="AM37" i="9"/>
  <c r="AP37" i="9" s="1"/>
  <c r="AJ37" i="9"/>
  <c r="AN36" i="9"/>
  <c r="AO36" i="9" s="1"/>
  <c r="AM36" i="9"/>
  <c r="AP36" i="9" s="1"/>
  <c r="AJ36" i="9"/>
  <c r="AN35" i="9"/>
  <c r="AO35" i="9" s="1"/>
  <c r="AM35" i="9"/>
  <c r="AP35" i="9" s="1"/>
  <c r="AJ35" i="9"/>
  <c r="AG34" i="9"/>
  <c r="AT32" i="9"/>
  <c r="AU34" i="9" s="1"/>
  <c r="AN32" i="9"/>
  <c r="AN19" i="9"/>
  <c r="AO19" i="9" s="1"/>
  <c r="AN20" i="9"/>
  <c r="AO20" i="9" s="1"/>
  <c r="AN21" i="9"/>
  <c r="AO21" i="9" s="1"/>
  <c r="AN22" i="9"/>
  <c r="AO22" i="9" s="1"/>
  <c r="AN23" i="9"/>
  <c r="AO23" i="9" s="1"/>
  <c r="AN24" i="9"/>
  <c r="AO24" i="9" s="1"/>
  <c r="AN25" i="9"/>
  <c r="AO25" i="9" s="1"/>
  <c r="AN26" i="9"/>
  <c r="AO26" i="9" s="1"/>
  <c r="AN27" i="9"/>
  <c r="AO27" i="9" s="1"/>
  <c r="AN28" i="9"/>
  <c r="AO28" i="9" s="1"/>
  <c r="AN29" i="9"/>
  <c r="AO29" i="9" s="1"/>
  <c r="AN30" i="9"/>
  <c r="AO30" i="9" s="1"/>
  <c r="AM18" i="9"/>
  <c r="AP18" i="9" s="1"/>
  <c r="AM19" i="9"/>
  <c r="AP19" i="9" s="1"/>
  <c r="AM20" i="9"/>
  <c r="AP20" i="9" s="1"/>
  <c r="AM21" i="9"/>
  <c r="AP21" i="9" s="1"/>
  <c r="AM22" i="9"/>
  <c r="AP22" i="9" s="1"/>
  <c r="AM23" i="9"/>
  <c r="AP23" i="9" s="1"/>
  <c r="AM24" i="9"/>
  <c r="AP24" i="9" s="1"/>
  <c r="AM25" i="9"/>
  <c r="AP25" i="9" s="1"/>
  <c r="AM26" i="9"/>
  <c r="AP26" i="9" s="1"/>
  <c r="AM27" i="9"/>
  <c r="AP27" i="9" s="1"/>
  <c r="AM28" i="9"/>
  <c r="AP28" i="9" s="1"/>
  <c r="AM29" i="9"/>
  <c r="AP29" i="9" s="1"/>
  <c r="AM30" i="9"/>
  <c r="AP30" i="9" s="1"/>
  <c r="AM17" i="9"/>
  <c r="AJ13" i="9"/>
  <c r="AM13" i="9"/>
  <c r="AP13" i="9" s="1"/>
  <c r="AN13" i="9"/>
  <c r="AO13" i="9" s="1"/>
  <c r="AJ14" i="9"/>
  <c r="AM14" i="9"/>
  <c r="AP14" i="9" s="1"/>
  <c r="AN14" i="9"/>
  <c r="AO14" i="9" s="1"/>
  <c r="AG6" i="9"/>
  <c r="I29" i="9"/>
  <c r="Q29" i="9" s="1"/>
  <c r="I28" i="9"/>
  <c r="Q28" i="9" s="1"/>
  <c r="I11" i="9"/>
  <c r="P11" i="9" s="1"/>
  <c r="I12" i="9"/>
  <c r="P12" i="9" s="1"/>
  <c r="I13" i="9"/>
  <c r="P13" i="9" s="1"/>
  <c r="I14" i="9"/>
  <c r="L14" i="9" s="1"/>
  <c r="I15" i="9"/>
  <c r="Q15" i="9" s="1"/>
  <c r="I16" i="9"/>
  <c r="I17" i="9"/>
  <c r="Q17" i="9" s="1"/>
  <c r="I18" i="9"/>
  <c r="Q18" i="9" s="1"/>
  <c r="I19" i="9"/>
  <c r="Q19" i="9" s="1"/>
  <c r="I20" i="9"/>
  <c r="Q20" i="9" s="1"/>
  <c r="I21" i="9"/>
  <c r="Q21" i="9" s="1"/>
  <c r="I22" i="9"/>
  <c r="P22" i="9" s="1"/>
  <c r="I23" i="9"/>
  <c r="Q23" i="9" s="1"/>
  <c r="I24" i="9"/>
  <c r="P24" i="9" s="1"/>
  <c r="I25" i="9"/>
  <c r="L25" i="9" s="1"/>
  <c r="I26" i="9"/>
  <c r="Q26" i="9" s="1"/>
  <c r="I27" i="9"/>
  <c r="L27" i="9" s="1"/>
  <c r="I10" i="9"/>
  <c r="Q10" i="9" s="1"/>
  <c r="I9" i="9"/>
  <c r="Q9" i="9" s="1"/>
  <c r="I8" i="9"/>
  <c r="L8" i="9" s="1"/>
  <c r="I7" i="9"/>
  <c r="Q7" i="9" s="1"/>
  <c r="AJ30" i="9"/>
  <c r="M30" i="9"/>
  <c r="Q30" i="9"/>
  <c r="G30" i="9"/>
  <c r="H30" i="9" s="1"/>
  <c r="F30" i="9"/>
  <c r="AJ29" i="9"/>
  <c r="M29" i="9"/>
  <c r="G29" i="9"/>
  <c r="H29" i="9" s="1"/>
  <c r="F29" i="9"/>
  <c r="AJ28" i="9"/>
  <c r="M28" i="9"/>
  <c r="G28" i="9"/>
  <c r="H28" i="9" s="1"/>
  <c r="F28" i="9"/>
  <c r="AJ27" i="9"/>
  <c r="M27" i="9"/>
  <c r="G27" i="9"/>
  <c r="H27" i="9" s="1"/>
  <c r="F27" i="9"/>
  <c r="AJ26" i="9"/>
  <c r="M26" i="9"/>
  <c r="G26" i="9"/>
  <c r="H26" i="9" s="1"/>
  <c r="F26" i="9"/>
  <c r="AJ25" i="9"/>
  <c r="M25" i="9"/>
  <c r="G25" i="9"/>
  <c r="H25" i="9" s="1"/>
  <c r="F25" i="9"/>
  <c r="AJ24" i="9"/>
  <c r="M24" i="9"/>
  <c r="G24" i="9"/>
  <c r="H24" i="9" s="1"/>
  <c r="F24" i="9"/>
  <c r="AJ23" i="9"/>
  <c r="M23" i="9"/>
  <c r="G23" i="9"/>
  <c r="H23" i="9" s="1"/>
  <c r="F23" i="9"/>
  <c r="AJ22" i="9"/>
  <c r="M22" i="9"/>
  <c r="G22" i="9"/>
  <c r="H22" i="9" s="1"/>
  <c r="F22" i="9"/>
  <c r="AJ21" i="9"/>
  <c r="M21" i="9"/>
  <c r="G21" i="9"/>
  <c r="H21" i="9" s="1"/>
  <c r="F21" i="9"/>
  <c r="AJ20" i="9"/>
  <c r="M20" i="9"/>
  <c r="G20" i="9"/>
  <c r="H20" i="9" s="1"/>
  <c r="F20" i="9"/>
  <c r="AJ19" i="9"/>
  <c r="M19" i="9"/>
  <c r="G19" i="9"/>
  <c r="H19" i="9" s="1"/>
  <c r="F19" i="9"/>
  <c r="AN18" i="9"/>
  <c r="AO18" i="9" s="1"/>
  <c r="AJ18" i="9"/>
  <c r="M18" i="9"/>
  <c r="G18" i="9"/>
  <c r="H18" i="9" s="1"/>
  <c r="F18" i="9"/>
  <c r="AN17" i="9"/>
  <c r="AO17" i="9" s="1"/>
  <c r="AP17" i="9"/>
  <c r="AJ17" i="9"/>
  <c r="M17" i="9"/>
  <c r="G17" i="9"/>
  <c r="H17" i="9" s="1"/>
  <c r="F17" i="9"/>
  <c r="AN16" i="9"/>
  <c r="AO16" i="9" s="1"/>
  <c r="AM16" i="9"/>
  <c r="AP16" i="9" s="1"/>
  <c r="AJ16" i="9"/>
  <c r="M16" i="9"/>
  <c r="L16" i="9"/>
  <c r="G16" i="9"/>
  <c r="H16" i="9" s="1"/>
  <c r="F16" i="9"/>
  <c r="AN15" i="9"/>
  <c r="AO15" i="9" s="1"/>
  <c r="AM15" i="9"/>
  <c r="AP15" i="9" s="1"/>
  <c r="AJ15" i="9"/>
  <c r="M15" i="9"/>
  <c r="G15" i="9"/>
  <c r="H15" i="9" s="1"/>
  <c r="F15" i="9"/>
  <c r="M14" i="9"/>
  <c r="G14" i="9"/>
  <c r="H14" i="9" s="1"/>
  <c r="F14" i="9"/>
  <c r="M13" i="9"/>
  <c r="G13" i="9"/>
  <c r="H13" i="9" s="1"/>
  <c r="F13" i="9"/>
  <c r="AN12" i="9"/>
  <c r="AO12" i="9" s="1"/>
  <c r="AM12" i="9"/>
  <c r="AP12" i="9" s="1"/>
  <c r="AJ12" i="9"/>
  <c r="M12" i="9"/>
  <c r="G12" i="9"/>
  <c r="H12" i="9" s="1"/>
  <c r="F12" i="9"/>
  <c r="AN11" i="9"/>
  <c r="AO11" i="9" s="1"/>
  <c r="AM11" i="9"/>
  <c r="AP11" i="9" s="1"/>
  <c r="AJ11" i="9"/>
  <c r="M11" i="9"/>
  <c r="G11" i="9"/>
  <c r="H11" i="9" s="1"/>
  <c r="F11" i="9"/>
  <c r="AN10" i="9"/>
  <c r="AO10" i="9" s="1"/>
  <c r="AM10" i="9"/>
  <c r="AP10" i="9" s="1"/>
  <c r="AJ10" i="9"/>
  <c r="M10" i="9"/>
  <c r="G10" i="9"/>
  <c r="H10" i="9" s="1"/>
  <c r="F10" i="9"/>
  <c r="AN9" i="9"/>
  <c r="AO9" i="9" s="1"/>
  <c r="AM9" i="9"/>
  <c r="AP9" i="9" s="1"/>
  <c r="AJ9" i="9"/>
  <c r="M9" i="9"/>
  <c r="G9" i="9"/>
  <c r="H9" i="9" s="1"/>
  <c r="F9" i="9"/>
  <c r="AN8" i="9"/>
  <c r="AO8" i="9" s="1"/>
  <c r="AM8" i="9"/>
  <c r="AP8" i="9" s="1"/>
  <c r="AJ8" i="9"/>
  <c r="M8" i="9"/>
  <c r="G8" i="9"/>
  <c r="H8" i="9" s="1"/>
  <c r="F8" i="9"/>
  <c r="AN7" i="9"/>
  <c r="AO7" i="9" s="1"/>
  <c r="AM7" i="9"/>
  <c r="AP7" i="9" s="1"/>
  <c r="AJ7" i="9"/>
  <c r="M7" i="9"/>
  <c r="G7" i="9"/>
  <c r="H7" i="9" s="1"/>
  <c r="F7" i="9"/>
  <c r="AT2" i="9"/>
  <c r="AT6" i="9" s="1"/>
  <c r="AN2" i="9"/>
  <c r="AW40" i="7"/>
  <c r="AZ40" i="7" s="1"/>
  <c r="AX40" i="7"/>
  <c r="BA40" i="7" s="1"/>
  <c r="AY40" i="7"/>
  <c r="BB40" i="7" s="1"/>
  <c r="AW41" i="7"/>
  <c r="AZ41" i="7" s="1"/>
  <c r="AX41" i="7"/>
  <c r="BA41" i="7" s="1"/>
  <c r="AY41" i="7"/>
  <c r="BB41" i="7" s="1"/>
  <c r="AW42" i="7"/>
  <c r="AZ42" i="7" s="1"/>
  <c r="AX42" i="7"/>
  <c r="BA42" i="7" s="1"/>
  <c r="AY42" i="7"/>
  <c r="BB42" i="7"/>
  <c r="AW43" i="7"/>
  <c r="AZ43" i="7" s="1"/>
  <c r="AX43" i="7"/>
  <c r="BA43" i="7" s="1"/>
  <c r="AY43" i="7"/>
  <c r="BB43" i="7" s="1"/>
  <c r="AW44" i="7"/>
  <c r="AZ44" i="7" s="1"/>
  <c r="AX44" i="7"/>
  <c r="BA44" i="7" s="1"/>
  <c r="AY44" i="7"/>
  <c r="BB44" i="7" s="1"/>
  <c r="AW45" i="7"/>
  <c r="AZ45" i="7" s="1"/>
  <c r="AX45" i="7"/>
  <c r="BA45" i="7" s="1"/>
  <c r="AY45" i="7"/>
  <c r="BB45" i="7"/>
  <c r="AW46" i="7"/>
  <c r="AZ46" i="7" s="1"/>
  <c r="AX46" i="7"/>
  <c r="BA46" i="7" s="1"/>
  <c r="AY46" i="7"/>
  <c r="BB46" i="7"/>
  <c r="AW47" i="7"/>
  <c r="AZ47" i="7" s="1"/>
  <c r="AX47" i="7"/>
  <c r="AY47" i="7"/>
  <c r="BA47" i="7"/>
  <c r="BB47" i="7"/>
  <c r="AW48" i="7"/>
  <c r="AZ48" i="7" s="1"/>
  <c r="AX48" i="7"/>
  <c r="BA48" i="7" s="1"/>
  <c r="AY48" i="7"/>
  <c r="BB48" i="7" s="1"/>
  <c r="AW49" i="7"/>
  <c r="AZ49" i="7" s="1"/>
  <c r="AX49" i="7"/>
  <c r="BA49" i="7" s="1"/>
  <c r="AY49" i="7"/>
  <c r="BB49" i="7" s="1"/>
  <c r="AW50" i="7"/>
  <c r="AZ50" i="7" s="1"/>
  <c r="AX50" i="7"/>
  <c r="BA50" i="7" s="1"/>
  <c r="AY50" i="7"/>
  <c r="BB50" i="7"/>
  <c r="AY39" i="7"/>
  <c r="BB39" i="7" s="1"/>
  <c r="AX39" i="7"/>
  <c r="BA39" i="7" s="1"/>
  <c r="AW39" i="7"/>
  <c r="AZ39" i="7" s="1"/>
  <c r="AN19" i="7"/>
  <c r="AO19" i="7" s="1"/>
  <c r="AN20" i="7"/>
  <c r="AO20" i="7" s="1"/>
  <c r="AN21" i="7"/>
  <c r="AO21" i="7" s="1"/>
  <c r="AN22" i="7"/>
  <c r="AO22" i="7" s="1"/>
  <c r="AN23" i="7"/>
  <c r="AO23" i="7" s="1"/>
  <c r="AN24" i="7"/>
  <c r="AO24" i="7" s="1"/>
  <c r="AN25" i="7"/>
  <c r="AO25" i="7" s="1"/>
  <c r="AN26" i="7"/>
  <c r="AO26" i="7" s="1"/>
  <c r="AN27" i="7"/>
  <c r="AO27" i="7" s="1"/>
  <c r="AM16" i="7"/>
  <c r="AP16" i="7" s="1"/>
  <c r="AM17" i="7"/>
  <c r="AP17" i="7" s="1"/>
  <c r="AM18" i="7"/>
  <c r="AP18" i="7" s="1"/>
  <c r="AM19" i="7"/>
  <c r="AP19" i="7" s="1"/>
  <c r="AM20" i="7"/>
  <c r="AP20" i="7" s="1"/>
  <c r="AM21" i="7"/>
  <c r="AP21" i="7" s="1"/>
  <c r="AM22" i="7"/>
  <c r="AP22" i="7" s="1"/>
  <c r="AM23" i="7"/>
  <c r="AP23" i="7" s="1"/>
  <c r="AM24" i="7"/>
  <c r="AP24" i="7" s="1"/>
  <c r="AM25" i="7"/>
  <c r="AP25" i="7" s="1"/>
  <c r="AM26" i="7"/>
  <c r="AP26" i="7" s="1"/>
  <c r="AM27" i="7"/>
  <c r="AP27" i="7" s="1"/>
  <c r="AQ26" i="7" s="1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I10" i="7"/>
  <c r="Q10" i="7" s="1"/>
  <c r="I11" i="7"/>
  <c r="P11" i="7" s="1"/>
  <c r="I12" i="7"/>
  <c r="P12" i="7" s="1"/>
  <c r="I13" i="7"/>
  <c r="P13" i="7" s="1"/>
  <c r="I14" i="7"/>
  <c r="L14" i="7" s="1"/>
  <c r="I15" i="7"/>
  <c r="P15" i="7" s="1"/>
  <c r="I16" i="7"/>
  <c r="Q16" i="7" s="1"/>
  <c r="I17" i="7"/>
  <c r="Q17" i="7" s="1"/>
  <c r="I18" i="7"/>
  <c r="Q18" i="7" s="1"/>
  <c r="I19" i="7"/>
  <c r="Q19" i="7" s="1"/>
  <c r="I20" i="7"/>
  <c r="Q20" i="7" s="1"/>
  <c r="I21" i="7"/>
  <c r="Q21" i="7" s="1"/>
  <c r="I22" i="7"/>
  <c r="Q22" i="7" s="1"/>
  <c r="I23" i="7"/>
  <c r="L23" i="7" s="1"/>
  <c r="I24" i="7"/>
  <c r="P24" i="7" s="1"/>
  <c r="I25" i="7"/>
  <c r="Q25" i="7" s="1"/>
  <c r="I26" i="7"/>
  <c r="Q26" i="7" s="1"/>
  <c r="I27" i="7"/>
  <c r="Q27" i="7" s="1"/>
  <c r="I28" i="7"/>
  <c r="P28" i="7" s="1"/>
  <c r="I29" i="7"/>
  <c r="Q29" i="7" s="1"/>
  <c r="I30" i="7"/>
  <c r="Q30" i="7" s="1"/>
  <c r="I31" i="7"/>
  <c r="Q31" i="7" s="1"/>
  <c r="I32" i="7"/>
  <c r="Q32" i="7" s="1"/>
  <c r="I33" i="7"/>
  <c r="Q33" i="7" s="1"/>
  <c r="I34" i="7"/>
  <c r="Q34" i="7" s="1"/>
  <c r="I9" i="7"/>
  <c r="P9" i="7" s="1"/>
  <c r="I8" i="7"/>
  <c r="Q8" i="7" s="1"/>
  <c r="I7" i="7"/>
  <c r="Q7" i="7" s="1"/>
  <c r="M34" i="7"/>
  <c r="G34" i="7"/>
  <c r="H34" i="7" s="1"/>
  <c r="F34" i="7"/>
  <c r="M33" i="7"/>
  <c r="G33" i="7"/>
  <c r="H33" i="7" s="1"/>
  <c r="F33" i="7"/>
  <c r="M32" i="7"/>
  <c r="G32" i="7"/>
  <c r="H32" i="7" s="1"/>
  <c r="F32" i="7"/>
  <c r="M31" i="7"/>
  <c r="G31" i="7"/>
  <c r="H31" i="7" s="1"/>
  <c r="F31" i="7"/>
  <c r="M30" i="7"/>
  <c r="G30" i="7"/>
  <c r="H30" i="7" s="1"/>
  <c r="F30" i="7"/>
  <c r="M29" i="7"/>
  <c r="G29" i="7"/>
  <c r="H29" i="7" s="1"/>
  <c r="F29" i="7"/>
  <c r="M28" i="7"/>
  <c r="G28" i="7"/>
  <c r="H28" i="7" s="1"/>
  <c r="F28" i="7"/>
  <c r="M27" i="7"/>
  <c r="G27" i="7"/>
  <c r="H27" i="7" s="1"/>
  <c r="F27" i="7"/>
  <c r="M26" i="7"/>
  <c r="G26" i="7"/>
  <c r="H26" i="7" s="1"/>
  <c r="F26" i="7"/>
  <c r="M25" i="7"/>
  <c r="G25" i="7"/>
  <c r="H25" i="7" s="1"/>
  <c r="F25" i="7"/>
  <c r="M24" i="7"/>
  <c r="G24" i="7"/>
  <c r="H24" i="7" s="1"/>
  <c r="F24" i="7"/>
  <c r="Q23" i="7"/>
  <c r="M23" i="7"/>
  <c r="G23" i="7"/>
  <c r="H23" i="7" s="1"/>
  <c r="F23" i="7"/>
  <c r="M22" i="7"/>
  <c r="G22" i="7"/>
  <c r="H22" i="7" s="1"/>
  <c r="F22" i="7"/>
  <c r="M21" i="7"/>
  <c r="G21" i="7"/>
  <c r="H21" i="7" s="1"/>
  <c r="F21" i="7"/>
  <c r="M20" i="7"/>
  <c r="G20" i="7"/>
  <c r="H20" i="7" s="1"/>
  <c r="F20" i="7"/>
  <c r="M19" i="7"/>
  <c r="G19" i="7"/>
  <c r="H19" i="7" s="1"/>
  <c r="F19" i="7"/>
  <c r="AN18" i="7"/>
  <c r="AO18" i="7" s="1"/>
  <c r="M18" i="7"/>
  <c r="G18" i="7"/>
  <c r="H18" i="7" s="1"/>
  <c r="F18" i="7"/>
  <c r="AN17" i="7"/>
  <c r="AO17" i="7" s="1"/>
  <c r="M17" i="7"/>
  <c r="G17" i="7"/>
  <c r="H17" i="7" s="1"/>
  <c r="F17" i="7"/>
  <c r="AN16" i="7"/>
  <c r="AO16" i="7" s="1"/>
  <c r="M16" i="7"/>
  <c r="G16" i="7"/>
  <c r="H16" i="7" s="1"/>
  <c r="F16" i="7"/>
  <c r="AN15" i="7"/>
  <c r="AO15" i="7" s="1"/>
  <c r="AM15" i="7"/>
  <c r="AP15" i="7" s="1"/>
  <c r="M15" i="7"/>
  <c r="G15" i="7"/>
  <c r="H15" i="7" s="1"/>
  <c r="F15" i="7"/>
  <c r="AN14" i="7"/>
  <c r="AO14" i="7" s="1"/>
  <c r="AM14" i="7"/>
  <c r="AP14" i="7" s="1"/>
  <c r="M14" i="7"/>
  <c r="G14" i="7"/>
  <c r="H14" i="7" s="1"/>
  <c r="F14" i="7"/>
  <c r="AN13" i="7"/>
  <c r="AO13" i="7" s="1"/>
  <c r="AM13" i="7"/>
  <c r="AP13" i="7" s="1"/>
  <c r="M13" i="7"/>
  <c r="G13" i="7"/>
  <c r="H13" i="7" s="1"/>
  <c r="F13" i="7"/>
  <c r="AN12" i="7"/>
  <c r="AO12" i="7" s="1"/>
  <c r="AM12" i="7"/>
  <c r="AP12" i="7" s="1"/>
  <c r="M12" i="7"/>
  <c r="G12" i="7"/>
  <c r="H12" i="7" s="1"/>
  <c r="F12" i="7"/>
  <c r="AN11" i="7"/>
  <c r="AO11" i="7" s="1"/>
  <c r="AM11" i="7"/>
  <c r="AP11" i="7" s="1"/>
  <c r="M11" i="7"/>
  <c r="G11" i="7"/>
  <c r="H11" i="7" s="1"/>
  <c r="F11" i="7"/>
  <c r="AN10" i="7"/>
  <c r="AO10" i="7" s="1"/>
  <c r="AM10" i="7"/>
  <c r="AP10" i="7" s="1"/>
  <c r="M10" i="7"/>
  <c r="G10" i="7"/>
  <c r="H10" i="7" s="1"/>
  <c r="F10" i="7"/>
  <c r="AN9" i="7"/>
  <c r="AO9" i="7" s="1"/>
  <c r="AM9" i="7"/>
  <c r="AP9" i="7" s="1"/>
  <c r="M9" i="7"/>
  <c r="G9" i="7"/>
  <c r="H9" i="7" s="1"/>
  <c r="F9" i="7"/>
  <c r="AN8" i="7"/>
  <c r="AO8" i="7" s="1"/>
  <c r="AM8" i="7"/>
  <c r="AP8" i="7" s="1"/>
  <c r="M8" i="7"/>
  <c r="G8" i="7"/>
  <c r="H8" i="7" s="1"/>
  <c r="F8" i="7"/>
  <c r="AN7" i="7"/>
  <c r="AO7" i="7" s="1"/>
  <c r="AM7" i="7"/>
  <c r="AP7" i="7" s="1"/>
  <c r="M7" i="7"/>
  <c r="G7" i="7"/>
  <c r="H7" i="7" s="1"/>
  <c r="F7" i="7"/>
  <c r="AT2" i="7"/>
  <c r="AN2" i="7"/>
  <c r="K36" i="1"/>
  <c r="R2" i="1"/>
  <c r="AP17" i="1"/>
  <c r="AQ16" i="1" s="1"/>
  <c r="AV5" i="1"/>
  <c r="AT2" i="1"/>
  <c r="AU5" i="1" s="1"/>
  <c r="AQ18" i="1"/>
  <c r="AP7" i="1"/>
  <c r="AP16" i="1"/>
  <c r="AQ15" i="1" s="1"/>
  <c r="AP18" i="1"/>
  <c r="AO7" i="1"/>
  <c r="AO11" i="1"/>
  <c r="AO12" i="1"/>
  <c r="AO18" i="1"/>
  <c r="AN7" i="1"/>
  <c r="AN8" i="1"/>
  <c r="AO8" i="1" s="1"/>
  <c r="AN9" i="1"/>
  <c r="AO9" i="1" s="1"/>
  <c r="AN10" i="1"/>
  <c r="AO10" i="1" s="1"/>
  <c r="AN11" i="1"/>
  <c r="AN12" i="1"/>
  <c r="AN13" i="1"/>
  <c r="AO13" i="1" s="1"/>
  <c r="AN14" i="1"/>
  <c r="AO14" i="1" s="1"/>
  <c r="AN15" i="1"/>
  <c r="AO15" i="1" s="1"/>
  <c r="AN16" i="1"/>
  <c r="AO16" i="1" s="1"/>
  <c r="AN17" i="1"/>
  <c r="AO17" i="1" s="1"/>
  <c r="AM7" i="1"/>
  <c r="AM8" i="1"/>
  <c r="AP8" i="1" s="1"/>
  <c r="AM9" i="1"/>
  <c r="AP9" i="1" s="1"/>
  <c r="AQ8" i="1" s="1"/>
  <c r="AM10" i="1"/>
  <c r="AP10" i="1" s="1"/>
  <c r="AM11" i="1"/>
  <c r="AP11" i="1" s="1"/>
  <c r="AM12" i="1"/>
  <c r="AP12" i="1" s="1"/>
  <c r="AM13" i="1"/>
  <c r="AP13" i="1" s="1"/>
  <c r="AM14" i="1"/>
  <c r="AP14" i="1" s="1"/>
  <c r="AM15" i="1"/>
  <c r="AP15" i="1" s="1"/>
  <c r="AQ14" i="1" s="1"/>
  <c r="AM16" i="1"/>
  <c r="AM17" i="1"/>
  <c r="AM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6" i="1"/>
  <c r="AN2" i="1"/>
  <c r="AG5" i="1"/>
  <c r="AN6" i="1"/>
  <c r="AO6" i="1" s="1"/>
  <c r="Q25" i="1"/>
  <c r="Q32" i="1"/>
  <c r="Q33" i="1"/>
  <c r="Q34" i="1"/>
  <c r="P32" i="1"/>
  <c r="P33" i="1"/>
  <c r="P3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L32" i="1"/>
  <c r="L33" i="1"/>
  <c r="L34" i="1"/>
  <c r="I11" i="1"/>
  <c r="P11" i="1" s="1"/>
  <c r="I12" i="1"/>
  <c r="P12" i="1" s="1"/>
  <c r="I13" i="1"/>
  <c r="Q13" i="1" s="1"/>
  <c r="I14" i="1"/>
  <c r="Q14" i="1" s="1"/>
  <c r="I15" i="1"/>
  <c r="Q15" i="1" s="1"/>
  <c r="I16" i="1"/>
  <c r="L16" i="1" s="1"/>
  <c r="I17" i="1"/>
  <c r="P17" i="1" s="1"/>
  <c r="I18" i="1"/>
  <c r="P18" i="1" s="1"/>
  <c r="I19" i="1"/>
  <c r="P19" i="1" s="1"/>
  <c r="I20" i="1"/>
  <c r="P20" i="1" s="1"/>
  <c r="I21" i="1"/>
  <c r="L21" i="1" s="1"/>
  <c r="I22" i="1"/>
  <c r="L22" i="1" s="1"/>
  <c r="I23" i="1"/>
  <c r="Q23" i="1" s="1"/>
  <c r="I24" i="1"/>
  <c r="L24" i="1" s="1"/>
  <c r="I25" i="1"/>
  <c r="L25" i="1" s="1"/>
  <c r="I26" i="1"/>
  <c r="Q26" i="1" s="1"/>
  <c r="I27" i="1"/>
  <c r="P27" i="1" s="1"/>
  <c r="I28" i="1"/>
  <c r="P28" i="1" s="1"/>
  <c r="I29" i="1"/>
  <c r="Q29" i="1" s="1"/>
  <c r="I30" i="1"/>
  <c r="Q30" i="1" s="1"/>
  <c r="I31" i="1"/>
  <c r="Q31" i="1" s="1"/>
  <c r="I10" i="1"/>
  <c r="P10" i="1" s="1"/>
  <c r="I9" i="1"/>
  <c r="L9" i="1" s="1"/>
  <c r="I8" i="1"/>
  <c r="L8" i="1" s="1"/>
  <c r="I7" i="1"/>
  <c r="Q7" i="1" s="1"/>
  <c r="I6" i="1"/>
  <c r="P6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F23" i="1"/>
  <c r="F24" i="1"/>
  <c r="F25" i="1"/>
  <c r="F26" i="1"/>
  <c r="F27" i="1"/>
  <c r="F28" i="1"/>
  <c r="F29" i="1"/>
  <c r="F30" i="1"/>
  <c r="F31" i="1"/>
  <c r="F32" i="1"/>
  <c r="F33" i="1"/>
  <c r="F34" i="1"/>
  <c r="F22" i="1"/>
  <c r="G22" i="1"/>
  <c r="H22" i="1" s="1"/>
  <c r="F21" i="1"/>
  <c r="G21" i="1"/>
  <c r="H21" i="1" s="1"/>
  <c r="AQ6" i="1" l="1"/>
  <c r="AQ13" i="1"/>
  <c r="AQ12" i="1"/>
  <c r="AQ11" i="1"/>
  <c r="AQ10" i="1"/>
  <c r="AQ9" i="1"/>
  <c r="AQ7" i="1"/>
  <c r="P15" i="1"/>
  <c r="AT5" i="1"/>
  <c r="AQ6" i="7"/>
  <c r="AQ38" i="11"/>
  <c r="AQ39" i="11"/>
  <c r="P27" i="11"/>
  <c r="AQ41" i="11"/>
  <c r="AQ33" i="11"/>
  <c r="AQ37" i="11"/>
  <c r="AQ34" i="11"/>
  <c r="AQ35" i="11"/>
  <c r="AQ17" i="11"/>
  <c r="AQ15" i="11"/>
  <c r="AQ36" i="11"/>
  <c r="AQ40" i="11"/>
  <c r="AT33" i="11"/>
  <c r="AU33" i="11"/>
  <c r="AQ13" i="11"/>
  <c r="AQ43" i="11"/>
  <c r="P21" i="11"/>
  <c r="L18" i="11"/>
  <c r="P20" i="11"/>
  <c r="Q20" i="11"/>
  <c r="AQ31" i="11"/>
  <c r="Q10" i="11"/>
  <c r="P24" i="11"/>
  <c r="AQ11" i="11"/>
  <c r="Q24" i="11"/>
  <c r="AQ9" i="11"/>
  <c r="L21" i="11"/>
  <c r="Q26" i="11"/>
  <c r="L22" i="11"/>
  <c r="P10" i="11"/>
  <c r="L23" i="11"/>
  <c r="L7" i="11"/>
  <c r="P9" i="11"/>
  <c r="AQ14" i="11"/>
  <c r="AQ8" i="11"/>
  <c r="AQ12" i="11"/>
  <c r="AQ6" i="11"/>
  <c r="AQ10" i="11"/>
  <c r="P22" i="11"/>
  <c r="AQ5" i="11"/>
  <c r="AQ2" i="11" s="1"/>
  <c r="AR6" i="11" s="1"/>
  <c r="AQ7" i="11"/>
  <c r="L8" i="11"/>
  <c r="Q11" i="11"/>
  <c r="P8" i="11"/>
  <c r="P13" i="11"/>
  <c r="Q13" i="11"/>
  <c r="Q15" i="11"/>
  <c r="Q7" i="11"/>
  <c r="L27" i="11"/>
  <c r="L6" i="11"/>
  <c r="P6" i="11"/>
  <c r="L26" i="11"/>
  <c r="Q23" i="11"/>
  <c r="AQ27" i="11"/>
  <c r="AQ24" i="11"/>
  <c r="AQ28" i="11"/>
  <c r="AQ29" i="11"/>
  <c r="AQ26" i="11"/>
  <c r="AQ25" i="11"/>
  <c r="P17" i="11"/>
  <c r="L19" i="11"/>
  <c r="L28" i="11"/>
  <c r="L12" i="11"/>
  <c r="Q17" i="11"/>
  <c r="P19" i="11"/>
  <c r="P28" i="11"/>
  <c r="P12" i="11"/>
  <c r="L14" i="11"/>
  <c r="AU5" i="11"/>
  <c r="P14" i="11"/>
  <c r="L16" i="11"/>
  <c r="AV5" i="11"/>
  <c r="L9" i="11"/>
  <c r="L25" i="11"/>
  <c r="L11" i="11"/>
  <c r="Q16" i="11"/>
  <c r="P25" i="11"/>
  <c r="P18" i="11"/>
  <c r="L15" i="11"/>
  <c r="R2" i="11"/>
  <c r="F31" i="11" s="1"/>
  <c r="G31" i="11" s="1"/>
  <c r="AQ30" i="9"/>
  <c r="AQ29" i="9"/>
  <c r="AT34" i="9"/>
  <c r="AV34" i="9"/>
  <c r="AQ18" i="9"/>
  <c r="AQ34" i="9"/>
  <c r="AQ32" i="9" s="1"/>
  <c r="AQ11" i="9"/>
  <c r="AQ28" i="9"/>
  <c r="AQ26" i="9"/>
  <c r="AQ25" i="9"/>
  <c r="AQ22" i="9"/>
  <c r="AQ6" i="9"/>
  <c r="AQ2" i="9" s="1"/>
  <c r="AR13" i="9" s="1"/>
  <c r="AT13" i="9" s="1"/>
  <c r="AQ36" i="9"/>
  <c r="AQ16" i="9"/>
  <c r="AQ10" i="9"/>
  <c r="AQ37" i="9"/>
  <c r="AQ42" i="9"/>
  <c r="AQ21" i="9"/>
  <c r="AQ14" i="9"/>
  <c r="AQ20" i="9"/>
  <c r="AQ19" i="9"/>
  <c r="AQ43" i="9"/>
  <c r="AQ12" i="9"/>
  <c r="AQ13" i="9"/>
  <c r="AQ17" i="9"/>
  <c r="AQ44" i="9"/>
  <c r="AQ15" i="9"/>
  <c r="AQ24" i="9"/>
  <c r="AQ35" i="9"/>
  <c r="AQ38" i="9"/>
  <c r="AQ40" i="9"/>
  <c r="AQ39" i="9"/>
  <c r="AQ9" i="9"/>
  <c r="AQ23" i="9"/>
  <c r="AQ27" i="9"/>
  <c r="AQ41" i="9"/>
  <c r="AQ8" i="9"/>
  <c r="AQ7" i="9"/>
  <c r="P8" i="9"/>
  <c r="Q8" i="9"/>
  <c r="P25" i="9"/>
  <c r="P17" i="9"/>
  <c r="R2" i="9"/>
  <c r="AU6" i="9"/>
  <c r="Q13" i="9"/>
  <c r="L18" i="9"/>
  <c r="P26" i="9"/>
  <c r="Q14" i="9"/>
  <c r="L29" i="9"/>
  <c r="L9" i="9"/>
  <c r="Q11" i="9"/>
  <c r="Q25" i="9"/>
  <c r="P14" i="9"/>
  <c r="Q22" i="9"/>
  <c r="L20" i="9"/>
  <c r="L30" i="9"/>
  <c r="L7" i="9"/>
  <c r="L28" i="9"/>
  <c r="P15" i="9"/>
  <c r="L17" i="9"/>
  <c r="P20" i="9"/>
  <c r="P30" i="9"/>
  <c r="P7" i="9"/>
  <c r="P28" i="9"/>
  <c r="Q24" i="9"/>
  <c r="P9" i="9"/>
  <c r="P27" i="9"/>
  <c r="L11" i="9"/>
  <c r="Q16" i="9"/>
  <c r="L22" i="9"/>
  <c r="Q27" i="9"/>
  <c r="Q12" i="9"/>
  <c r="P18" i="9"/>
  <c r="P29" i="9"/>
  <c r="P16" i="9"/>
  <c r="L13" i="9"/>
  <c r="L24" i="9"/>
  <c r="L15" i="9"/>
  <c r="L26" i="9"/>
  <c r="AV6" i="9"/>
  <c r="L10" i="9"/>
  <c r="L19" i="9"/>
  <c r="L21" i="9"/>
  <c r="P10" i="9"/>
  <c r="L12" i="9"/>
  <c r="P19" i="9"/>
  <c r="P21" i="9"/>
  <c r="L23" i="9"/>
  <c r="P23" i="9"/>
  <c r="Q24" i="7"/>
  <c r="P10" i="7"/>
  <c r="L10" i="7"/>
  <c r="Q15" i="7"/>
  <c r="L15" i="7"/>
  <c r="P22" i="7"/>
  <c r="Q9" i="7"/>
  <c r="AQ27" i="7"/>
  <c r="AQ24" i="7"/>
  <c r="AQ14" i="7"/>
  <c r="AQ25" i="7"/>
  <c r="AQ2" i="7"/>
  <c r="AQ9" i="7"/>
  <c r="AQ21" i="7"/>
  <c r="AQ22" i="7"/>
  <c r="AQ7" i="7"/>
  <c r="AQ20" i="7"/>
  <c r="AQ18" i="7"/>
  <c r="AQ13" i="7"/>
  <c r="AQ17" i="7"/>
  <c r="AQ16" i="7"/>
  <c r="AQ19" i="7"/>
  <c r="AQ15" i="7"/>
  <c r="AQ8" i="7"/>
  <c r="AQ11" i="7"/>
  <c r="AQ23" i="7"/>
  <c r="P23" i="7"/>
  <c r="P20" i="7"/>
  <c r="L21" i="7"/>
  <c r="L33" i="7"/>
  <c r="AQ10" i="7"/>
  <c r="P21" i="7"/>
  <c r="L34" i="7"/>
  <c r="AQ12" i="7"/>
  <c r="Q11" i="7"/>
  <c r="L19" i="7"/>
  <c r="L29" i="7"/>
  <c r="L11" i="7"/>
  <c r="P17" i="7"/>
  <c r="P34" i="7"/>
  <c r="P19" i="7"/>
  <c r="P29" i="7"/>
  <c r="L30" i="7"/>
  <c r="P30" i="7"/>
  <c r="P33" i="7"/>
  <c r="Q12" i="7"/>
  <c r="Q28" i="7"/>
  <c r="L26" i="7"/>
  <c r="P18" i="7"/>
  <c r="L22" i="7"/>
  <c r="P26" i="7"/>
  <c r="L32" i="7"/>
  <c r="L12" i="7"/>
  <c r="L25" i="7"/>
  <c r="L7" i="7"/>
  <c r="P32" i="7"/>
  <c r="P14" i="7"/>
  <c r="L16" i="7"/>
  <c r="P25" i="7"/>
  <c r="L27" i="7"/>
  <c r="P7" i="7"/>
  <c r="L9" i="7"/>
  <c r="Q14" i="7"/>
  <c r="L20" i="7"/>
  <c r="R2" i="7"/>
  <c r="F36" i="7" s="1"/>
  <c r="G36" i="7" s="1"/>
  <c r="P16" i="7"/>
  <c r="L18" i="7"/>
  <c r="P27" i="7"/>
  <c r="L31" i="7"/>
  <c r="L13" i="7"/>
  <c r="L24" i="7"/>
  <c r="P31" i="7"/>
  <c r="AT6" i="7"/>
  <c r="L8" i="7"/>
  <c r="Q13" i="7"/>
  <c r="AU6" i="7"/>
  <c r="L17" i="7"/>
  <c r="L28" i="7"/>
  <c r="AV6" i="7"/>
  <c r="P8" i="7"/>
  <c r="AR16" i="1"/>
  <c r="AR15" i="1"/>
  <c r="AT15" i="1" s="1"/>
  <c r="AR14" i="1"/>
  <c r="AT14" i="1" s="1"/>
  <c r="AR13" i="1"/>
  <c r="AT13" i="1" s="1"/>
  <c r="AR7" i="1"/>
  <c r="L19" i="1"/>
  <c r="Q24" i="1"/>
  <c r="Q20" i="1"/>
  <c r="L13" i="1"/>
  <c r="Q16" i="1"/>
  <c r="Q8" i="1"/>
  <c r="Q27" i="1"/>
  <c r="Q22" i="1"/>
  <c r="L31" i="1"/>
  <c r="AP6" i="1"/>
  <c r="AQ5" i="1" s="1"/>
  <c r="AQ2" i="1" s="1"/>
  <c r="AR9" i="1" s="1"/>
  <c r="L15" i="1"/>
  <c r="L10" i="1"/>
  <c r="P31" i="1"/>
  <c r="P24" i="1"/>
  <c r="P8" i="1"/>
  <c r="P23" i="1"/>
  <c r="Q19" i="1"/>
  <c r="P22" i="1"/>
  <c r="Q18" i="1"/>
  <c r="P30" i="1"/>
  <c r="L30" i="1"/>
  <c r="Q11" i="1"/>
  <c r="L29" i="1"/>
  <c r="P13" i="1"/>
  <c r="Q10" i="1"/>
  <c r="P14" i="1"/>
  <c r="L20" i="1"/>
  <c r="Q9" i="1"/>
  <c r="P29" i="1"/>
  <c r="L18" i="1"/>
  <c r="P7" i="1"/>
  <c r="L17" i="1"/>
  <c r="L14" i="1"/>
  <c r="P26" i="1"/>
  <c r="P25" i="1"/>
  <c r="P9" i="1"/>
  <c r="Q21" i="1"/>
  <c r="L11" i="1"/>
  <c r="L26" i="1"/>
  <c r="L6" i="1"/>
  <c r="P21" i="1"/>
  <c r="Q17" i="1"/>
  <c r="Q6" i="1"/>
  <c r="L23" i="1"/>
  <c r="L7" i="1"/>
  <c r="L28" i="1"/>
  <c r="L12" i="1"/>
  <c r="L27" i="1"/>
  <c r="P16" i="1"/>
  <c r="Q28" i="1"/>
  <c r="Q12" i="1"/>
  <c r="AT9" i="1" l="1"/>
  <c r="AS9" i="1"/>
  <c r="AU9" i="1" s="1"/>
  <c r="AR8" i="1"/>
  <c r="AR12" i="1"/>
  <c r="AT12" i="1" s="1"/>
  <c r="AR10" i="1"/>
  <c r="AT10" i="1" s="1"/>
  <c r="AW10" i="1" s="1"/>
  <c r="AZ10" i="1" s="1"/>
  <c r="AR11" i="1"/>
  <c r="AT11" i="1" s="1"/>
  <c r="AR18" i="1"/>
  <c r="AT18" i="1" s="1"/>
  <c r="AR17" i="1"/>
  <c r="F32" i="9"/>
  <c r="G32" i="9" s="1"/>
  <c r="AR40" i="11"/>
  <c r="AT40" i="11" s="1"/>
  <c r="AR41" i="11"/>
  <c r="AT41" i="11" s="1"/>
  <c r="AS41" i="11"/>
  <c r="AR42" i="11"/>
  <c r="AT42" i="11" s="1"/>
  <c r="AR43" i="11"/>
  <c r="AT43" i="11" s="1"/>
  <c r="AR34" i="11"/>
  <c r="AT34" i="11" s="1"/>
  <c r="AR35" i="11"/>
  <c r="AT35" i="11" s="1"/>
  <c r="AR37" i="11"/>
  <c r="AT37" i="11" s="1"/>
  <c r="AR38" i="11"/>
  <c r="AT38" i="11" s="1"/>
  <c r="AR36" i="11"/>
  <c r="AT36" i="11" s="1"/>
  <c r="AR39" i="11"/>
  <c r="AT39" i="11" s="1"/>
  <c r="AR17" i="11"/>
  <c r="AT17" i="11" s="1"/>
  <c r="AR10" i="11"/>
  <c r="AT10" i="11" s="1"/>
  <c r="AR16" i="11"/>
  <c r="AT16" i="11" s="1"/>
  <c r="AR8" i="11"/>
  <c r="AT8" i="11" s="1"/>
  <c r="AR7" i="11"/>
  <c r="AT7" i="11" s="1"/>
  <c r="AR14" i="11"/>
  <c r="AR11" i="11"/>
  <c r="AT11" i="11" s="1"/>
  <c r="AR15" i="11"/>
  <c r="AS15" i="11" s="1"/>
  <c r="AR13" i="11"/>
  <c r="AT13" i="11" s="1"/>
  <c r="AR12" i="11"/>
  <c r="AT12" i="11" s="1"/>
  <c r="AR9" i="11"/>
  <c r="AT9" i="11" s="1"/>
  <c r="AT6" i="11"/>
  <c r="AS6" i="11"/>
  <c r="I31" i="11"/>
  <c r="H31" i="11"/>
  <c r="J31" i="11" s="1"/>
  <c r="AR7" i="9"/>
  <c r="AT7" i="9" s="1"/>
  <c r="AR17" i="9"/>
  <c r="AT17" i="9" s="1"/>
  <c r="AW18" i="9" s="1"/>
  <c r="AZ18" i="9" s="1"/>
  <c r="AR18" i="9"/>
  <c r="AT18" i="9" s="1"/>
  <c r="AR21" i="9"/>
  <c r="AT21" i="9" s="1"/>
  <c r="AR8" i="9"/>
  <c r="AT8" i="9" s="1"/>
  <c r="AR24" i="9"/>
  <c r="AT24" i="9" s="1"/>
  <c r="AR14" i="9"/>
  <c r="AR43" i="9"/>
  <c r="AT43" i="9" s="1"/>
  <c r="AR23" i="9"/>
  <c r="AT23" i="9" s="1"/>
  <c r="AW24" i="9" s="1"/>
  <c r="AZ24" i="9" s="1"/>
  <c r="AR9" i="9"/>
  <c r="AR11" i="9"/>
  <c r="AT11" i="9" s="1"/>
  <c r="AS24" i="9"/>
  <c r="AU24" i="9" s="1"/>
  <c r="AX24" i="9" s="1"/>
  <c r="BA24" i="9" s="1"/>
  <c r="AR12" i="9"/>
  <c r="AR16" i="9"/>
  <c r="AR19" i="9"/>
  <c r="AR10" i="9"/>
  <c r="AT10" i="9" s="1"/>
  <c r="AR20" i="9"/>
  <c r="AR22" i="9"/>
  <c r="AR25" i="9"/>
  <c r="AR15" i="9"/>
  <c r="AT15" i="9" s="1"/>
  <c r="AS8" i="9"/>
  <c r="AU8" i="9" s="1"/>
  <c r="AS15" i="9"/>
  <c r="AU15" i="9" s="1"/>
  <c r="AS13" i="9"/>
  <c r="AV13" i="9" s="1"/>
  <c r="AS43" i="9"/>
  <c r="AV43" i="9" s="1"/>
  <c r="AR35" i="9"/>
  <c r="AT35" i="9" s="1"/>
  <c r="AR40" i="9"/>
  <c r="AT40" i="9" s="1"/>
  <c r="AR39" i="9"/>
  <c r="AT39" i="9" s="1"/>
  <c r="AW40" i="9" s="1"/>
  <c r="AR36" i="9"/>
  <c r="AT36" i="9" s="1"/>
  <c r="AR38" i="9"/>
  <c r="AT38" i="9" s="1"/>
  <c r="AR44" i="9"/>
  <c r="AT44" i="9" s="1"/>
  <c r="AR45" i="9"/>
  <c r="AT45" i="9" s="1"/>
  <c r="AR37" i="9"/>
  <c r="AT37" i="9" s="1"/>
  <c r="AR42" i="9"/>
  <c r="AT42" i="9" s="1"/>
  <c r="AR41" i="9"/>
  <c r="AT41" i="9" s="1"/>
  <c r="AR23" i="7"/>
  <c r="AT23" i="7" s="1"/>
  <c r="AR16" i="7"/>
  <c r="AT16" i="7" s="1"/>
  <c r="AR20" i="7"/>
  <c r="AT20" i="7" s="1"/>
  <c r="AR17" i="7"/>
  <c r="AT17" i="7" s="1"/>
  <c r="AR18" i="7"/>
  <c r="AT18" i="7" s="1"/>
  <c r="AR11" i="7"/>
  <c r="AT11" i="7" s="1"/>
  <c r="AS20" i="7"/>
  <c r="AU20" i="7" s="1"/>
  <c r="AR12" i="7"/>
  <c r="AR13" i="7"/>
  <c r="AT13" i="7" s="1"/>
  <c r="AR15" i="7"/>
  <c r="AT15" i="7" s="1"/>
  <c r="AR19" i="7"/>
  <c r="AR22" i="7"/>
  <c r="AT22" i="7" s="1"/>
  <c r="AR21" i="7"/>
  <c r="AT21" i="7" s="1"/>
  <c r="AS16" i="7"/>
  <c r="AV16" i="7" s="1"/>
  <c r="AR8" i="7"/>
  <c r="AT8" i="7" s="1"/>
  <c r="AR24" i="7"/>
  <c r="AT24" i="7" s="1"/>
  <c r="AR10" i="7"/>
  <c r="AT10" i="7" s="1"/>
  <c r="AR26" i="7"/>
  <c r="AR14" i="7"/>
  <c r="AR9" i="7"/>
  <c r="AT9" i="7" s="1"/>
  <c r="AR25" i="7"/>
  <c r="AT25" i="7" s="1"/>
  <c r="AR7" i="7"/>
  <c r="AT7" i="7" s="1"/>
  <c r="I36" i="7"/>
  <c r="H36" i="7"/>
  <c r="J36" i="7" s="1"/>
  <c r="AW12" i="1"/>
  <c r="AZ12" i="1" s="1"/>
  <c r="AS12" i="1"/>
  <c r="AV12" i="1" s="1"/>
  <c r="AY12" i="1" s="1"/>
  <c r="BB12" i="1" s="1"/>
  <c r="AS11" i="1"/>
  <c r="AU11" i="1" s="1"/>
  <c r="AX11" i="1" s="1"/>
  <c r="BA11" i="1" s="1"/>
  <c r="AW14" i="1"/>
  <c r="AZ14" i="1" s="1"/>
  <c r="AS13" i="1"/>
  <c r="AV13" i="1" s="1"/>
  <c r="AY13" i="1" s="1"/>
  <c r="BB13" i="1" s="1"/>
  <c r="AT8" i="1"/>
  <c r="AS8" i="1"/>
  <c r="AS15" i="1"/>
  <c r="AV15" i="1" s="1"/>
  <c r="AY15" i="1" s="1"/>
  <c r="BB15" i="1" s="1"/>
  <c r="AS16" i="1"/>
  <c r="AT16" i="1"/>
  <c r="AW16" i="1" s="1"/>
  <c r="AZ16" i="1" s="1"/>
  <c r="AT17" i="1"/>
  <c r="AS17" i="1"/>
  <c r="AW15" i="1"/>
  <c r="AZ15" i="1" s="1"/>
  <c r="AS14" i="1"/>
  <c r="AU14" i="1" s="1"/>
  <c r="AX14" i="1" s="1"/>
  <c r="BA14" i="1" s="1"/>
  <c r="AS7" i="1"/>
  <c r="AT7" i="1"/>
  <c r="AV9" i="1"/>
  <c r="AW13" i="1"/>
  <c r="AZ13" i="1" s="1"/>
  <c r="AS18" i="1"/>
  <c r="AV18" i="1" s="1"/>
  <c r="AS23" i="9" l="1"/>
  <c r="AV23" i="9" s="1"/>
  <c r="AW8" i="9"/>
  <c r="AZ8" i="9" s="1"/>
  <c r="AS11" i="9"/>
  <c r="AW11" i="1"/>
  <c r="AZ11" i="1" s="1"/>
  <c r="AS10" i="1"/>
  <c r="AV10" i="1" s="1"/>
  <c r="AY10" i="1" s="1"/>
  <c r="BB10" i="1" s="1"/>
  <c r="AS17" i="7"/>
  <c r="AU17" i="7" s="1"/>
  <c r="AX17" i="7" s="1"/>
  <c r="BA17" i="7" s="1"/>
  <c r="AW17" i="7"/>
  <c r="AZ17" i="7" s="1"/>
  <c r="I32" i="9"/>
  <c r="H32" i="9"/>
  <c r="J32" i="9" s="1"/>
  <c r="AS17" i="9"/>
  <c r="AV17" i="9" s="1"/>
  <c r="AW41" i="9"/>
  <c r="AZ41" i="9" s="1"/>
  <c r="AS18" i="9"/>
  <c r="AU18" i="9" s="1"/>
  <c r="AX18" i="9" s="1"/>
  <c r="BA18" i="9" s="1"/>
  <c r="AW44" i="9"/>
  <c r="AS21" i="9"/>
  <c r="AV21" i="9" s="1"/>
  <c r="AX42" i="9"/>
  <c r="AW42" i="9"/>
  <c r="AZ42" i="9" s="1"/>
  <c r="AW45" i="9"/>
  <c r="AZ45" i="9" s="1"/>
  <c r="AY43" i="9"/>
  <c r="AW43" i="9"/>
  <c r="AZ43" i="9" s="1"/>
  <c r="AS8" i="11"/>
  <c r="AS34" i="11"/>
  <c r="AS35" i="11"/>
  <c r="AW39" i="11"/>
  <c r="AZ39" i="11" s="1"/>
  <c r="AW38" i="11"/>
  <c r="AZ38" i="11" s="1"/>
  <c r="AW36" i="11"/>
  <c r="AZ36" i="11" s="1"/>
  <c r="AW35" i="11"/>
  <c r="AZ35" i="11" s="1"/>
  <c r="AS10" i="11"/>
  <c r="AU10" i="11" s="1"/>
  <c r="AX10" i="11" s="1"/>
  <c r="BA10" i="11" s="1"/>
  <c r="AW37" i="11"/>
  <c r="AZ37" i="11" s="1"/>
  <c r="AW41" i="11"/>
  <c r="AZ41" i="11" s="1"/>
  <c r="AW40" i="11"/>
  <c r="AZ40" i="11" s="1"/>
  <c r="AS40" i="11"/>
  <c r="AU40" i="11" s="1"/>
  <c r="AX40" i="11" s="1"/>
  <c r="BA40" i="11" s="1"/>
  <c r="AS38" i="11"/>
  <c r="AV38" i="11" s="1"/>
  <c r="AY38" i="11" s="1"/>
  <c r="BB38" i="11" s="1"/>
  <c r="AS17" i="11"/>
  <c r="AV17" i="11" s="1"/>
  <c r="AY17" i="11" s="1"/>
  <c r="BB17" i="11" s="1"/>
  <c r="AW17" i="11"/>
  <c r="AZ17" i="11" s="1"/>
  <c r="AS13" i="11"/>
  <c r="AU13" i="11" s="1"/>
  <c r="AX13" i="11" s="1"/>
  <c r="BA13" i="11" s="1"/>
  <c r="AS39" i="11"/>
  <c r="AV39" i="11" s="1"/>
  <c r="AY39" i="11" s="1"/>
  <c r="BB39" i="11" s="1"/>
  <c r="AS37" i="11"/>
  <c r="AU37" i="11" s="1"/>
  <c r="AX37" i="11" s="1"/>
  <c r="BA37" i="11" s="1"/>
  <c r="AV35" i="11"/>
  <c r="AY35" i="11" s="1"/>
  <c r="BB35" i="11" s="1"/>
  <c r="AU35" i="11"/>
  <c r="AX35" i="11" s="1"/>
  <c r="BA35" i="11" s="1"/>
  <c r="AV34" i="11"/>
  <c r="AY34" i="11" s="1"/>
  <c r="BB34" i="11" s="1"/>
  <c r="AU34" i="11"/>
  <c r="AX34" i="11" s="1"/>
  <c r="BA34" i="11" s="1"/>
  <c r="AW34" i="11"/>
  <c r="AZ34" i="11" s="1"/>
  <c r="AS43" i="11"/>
  <c r="AU43" i="11" s="1"/>
  <c r="AX43" i="11" s="1"/>
  <c r="BA43" i="11" s="1"/>
  <c r="AW43" i="11"/>
  <c r="AZ43" i="11" s="1"/>
  <c r="AS42" i="11"/>
  <c r="AU42" i="11" s="1"/>
  <c r="AX42" i="11" s="1"/>
  <c r="BA42" i="11" s="1"/>
  <c r="AS36" i="11"/>
  <c r="AV36" i="11" s="1"/>
  <c r="AY36" i="11" s="1"/>
  <c r="BB36" i="11" s="1"/>
  <c r="AW42" i="11"/>
  <c r="AZ42" i="11" s="1"/>
  <c r="AV41" i="11"/>
  <c r="AY41" i="11" s="1"/>
  <c r="BB41" i="11" s="1"/>
  <c r="AU41" i="11"/>
  <c r="AX41" i="11" s="1"/>
  <c r="BA41" i="11" s="1"/>
  <c r="AU38" i="11"/>
  <c r="AX38" i="11" s="1"/>
  <c r="BA38" i="11" s="1"/>
  <c r="AV40" i="11"/>
  <c r="AY40" i="11" s="1"/>
  <c r="BB40" i="11" s="1"/>
  <c r="AW13" i="11"/>
  <c r="AZ13" i="11" s="1"/>
  <c r="AS16" i="11"/>
  <c r="AU16" i="11" s="1"/>
  <c r="AS12" i="11"/>
  <c r="AU12" i="11" s="1"/>
  <c r="AX12" i="11" s="1"/>
  <c r="BA12" i="11" s="1"/>
  <c r="AV8" i="11"/>
  <c r="AY8" i="11" s="1"/>
  <c r="BB8" i="11" s="1"/>
  <c r="AT15" i="11"/>
  <c r="AW12" i="11"/>
  <c r="AZ12" i="11" s="1"/>
  <c r="AS9" i="11"/>
  <c r="AU9" i="11" s="1"/>
  <c r="AX9" i="11" s="1"/>
  <c r="BA9" i="11" s="1"/>
  <c r="AW10" i="11"/>
  <c r="AZ10" i="11" s="1"/>
  <c r="AW9" i="11"/>
  <c r="AZ9" i="11" s="1"/>
  <c r="AS11" i="11"/>
  <c r="AV11" i="11" s="1"/>
  <c r="AY11" i="11" s="1"/>
  <c r="BB11" i="11" s="1"/>
  <c r="AS7" i="11"/>
  <c r="AV7" i="11" s="1"/>
  <c r="AY7" i="11" s="1"/>
  <c r="BB7" i="11" s="1"/>
  <c r="AT14" i="11"/>
  <c r="AS14" i="11"/>
  <c r="AU8" i="11"/>
  <c r="AX8" i="11" s="1"/>
  <c r="BA8" i="11" s="1"/>
  <c r="AW8" i="11"/>
  <c r="AZ8" i="11" s="1"/>
  <c r="AV10" i="11"/>
  <c r="AY10" i="11" s="1"/>
  <c r="BB10" i="11" s="1"/>
  <c r="AW11" i="11"/>
  <c r="AZ11" i="11" s="1"/>
  <c r="AV6" i="11"/>
  <c r="AY6" i="11" s="1"/>
  <c r="BB6" i="11" s="1"/>
  <c r="AU6" i="11"/>
  <c r="AX6" i="11" s="1"/>
  <c r="BA6" i="11" s="1"/>
  <c r="AW7" i="11"/>
  <c r="AZ7" i="11" s="1"/>
  <c r="AW6" i="11"/>
  <c r="AZ6" i="11" s="1"/>
  <c r="AV15" i="9"/>
  <c r="AW11" i="9"/>
  <c r="AZ11" i="9" s="1"/>
  <c r="AV8" i="9"/>
  <c r="AT14" i="9"/>
  <c r="AS14" i="9"/>
  <c r="AX15" i="9"/>
  <c r="BA15" i="9" s="1"/>
  <c r="AV24" i="9"/>
  <c r="AY24" i="9" s="1"/>
  <c r="BB24" i="9" s="1"/>
  <c r="AT20" i="9"/>
  <c r="AS20" i="9"/>
  <c r="AT22" i="9"/>
  <c r="AS22" i="9"/>
  <c r="AT19" i="9"/>
  <c r="AS19" i="9"/>
  <c r="AT16" i="9"/>
  <c r="AS16" i="9"/>
  <c r="AT12" i="9"/>
  <c r="AS12" i="9"/>
  <c r="AU13" i="9"/>
  <c r="AU21" i="9"/>
  <c r="AT9" i="9"/>
  <c r="AS9" i="9"/>
  <c r="AV11" i="9"/>
  <c r="AY11" i="9" s="1"/>
  <c r="BB11" i="9" s="1"/>
  <c r="AS10" i="9"/>
  <c r="AV10" i="9" s="1"/>
  <c r="AU11" i="9"/>
  <c r="AX11" i="9" s="1"/>
  <c r="BA11" i="9" s="1"/>
  <c r="AT25" i="9"/>
  <c r="AS25" i="9"/>
  <c r="AS42" i="9"/>
  <c r="AU42" i="9" s="1"/>
  <c r="AS40" i="9"/>
  <c r="AV40" i="9" s="1"/>
  <c r="AY40" i="9" s="1"/>
  <c r="BB40" i="9" s="1"/>
  <c r="AS36" i="9"/>
  <c r="AU36" i="9" s="1"/>
  <c r="AX36" i="9" s="1"/>
  <c r="BA36" i="9" s="1"/>
  <c r="AS37" i="9"/>
  <c r="AV37" i="9" s="1"/>
  <c r="AY37" i="9" s="1"/>
  <c r="BB37" i="9" s="1"/>
  <c r="AU43" i="9"/>
  <c r="AX43" i="9" s="1"/>
  <c r="AX8" i="9"/>
  <c r="BA8" i="9" s="1"/>
  <c r="AY8" i="9"/>
  <c r="BB8" i="9" s="1"/>
  <c r="AS44" i="9"/>
  <c r="AV44" i="9" s="1"/>
  <c r="AZ44" i="9"/>
  <c r="AW39" i="9"/>
  <c r="AZ39" i="9" s="1"/>
  <c r="BB43" i="9"/>
  <c r="AS38" i="9"/>
  <c r="AV38" i="9" s="1"/>
  <c r="AY38" i="9" s="1"/>
  <c r="BB38" i="9" s="1"/>
  <c r="AW38" i="9"/>
  <c r="AZ38" i="9" s="1"/>
  <c r="AW37" i="9"/>
  <c r="AZ37" i="9" s="1"/>
  <c r="AW36" i="9"/>
  <c r="AZ36" i="9" s="1"/>
  <c r="AW35" i="9"/>
  <c r="AZ35" i="9" s="1"/>
  <c r="AS35" i="9"/>
  <c r="AU35" i="9" s="1"/>
  <c r="AX35" i="9" s="1"/>
  <c r="BA35" i="9" s="1"/>
  <c r="AZ40" i="9"/>
  <c r="AS41" i="9"/>
  <c r="AV41" i="9" s="1"/>
  <c r="AY41" i="9" s="1"/>
  <c r="AS39" i="9"/>
  <c r="AV39" i="9" s="1"/>
  <c r="AY39" i="9" s="1"/>
  <c r="BB39" i="9" s="1"/>
  <c r="AS45" i="9"/>
  <c r="AV45" i="9" s="1"/>
  <c r="AS7" i="9"/>
  <c r="AV7" i="9" s="1"/>
  <c r="AY7" i="9" s="1"/>
  <c r="BB7" i="9" s="1"/>
  <c r="AW7" i="9"/>
  <c r="AZ7" i="9" s="1"/>
  <c r="AS23" i="7"/>
  <c r="AV23" i="7" s="1"/>
  <c r="AY23" i="7" s="1"/>
  <c r="BB23" i="7" s="1"/>
  <c r="AS18" i="7"/>
  <c r="AU18" i="7" s="1"/>
  <c r="AX18" i="7" s="1"/>
  <c r="BA18" i="7" s="1"/>
  <c r="AW18" i="7"/>
  <c r="AZ18" i="7" s="1"/>
  <c r="AS11" i="7"/>
  <c r="AV11" i="7" s="1"/>
  <c r="AY11" i="7" s="1"/>
  <c r="BB11" i="7" s="1"/>
  <c r="AY16" i="7"/>
  <c r="BB16" i="7" s="1"/>
  <c r="AW21" i="7"/>
  <c r="AZ21" i="7" s="1"/>
  <c r="AS24" i="7"/>
  <c r="AV24" i="7" s="1"/>
  <c r="AY24" i="7" s="1"/>
  <c r="BB24" i="7" s="1"/>
  <c r="AS25" i="7"/>
  <c r="AU25" i="7" s="1"/>
  <c r="AX25" i="7" s="1"/>
  <c r="BA25" i="7" s="1"/>
  <c r="AS8" i="7"/>
  <c r="AV8" i="7" s="1"/>
  <c r="AY8" i="7" s="1"/>
  <c r="BB8" i="7" s="1"/>
  <c r="AV20" i="7"/>
  <c r="AW7" i="7"/>
  <c r="AZ7" i="7" s="1"/>
  <c r="AW8" i="7"/>
  <c r="AZ8" i="7" s="1"/>
  <c r="AW23" i="7"/>
  <c r="AZ23" i="7" s="1"/>
  <c r="AW22" i="7"/>
  <c r="AZ22" i="7" s="1"/>
  <c r="AW10" i="7"/>
  <c r="AZ10" i="7" s="1"/>
  <c r="AS21" i="7"/>
  <c r="AV21" i="7" s="1"/>
  <c r="AY21" i="7" s="1"/>
  <c r="BB21" i="7" s="1"/>
  <c r="AT19" i="7"/>
  <c r="AS19" i="7"/>
  <c r="AS9" i="7"/>
  <c r="AU9" i="7" s="1"/>
  <c r="AX9" i="7" s="1"/>
  <c r="BA9" i="7" s="1"/>
  <c r="AT14" i="7"/>
  <c r="AS14" i="7"/>
  <c r="AS22" i="7"/>
  <c r="AV22" i="7" s="1"/>
  <c r="AY22" i="7" s="1"/>
  <c r="BB22" i="7" s="1"/>
  <c r="AU16" i="7"/>
  <c r="AX16" i="7" s="1"/>
  <c r="BA16" i="7" s="1"/>
  <c r="AW16" i="7"/>
  <c r="AZ16" i="7" s="1"/>
  <c r="AT26" i="7"/>
  <c r="AS26" i="7"/>
  <c r="AV26" i="7" s="1"/>
  <c r="AY26" i="7" s="1"/>
  <c r="BB26" i="7" s="1"/>
  <c r="AW11" i="7"/>
  <c r="AZ11" i="7" s="1"/>
  <c r="AS13" i="7"/>
  <c r="AV13" i="7" s="1"/>
  <c r="AS12" i="7"/>
  <c r="AT12" i="7"/>
  <c r="AW25" i="7"/>
  <c r="AZ25" i="7" s="1"/>
  <c r="AS15" i="7"/>
  <c r="AV15" i="7" s="1"/>
  <c r="AW9" i="7"/>
  <c r="AZ9" i="7" s="1"/>
  <c r="AS10" i="7"/>
  <c r="AV10" i="7" s="1"/>
  <c r="AY10" i="7" s="1"/>
  <c r="BB10" i="7" s="1"/>
  <c r="AW24" i="7"/>
  <c r="AZ24" i="7" s="1"/>
  <c r="AS7" i="7"/>
  <c r="AU7" i="7" s="1"/>
  <c r="AX7" i="7" s="1"/>
  <c r="BA7" i="7" s="1"/>
  <c r="AU10" i="1"/>
  <c r="AX10" i="1" s="1"/>
  <c r="BA10" i="1" s="1"/>
  <c r="AU12" i="1"/>
  <c r="AX12" i="1" s="1"/>
  <c r="BA12" i="1" s="1"/>
  <c r="AV11" i="1"/>
  <c r="AY11" i="1" s="1"/>
  <c r="BB11" i="1" s="1"/>
  <c r="AU13" i="1"/>
  <c r="AX13" i="1" s="1"/>
  <c r="BA13" i="1" s="1"/>
  <c r="AU18" i="1"/>
  <c r="AX18" i="1" s="1"/>
  <c r="BA18" i="1" s="1"/>
  <c r="AX9" i="1"/>
  <c r="BA9" i="1" s="1"/>
  <c r="AY9" i="1"/>
  <c r="BB9" i="1" s="1"/>
  <c r="AW9" i="1"/>
  <c r="AZ9" i="1" s="1"/>
  <c r="AV8" i="1"/>
  <c r="AY8" i="1" s="1"/>
  <c r="BB8" i="1" s="1"/>
  <c r="AU8" i="1"/>
  <c r="AX8" i="1" s="1"/>
  <c r="BA8" i="1" s="1"/>
  <c r="AV14" i="1"/>
  <c r="AY14" i="1" s="1"/>
  <c r="BB14" i="1" s="1"/>
  <c r="AU15" i="1"/>
  <c r="AX15" i="1" s="1"/>
  <c r="BA15" i="1" s="1"/>
  <c r="AY18" i="1"/>
  <c r="BB18" i="1" s="1"/>
  <c r="AU17" i="1"/>
  <c r="AX17" i="1" s="1"/>
  <c r="BA17" i="1" s="1"/>
  <c r="AV17" i="1"/>
  <c r="AY17" i="1" s="1"/>
  <c r="BB17" i="1" s="1"/>
  <c r="AW18" i="1"/>
  <c r="AZ18" i="1" s="1"/>
  <c r="AW17" i="1"/>
  <c r="AZ17" i="1" s="1"/>
  <c r="AV16" i="1"/>
  <c r="AY16" i="1" s="1"/>
  <c r="BB16" i="1" s="1"/>
  <c r="AU16" i="1"/>
  <c r="AX16" i="1" s="1"/>
  <c r="BA16" i="1" s="1"/>
  <c r="AV7" i="1"/>
  <c r="AW8" i="1"/>
  <c r="AZ8" i="1" s="1"/>
  <c r="AU7" i="1"/>
  <c r="AR6" i="1"/>
  <c r="AT6" i="1" s="1"/>
  <c r="AU23" i="9" l="1"/>
  <c r="AU19" i="7"/>
  <c r="AX19" i="7" s="1"/>
  <c r="BA19" i="7" s="1"/>
  <c r="AV17" i="7"/>
  <c r="AY17" i="7" s="1"/>
  <c r="BB17" i="7" s="1"/>
  <c r="AW14" i="7"/>
  <c r="AZ14" i="7" s="1"/>
  <c r="AW15" i="7"/>
  <c r="AY44" i="9"/>
  <c r="BB44" i="9" s="1"/>
  <c r="BA42" i="9"/>
  <c r="AY10" i="9"/>
  <c r="BB10" i="9" s="1"/>
  <c r="AU17" i="9"/>
  <c r="AX17" i="9" s="1"/>
  <c r="BA17" i="9" s="1"/>
  <c r="BB41" i="9"/>
  <c r="BA43" i="9"/>
  <c r="AY45" i="9"/>
  <c r="BB45" i="9" s="1"/>
  <c r="AV18" i="9"/>
  <c r="AY18" i="9" s="1"/>
  <c r="BB18" i="9" s="1"/>
  <c r="AV13" i="11"/>
  <c r="AY13" i="11" s="1"/>
  <c r="BB13" i="11" s="1"/>
  <c r="AV43" i="11"/>
  <c r="AY43" i="11" s="1"/>
  <c r="BB43" i="11" s="1"/>
  <c r="AU17" i="11"/>
  <c r="AX17" i="11" s="1"/>
  <c r="BA17" i="11" s="1"/>
  <c r="AV42" i="11"/>
  <c r="AY42" i="11" s="1"/>
  <c r="BB42" i="11" s="1"/>
  <c r="AU39" i="11"/>
  <c r="AX39" i="11" s="1"/>
  <c r="BA39" i="11" s="1"/>
  <c r="AU36" i="11"/>
  <c r="AX36" i="11" s="1"/>
  <c r="BA36" i="11" s="1"/>
  <c r="AV37" i="11"/>
  <c r="AY37" i="11" s="1"/>
  <c r="BB37" i="11" s="1"/>
  <c r="AV16" i="11"/>
  <c r="AY16" i="11" s="1"/>
  <c r="BB16" i="11" s="1"/>
  <c r="AX16" i="11"/>
  <c r="BA16" i="11" s="1"/>
  <c r="AV12" i="11"/>
  <c r="AY12" i="11" s="1"/>
  <c r="BB12" i="11" s="1"/>
  <c r="AW16" i="11"/>
  <c r="AZ16" i="11" s="1"/>
  <c r="AU7" i="11"/>
  <c r="AX7" i="11" s="1"/>
  <c r="BA7" i="11" s="1"/>
  <c r="AU15" i="11"/>
  <c r="AX15" i="11" s="1"/>
  <c r="BA15" i="11" s="1"/>
  <c r="AV15" i="11"/>
  <c r="AY15" i="11" s="1"/>
  <c r="BB15" i="11" s="1"/>
  <c r="AW15" i="11"/>
  <c r="AZ15" i="11" s="1"/>
  <c r="AW14" i="11"/>
  <c r="AZ14" i="11" s="1"/>
  <c r="AV14" i="11"/>
  <c r="AY14" i="11" s="1"/>
  <c r="BB14" i="11" s="1"/>
  <c r="AU14" i="11"/>
  <c r="AX14" i="11" s="1"/>
  <c r="BA14" i="11" s="1"/>
  <c r="AV9" i="11"/>
  <c r="AY9" i="11" s="1"/>
  <c r="BB9" i="11" s="1"/>
  <c r="AU11" i="11"/>
  <c r="AX11" i="11" s="1"/>
  <c r="BA11" i="11" s="1"/>
  <c r="AX13" i="9"/>
  <c r="BA13" i="9" s="1"/>
  <c r="AU37" i="9"/>
  <c r="AX37" i="9" s="1"/>
  <c r="BA37" i="9" s="1"/>
  <c r="AW14" i="9"/>
  <c r="AZ14" i="9" s="1"/>
  <c r="AW15" i="9"/>
  <c r="AZ15" i="9" s="1"/>
  <c r="AU14" i="9"/>
  <c r="AX14" i="9" s="1"/>
  <c r="BA14" i="9" s="1"/>
  <c r="AV14" i="9"/>
  <c r="AY14" i="9" s="1"/>
  <c r="BB14" i="9" s="1"/>
  <c r="AY15" i="9"/>
  <c r="BB15" i="9" s="1"/>
  <c r="AW25" i="9"/>
  <c r="AZ25" i="9" s="1"/>
  <c r="AU25" i="9"/>
  <c r="AX25" i="9" s="1"/>
  <c r="BA25" i="9" s="1"/>
  <c r="AV25" i="9"/>
  <c r="AY25" i="9" s="1"/>
  <c r="BB25" i="9" s="1"/>
  <c r="AW17" i="9"/>
  <c r="AZ17" i="9" s="1"/>
  <c r="AV16" i="9"/>
  <c r="AY16" i="9" s="1"/>
  <c r="BB16" i="9" s="1"/>
  <c r="AU16" i="9"/>
  <c r="AX16" i="9" s="1"/>
  <c r="BA16" i="9" s="1"/>
  <c r="AW20" i="9"/>
  <c r="AZ20" i="9" s="1"/>
  <c r="AW19" i="9"/>
  <c r="AZ19" i="9" s="1"/>
  <c r="AU19" i="9"/>
  <c r="AX19" i="9" s="1"/>
  <c r="BA19" i="9" s="1"/>
  <c r="AV19" i="9"/>
  <c r="AY19" i="9" s="1"/>
  <c r="BB19" i="9" s="1"/>
  <c r="AW16" i="9"/>
  <c r="AZ16" i="9" s="1"/>
  <c r="AV36" i="9"/>
  <c r="AY36" i="9" s="1"/>
  <c r="BB36" i="9" s="1"/>
  <c r="AW22" i="9"/>
  <c r="AZ22" i="9" s="1"/>
  <c r="AV22" i="9"/>
  <c r="AY22" i="9" s="1"/>
  <c r="BB22" i="9" s="1"/>
  <c r="AW23" i="9"/>
  <c r="AZ23" i="9" s="1"/>
  <c r="AU22" i="9"/>
  <c r="AX22" i="9" s="1"/>
  <c r="BA22" i="9" s="1"/>
  <c r="AU12" i="9"/>
  <c r="AX12" i="9" s="1"/>
  <c r="BA12" i="9" s="1"/>
  <c r="AV12" i="9"/>
  <c r="AY12" i="9" s="1"/>
  <c r="BB12" i="9" s="1"/>
  <c r="AW13" i="9"/>
  <c r="AZ13" i="9" s="1"/>
  <c r="AV20" i="9"/>
  <c r="AY20" i="9" s="1"/>
  <c r="BB20" i="9" s="1"/>
  <c r="AU20" i="9"/>
  <c r="AX20" i="9" s="1"/>
  <c r="BA20" i="9" s="1"/>
  <c r="AW21" i="9"/>
  <c r="AZ21" i="9" s="1"/>
  <c r="AW10" i="9"/>
  <c r="AZ10" i="9" s="1"/>
  <c r="AU9" i="9"/>
  <c r="AX9" i="9" s="1"/>
  <c r="BA9" i="9" s="1"/>
  <c r="AW9" i="9"/>
  <c r="AZ9" i="9" s="1"/>
  <c r="AV9" i="9"/>
  <c r="AY9" i="9" s="1"/>
  <c r="BB9" i="9" s="1"/>
  <c r="AX21" i="9"/>
  <c r="BA21" i="9" s="1"/>
  <c r="AY13" i="9"/>
  <c r="BB13" i="9" s="1"/>
  <c r="AU10" i="9"/>
  <c r="AX10" i="9" s="1"/>
  <c r="BA10" i="9" s="1"/>
  <c r="AW12" i="9"/>
  <c r="AZ12" i="9" s="1"/>
  <c r="AY21" i="9"/>
  <c r="BB21" i="9" s="1"/>
  <c r="AU40" i="9"/>
  <c r="AX40" i="9" s="1"/>
  <c r="BA40" i="9" s="1"/>
  <c r="AY17" i="9"/>
  <c r="BB17" i="9" s="1"/>
  <c r="AX23" i="9"/>
  <c r="BA23" i="9" s="1"/>
  <c r="AY23" i="9"/>
  <c r="BB23" i="9" s="1"/>
  <c r="AV42" i="9"/>
  <c r="AU41" i="9"/>
  <c r="AU39" i="9"/>
  <c r="AX39" i="9" s="1"/>
  <c r="BA39" i="9" s="1"/>
  <c r="AU44" i="9"/>
  <c r="AU38" i="9"/>
  <c r="AX38" i="9" s="1"/>
  <c r="BA38" i="9" s="1"/>
  <c r="AU45" i="9"/>
  <c r="AV35" i="9"/>
  <c r="AY35" i="9" s="1"/>
  <c r="BB35" i="9" s="1"/>
  <c r="AU7" i="9"/>
  <c r="AX7" i="9" s="1"/>
  <c r="BA7" i="9" s="1"/>
  <c r="AV18" i="7"/>
  <c r="AY18" i="7" s="1"/>
  <c r="BB18" i="7" s="1"/>
  <c r="AU23" i="7"/>
  <c r="AX23" i="7" s="1"/>
  <c r="BA23" i="7" s="1"/>
  <c r="AU11" i="7"/>
  <c r="AX11" i="7" s="1"/>
  <c r="BA11" i="7" s="1"/>
  <c r="AV9" i="7"/>
  <c r="AY9" i="7" s="1"/>
  <c r="BB9" i="7" s="1"/>
  <c r="AY15" i="7"/>
  <c r="BB15" i="7" s="1"/>
  <c r="AU24" i="7"/>
  <c r="AX24" i="7" s="1"/>
  <c r="BA24" i="7" s="1"/>
  <c r="AU13" i="7"/>
  <c r="AX13" i="7" s="1"/>
  <c r="BA13" i="7" s="1"/>
  <c r="AU8" i="7"/>
  <c r="AX8" i="7" s="1"/>
  <c r="BA8" i="7" s="1"/>
  <c r="AV25" i="7"/>
  <c r="AY25" i="7" s="1"/>
  <c r="BB25" i="7" s="1"/>
  <c r="AW20" i="7"/>
  <c r="AZ20" i="7" s="1"/>
  <c r="AV19" i="7"/>
  <c r="AY19" i="7" s="1"/>
  <c r="BB19" i="7" s="1"/>
  <c r="AW19" i="7"/>
  <c r="AZ19" i="7" s="1"/>
  <c r="AU21" i="7"/>
  <c r="AX21" i="7" s="1"/>
  <c r="BA21" i="7" s="1"/>
  <c r="AX20" i="7"/>
  <c r="BA20" i="7" s="1"/>
  <c r="AU26" i="7"/>
  <c r="AX26" i="7" s="1"/>
  <c r="BA26" i="7" s="1"/>
  <c r="AU22" i="7"/>
  <c r="AX22" i="7" s="1"/>
  <c r="BA22" i="7" s="1"/>
  <c r="AU10" i="7"/>
  <c r="AX10" i="7" s="1"/>
  <c r="BA10" i="7" s="1"/>
  <c r="AU15" i="7"/>
  <c r="AX15" i="7" s="1"/>
  <c r="BA15" i="7" s="1"/>
  <c r="AU14" i="7"/>
  <c r="AX14" i="7" s="1"/>
  <c r="BA14" i="7" s="1"/>
  <c r="AV14" i="7"/>
  <c r="AY14" i="7" s="1"/>
  <c r="BB14" i="7" s="1"/>
  <c r="AZ15" i="7"/>
  <c r="AW13" i="7"/>
  <c r="AZ13" i="7" s="1"/>
  <c r="AU12" i="7"/>
  <c r="AX12" i="7" s="1"/>
  <c r="BA12" i="7" s="1"/>
  <c r="AW12" i="7"/>
  <c r="AZ12" i="7" s="1"/>
  <c r="AV12" i="7"/>
  <c r="AY12" i="7" s="1"/>
  <c r="BB12" i="7" s="1"/>
  <c r="AY20" i="7"/>
  <c r="BB20" i="7" s="1"/>
  <c r="AY13" i="7"/>
  <c r="BB13" i="7" s="1"/>
  <c r="AW26" i="7"/>
  <c r="AZ26" i="7" s="1"/>
  <c r="AV7" i="7"/>
  <c r="AY7" i="7" s="1"/>
  <c r="BB7" i="7" s="1"/>
  <c r="AS6" i="1"/>
  <c r="AX44" i="9" l="1"/>
  <c r="BA44" i="9" s="1"/>
  <c r="AX45" i="9"/>
  <c r="BA45" i="9" s="1"/>
  <c r="AX41" i="9"/>
  <c r="BA41" i="9" s="1"/>
  <c r="AY42" i="9"/>
  <c r="BB42" i="9" s="1"/>
  <c r="AV6" i="1"/>
  <c r="AY6" i="1" s="1"/>
  <c r="BB6" i="1" s="1"/>
  <c r="AW7" i="1"/>
  <c r="AZ7" i="1" s="1"/>
  <c r="AU6" i="1"/>
  <c r="AX6" i="1" s="1"/>
  <c r="BA6" i="1" s="1"/>
  <c r="AY7" i="1"/>
  <c r="BB7" i="1" s="1"/>
  <c r="AX7" i="1"/>
  <c r="BA7" i="1" s="1"/>
  <c r="AW6" i="1"/>
  <c r="AZ6" i="1" s="1"/>
  <c r="F36" i="1" l="1"/>
  <c r="M6" i="1" l="1"/>
  <c r="G7" i="1" l="1"/>
  <c r="G8" i="1"/>
  <c r="H8" i="1" s="1"/>
  <c r="G9" i="1"/>
  <c r="G10" i="1"/>
  <c r="G11" i="1"/>
  <c r="H11" i="1" s="1"/>
  <c r="G12" i="1"/>
  <c r="G13" i="1"/>
  <c r="H13" i="1" s="1"/>
  <c r="G14" i="1"/>
  <c r="H14" i="1" s="1"/>
  <c r="G15" i="1"/>
  <c r="G16" i="1"/>
  <c r="H16" i="1" s="1"/>
  <c r="G17" i="1"/>
  <c r="G18" i="1"/>
  <c r="G19" i="1"/>
  <c r="H19" i="1" s="1"/>
  <c r="G20" i="1"/>
  <c r="H20" i="1" s="1"/>
  <c r="G6" i="1"/>
  <c r="H12" i="1" l="1"/>
  <c r="H6" i="1"/>
  <c r="H18" i="1"/>
  <c r="H10" i="1"/>
  <c r="H17" i="1"/>
  <c r="H9" i="1"/>
  <c r="H15" i="1"/>
  <c r="H7" i="1"/>
  <c r="F20" i="1" l="1"/>
  <c r="F19" i="1"/>
  <c r="F18" i="1"/>
  <c r="F17" i="1"/>
  <c r="F16" i="1"/>
  <c r="F15" i="1"/>
  <c r="F14" i="1"/>
  <c r="F13" i="1"/>
  <c r="F12" i="1"/>
  <c r="D36" i="1" s="1"/>
  <c r="G36" i="1" s="1"/>
  <c r="F11" i="1"/>
  <c r="F10" i="1"/>
  <c r="F9" i="1"/>
  <c r="F8" i="1"/>
  <c r="F7" i="1"/>
  <c r="F6" i="1"/>
  <c r="I36" i="1" l="1"/>
  <c r="H36" i="1"/>
  <c r="J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15033</author>
  </authors>
  <commentList>
    <comment ref="B6" authorId="0" shapeId="0" xr:uid="{8AD64036-011E-4345-BCB2-99EB94F82CC7}">
      <text>
        <r>
          <rPr>
            <b/>
            <sz val="9"/>
            <color indexed="81"/>
            <rFont val="Tahoma"/>
            <family val="2"/>
          </rPr>
          <t>15033: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15033</author>
  </authors>
  <commentList>
    <comment ref="B7" authorId="0" shapeId="0" xr:uid="{B377F0FF-0F6A-4AAF-B8B8-9184DA9A183E}">
      <text>
        <r>
          <rPr>
            <b/>
            <sz val="9"/>
            <color indexed="81"/>
            <rFont val="Tahoma"/>
            <family val="2"/>
          </rPr>
          <t>15033: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15033</author>
  </authors>
  <commentList>
    <comment ref="B7" authorId="0" shapeId="0" xr:uid="{186E0406-6658-4A5A-B2E9-97B0BD3680CA}">
      <text>
        <r>
          <rPr>
            <b/>
            <sz val="9"/>
            <color indexed="81"/>
            <rFont val="Tahoma"/>
            <family val="2"/>
          </rPr>
          <t>15033: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15033</author>
  </authors>
  <commentList>
    <comment ref="B6" authorId="0" shapeId="0" xr:uid="{215F2C9F-858B-4DD6-8877-506781CFBCE1}">
      <text>
        <r>
          <rPr>
            <b/>
            <sz val="9"/>
            <color indexed="81"/>
            <rFont val="Tahoma"/>
            <family val="2"/>
          </rPr>
          <t>15033: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<sst xmlns="http://schemas.openxmlformats.org/spreadsheetml/2006/main" count="1208" uniqueCount="157">
  <si>
    <t>k (210-Pb)</t>
  </si>
  <si>
    <t>A(o)</t>
  </si>
  <si>
    <t>Samp Dt</t>
  </si>
  <si>
    <t>ID</t>
  </si>
  <si>
    <t>Depth (cm)</t>
  </si>
  <si>
    <t>D top (cm)</t>
  </si>
  <si>
    <t>D bot (cm)</t>
  </si>
  <si>
    <t>D avg (cm)</t>
  </si>
  <si>
    <t>Horizon thickness (cm)</t>
  </si>
  <si>
    <t>r (cm/yr)</t>
  </si>
  <si>
    <t>r (g/cm2/yr)</t>
  </si>
  <si>
    <r>
      <t>Horizon Dry Bulk 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</si>
  <si>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Gamma Sample 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</si>
  <si>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Gamma Sample</t>
  </si>
  <si>
    <t>210 Pb Ex uncert. (Bq/kg)</t>
  </si>
  <si>
    <t>Depth Min (cm)</t>
  </si>
  <si>
    <t>Depth Max (cm)</t>
  </si>
  <si>
    <t>Depth Mean (cm)</t>
  </si>
  <si>
    <r>
      <t>210Pb Ex (Bq/cm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</si>
  <si>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210 Pb Ex uncert. (Bq/cm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</si>
  <si>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Core</t>
  </si>
  <si>
    <r>
      <t>Avg. Horizon 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</si>
  <si>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210Pb Ex (Bq/kg) (no zeros)</t>
  </si>
  <si>
    <t>Date (bottom)</t>
  </si>
  <si>
    <t>210Pb ex Uncertainty model (Bq/cm3)</t>
  </si>
  <si>
    <t>210Pb ex model (Bq/cm3) (no zeros)</t>
  </si>
  <si>
    <t>A(x) (Bq) (bottom)</t>
  </si>
  <si>
    <t xml:space="preserve">t bottom (yr) </t>
  </si>
  <si>
    <t>t bottom uncertainty (yr)</t>
  </si>
  <si>
    <t>Date +</t>
  </si>
  <si>
    <t>Date -</t>
  </si>
  <si>
    <t>Date range (1 sigma)</t>
  </si>
  <si>
    <t>(1 sigma)</t>
  </si>
  <si>
    <t>Date  uncertainty (yr)</t>
  </si>
  <si>
    <t>r +1 sig (cm/yr)</t>
  </si>
  <si>
    <t>r -1 sig (cm/yr)</t>
  </si>
  <si>
    <t>Thickness (cm)</t>
  </si>
  <si>
    <t>137Cs Activity (Bq/kg)</t>
  </si>
  <si>
    <t>137Cs uncert. (Bq/kg)</t>
  </si>
  <si>
    <t>Pb-210 CRS Chronological Model</t>
  </si>
  <si>
    <r>
      <t>137Cs Activity (Bq/cm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</si>
  <si>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r>
      <t>137Cs uncert. (Bq/cm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</si>
  <si>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t>0.5 Thickness (cm)</t>
  </si>
  <si>
    <t>210Pb Ex (Bq/kg)</t>
  </si>
  <si>
    <t>210Pb Ex uncert. (Bq/kg)</t>
  </si>
  <si>
    <t>Cs-137 peak</t>
  </si>
  <si>
    <t>MPE 53-55</t>
  </si>
  <si>
    <t>Date (yr)</t>
  </si>
  <si>
    <t>Time (yr)</t>
  </si>
  <si>
    <t>Avg.</t>
  </si>
  <si>
    <r>
      <t>r (g/cm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yr)</t>
    </r>
  </si>
  <si>
    <t>Avg. Horizon density (g cm-3)</t>
  </si>
  <si>
    <t>Sum Horizon 210Pb Ex Activity</t>
  </si>
  <si>
    <t>Sq. 210Pb ex Uncertainty model (Bq/cm3)</t>
  </si>
  <si>
    <t>r +1 sig (g/cm2/yr)</t>
  </si>
  <si>
    <t>r -1 sig (g/cm2/yr)</t>
  </si>
  <si>
    <t>N1</t>
  </si>
  <si>
    <t>0-2</t>
  </si>
  <si>
    <t>AC2</t>
  </si>
  <si>
    <t>2-3</t>
  </si>
  <si>
    <t>3-4</t>
  </si>
  <si>
    <t>N2</t>
  </si>
  <si>
    <t>4-6</t>
  </si>
  <si>
    <t>6-8</t>
  </si>
  <si>
    <t>N3</t>
  </si>
  <si>
    <t>8-10</t>
  </si>
  <si>
    <t>10-12</t>
  </si>
  <si>
    <t>N4</t>
  </si>
  <si>
    <t>12-14</t>
  </si>
  <si>
    <t>14-16</t>
  </si>
  <si>
    <t>N5</t>
  </si>
  <si>
    <t>16-18</t>
  </si>
  <si>
    <t>18-20</t>
  </si>
  <si>
    <t>N6</t>
  </si>
  <si>
    <t>20-22</t>
  </si>
  <si>
    <t>22-24</t>
  </si>
  <si>
    <t>N7</t>
  </si>
  <si>
    <t>24-26</t>
  </si>
  <si>
    <t>26-28</t>
  </si>
  <si>
    <t>N8</t>
  </si>
  <si>
    <t>28-30</t>
  </si>
  <si>
    <t>30-32</t>
  </si>
  <si>
    <t>N9</t>
  </si>
  <si>
    <t>32-34</t>
  </si>
  <si>
    <t>34-36</t>
  </si>
  <si>
    <t>N10</t>
  </si>
  <si>
    <t>36-38</t>
  </si>
  <si>
    <t>38-40</t>
  </si>
  <si>
    <t>N11</t>
  </si>
  <si>
    <t>40-42</t>
  </si>
  <si>
    <t>42-44</t>
  </si>
  <si>
    <t>N12</t>
  </si>
  <si>
    <t>44-46</t>
  </si>
  <si>
    <t>46-48</t>
  </si>
  <si>
    <t>N13</t>
  </si>
  <si>
    <t>48-50</t>
  </si>
  <si>
    <t>50-52</t>
  </si>
  <si>
    <t>N14</t>
  </si>
  <si>
    <t>52-54</t>
  </si>
  <si>
    <t>56-58</t>
  </si>
  <si>
    <t>Location</t>
  </si>
  <si>
    <t>Water Content (%)</t>
  </si>
  <si>
    <t>Dry Bulk Density (g/cm3)</t>
  </si>
  <si>
    <t>AC-2</t>
  </si>
  <si>
    <t>North</t>
  </si>
  <si>
    <t>Gamma Sample Mass (g)</t>
  </si>
  <si>
    <t>r uncert (cm/yr)</t>
  </si>
  <si>
    <r>
      <t>r uncert (g/cm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yr)</t>
    </r>
  </si>
  <si>
    <t>M</t>
  </si>
  <si>
    <t>M1</t>
  </si>
  <si>
    <t>M6</t>
  </si>
  <si>
    <t>M2</t>
  </si>
  <si>
    <t>M3</t>
  </si>
  <si>
    <t>M4</t>
  </si>
  <si>
    <t>M5</t>
  </si>
  <si>
    <t>M7</t>
  </si>
  <si>
    <t>M8</t>
  </si>
  <si>
    <t>M9</t>
  </si>
  <si>
    <t>M10</t>
  </si>
  <si>
    <t>M11</t>
  </si>
  <si>
    <t>M12</t>
  </si>
  <si>
    <t>M13</t>
  </si>
  <si>
    <t>M14</t>
  </si>
  <si>
    <t>Middle</t>
  </si>
  <si>
    <t>Horizon Dry Bulk Density (g/cm3)</t>
  </si>
  <si>
    <t>Gamma Sample density (g/cm3)</t>
  </si>
  <si>
    <t>S3</t>
  </si>
  <si>
    <t>South</t>
  </si>
  <si>
    <t>S1</t>
  </si>
  <si>
    <t>S2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</si>
  <si>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</si>
  <si>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</si>
  <si>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</si>
  <si>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</si>
  <si>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</si>
  <si>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</si>
  <si>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</si>
  <si>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</si>
  <si>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</si>
  <si>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44-48</t>
  </si>
  <si>
    <t>UCR Gray Lab</t>
  </si>
  <si>
    <t>Note</t>
  </si>
  <si>
    <t xml:space="preserve">Notes: </t>
  </si>
  <si>
    <t>Down core patterns of Pb-210ex and Cs-137 are consistent with one another.</t>
  </si>
  <si>
    <t>Cs-137 peak is not strong, perhaps due to bioturbation or some post-depo migration.</t>
  </si>
  <si>
    <t>No surprises.</t>
  </si>
  <si>
    <t>Deeper horizons enriched in Pb-210ex have been included in chronology.</t>
  </si>
  <si>
    <t xml:space="preserve">Note: </t>
  </si>
  <si>
    <t>Top of core seems truncated (low Pb-210ex activities and shallow Cs-137 peak), but this is not included in the chronological model.</t>
  </si>
  <si>
    <t>Deeper horizons with some Pb-210ex have been included in chronological model.</t>
  </si>
  <si>
    <t>Deeper horizons with some Pb-210ex have not been included in model.</t>
  </si>
  <si>
    <t>location</t>
  </si>
  <si>
    <t>depth.cm</t>
  </si>
  <si>
    <t>South Deep</t>
  </si>
  <si>
    <t>South Shallow</t>
  </si>
  <si>
    <t>pb.yr</t>
  </si>
  <si>
    <t>pb.uncertainty.yr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</si>
</sst>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vertAlign val="superscript"/>
      <sz val="11"/>
      <name val="Times New Roman"/>
      <family val="1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2" fillId="0" borderId="1" xfId="0" applyFont="1" applyBorder="1" applyAlignment="1">
      <alignment horizontal="left" vertical="top" wrapText="1"/>
    </xf>
    <xf numFmtId="164" fontId="0" fillId="0" borderId="0" xfId="0" applyNumberFormat="1" applyFill="1" applyBorder="1" applyAlignment="1">
      <alignment vertical="top" wrapText="1"/>
    </xf>
    <xf numFmtId="0" fontId="0" fillId="0" borderId="1" xfId="0" applyFill="1" applyBorder="1" applyAlignment="1"/>
    <xf numFmtId="0" fontId="0" fillId="0" borderId="0" xfId="0" applyFill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164" fontId="0" fillId="0" borderId="1" xfId="0" applyNumberForma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3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wrapText="1"/>
    </xf>
    <xf numFmtId="0" fontId="0" fillId="0" borderId="0" xfId="0" applyFill="1" applyBorder="1"/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/>
    <xf numFmtId="0" fontId="0" fillId="0" borderId="0" xfId="0" applyBorder="1" applyAlignment="1">
      <alignment horizontal="left"/>
    </xf>
    <xf numFmtId="0" fontId="0" fillId="5" borderId="0" xfId="0" applyFill="1" applyBorder="1" applyAlignment="1">
      <alignment wrapText="1"/>
    </xf>
    <xf numFmtId="0" fontId="3" fillId="7" borderId="1" xfId="0" applyFont="1" applyFill="1" applyBorder="1" applyAlignment="1">
      <alignment horizontal="left" vertical="top" wrapText="1"/>
    </xf>
    <xf numFmtId="0" fontId="3" fillId="7" borderId="0" xfId="0" applyFont="1" applyFill="1" applyBorder="1" applyAlignment="1">
      <alignment horizontal="left" vertical="top" wrapText="1"/>
    </xf>
    <xf numFmtId="0" fontId="5" fillId="7" borderId="0" xfId="0" applyFont="1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top" wrapText="1"/>
    </xf>
    <xf numFmtId="164" fontId="0" fillId="7" borderId="2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8" borderId="0" xfId="0" applyFill="1"/>
    <xf numFmtId="0" fontId="0" fillId="8" borderId="0" xfId="0" applyFill="1" applyAlignment="1">
      <alignment wrapText="1"/>
    </xf>
    <xf numFmtId="0" fontId="2" fillId="0" borderId="0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left" vertical="top" wrapText="1"/>
    </xf>
    <xf numFmtId="1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02541808"/>
        <c:axId val="402542368"/>
      </c:scatterChart>
      <c:valAx>
        <c:axId val="4025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42368"/>
        <c:crosses val="autoZero"/>
        <c:crossBetween val="midCat"/>
      </c:valAx>
      <c:valAx>
        <c:axId val="4025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    Pb-210</a:t>
            </a:r>
            <a:r>
              <a:rPr lang="en-US" baseline="0"/>
              <a:t> CRS and Cs-137 Sedimentation Rate</a:t>
            </a:r>
            <a:endParaRPr lang="en-US"/>
          </a:p>
        </c:rich>
      </c:tx>
      <c:layout>
        <c:manualLayout>
          <c:xMode val="edge"/>
          <c:yMode val="edge"/>
          <c:x val="0.14582991676682355"/>
          <c:y val="1.0444035050916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8053099715071608"/>
          <c:w val="0.64083621740743824"/>
          <c:h val="0.6666912152833816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'M6-deep'!$AT$39:$AT$50</c:f>
              <c:numCache>
                <c:formatCode>General</c:formatCode>
                <c:ptCount val="12"/>
                <c:pt idx="0">
                  <c:v>2014.2817000113996</c:v>
                </c:pt>
                <c:pt idx="1">
                  <c:v>2011.1195379572971</c:v>
                </c:pt>
                <c:pt idx="2">
                  <c:v>2008.4105962124049</c:v>
                </c:pt>
                <c:pt idx="3">
                  <c:v>2003.756112191383</c:v>
                </c:pt>
                <c:pt idx="4">
                  <c:v>1997.5428783602015</c:v>
                </c:pt>
                <c:pt idx="5">
                  <c:v>1990.4150371725564</c:v>
                </c:pt>
                <c:pt idx="6">
                  <c:v>1979.3774849671468</c:v>
                </c:pt>
                <c:pt idx="7">
                  <c:v>1971.6577142280616</c:v>
                </c:pt>
                <c:pt idx="8">
                  <c:v>1964.0292856778465</c:v>
                </c:pt>
                <c:pt idx="9">
                  <c:v>1955.6134560773019</c:v>
                </c:pt>
                <c:pt idx="10">
                  <c:v>1954.8671132583825</c:v>
                </c:pt>
                <c:pt idx="11">
                  <c:v>1947.8388089836435</c:v>
                </c:pt>
              </c:numCache>
            </c:numRef>
          </c:xVal>
          <c:yVal>
            <c:numRef>
              <c:f>'M6-deep'!$AW$39:$AW$50</c:f>
              <c:numCache>
                <c:formatCode>General</c:formatCode>
                <c:ptCount val="12"/>
                <c:pt idx="0">
                  <c:v>0.30124723815827881</c:v>
                </c:pt>
                <c:pt idx="1">
                  <c:v>0.31623932704607127</c:v>
                </c:pt>
                <c:pt idx="2">
                  <c:v>0.36914784228400022</c:v>
                </c:pt>
                <c:pt idx="3">
                  <c:v>0.42969317135196988</c:v>
                </c:pt>
                <c:pt idx="4">
                  <c:v>0.32189356691565119</c:v>
                </c:pt>
                <c:pt idx="5">
                  <c:v>0.28058986547941822</c:v>
                </c:pt>
                <c:pt idx="6">
                  <c:v>0.18119959595930887</c:v>
                </c:pt>
                <c:pt idx="7">
                  <c:v>0.25907505126726421</c:v>
                </c:pt>
                <c:pt idx="8">
                  <c:v>0.26217719505855314</c:v>
                </c:pt>
                <c:pt idx="9">
                  <c:v>0.23764739721804426</c:v>
                </c:pt>
                <c:pt idx="10">
                  <c:v>2.6797336951613135</c:v>
                </c:pt>
                <c:pt idx="11">
                  <c:v>0.28456366170548064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3-44A9-A0BB-D206A97170A0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'M6-deep'!$F$36</c:f>
                <c:numCache>
                  <c:formatCode>General</c:formatCode>
                  <c:ptCount val="1"/>
                  <c:pt idx="0">
                    <c:v>57.920765027322432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49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'M6-deep'!$E$36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'M6-deep'!$G$36</c:f>
              <c:numCache>
                <c:formatCode>0.00</c:formatCode>
                <c:ptCount val="1"/>
                <c:pt idx="0">
                  <c:v>0.25897447992829836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3-44A9-A0BB-D206A971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6800"/>
        <c:axId val="66697360"/>
      </c:scatterChart>
      <c:valAx>
        <c:axId val="66696800"/>
        <c:scaling>
          <c:orientation val="minMax"/>
          <c:max val="20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921419164113052"/>
              <c:y val="0.9308176521702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360"/>
        <c:crossesAt val="0"/>
        <c:crossBetween val="midCat"/>
        <c:majorUnit val="20"/>
        <c:minorUnit val="10"/>
      </c:valAx>
      <c:valAx>
        <c:axId val="666973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 Rate (cm</a:t>
                </a:r>
                <a:r>
                  <a:rPr lang="en-US" baseline="0"/>
                  <a:t> </a:t>
                </a:r>
                <a:r>
                  <a:rPr lang="en-US"/>
                  <a:t>yr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83007410634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   Pb-210</a:t>
            </a:r>
            <a:r>
              <a:rPr lang="en-US" baseline="0"/>
              <a:t> CRS Chronological Model and Cs-137 </a:t>
            </a:r>
            <a:endParaRPr lang="en-US"/>
          </a:p>
        </c:rich>
      </c:tx>
      <c:layout>
        <c:manualLayout>
          <c:xMode val="edge"/>
          <c:yMode val="edge"/>
          <c:x val="1.1596675415572989E-3"/>
          <c:y val="1.484028923262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4025481189851269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'S3-deep'!$S$6:$S$20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4.8322463092977346</c:v>
                  </c:pt>
                  <c:pt idx="2">
                    <c:v>5.4030002242562061</c:v>
                  </c:pt>
                  <c:pt idx="3">
                    <c:v>6.0724791891720926</c:v>
                  </c:pt>
                  <c:pt idx="4">
                    <c:v>7.237936082063035</c:v>
                  </c:pt>
                  <c:pt idx="5">
                    <c:v>9.1363352886660749</c:v>
                  </c:pt>
                  <c:pt idx="6">
                    <c:v>11.277220157003171</c:v>
                  </c:pt>
                  <c:pt idx="7">
                    <c:v>11.277220157003171</c:v>
                  </c:pt>
                  <c:pt idx="8">
                    <c:v>11.277220157003171</c:v>
                  </c:pt>
                  <c:pt idx="9">
                    <c:v>12.180906094366211</c:v>
                  </c:pt>
                  <c:pt idx="10">
                    <c:v>15.37631585612646</c:v>
                  </c:pt>
                  <c:pt idx="11">
                    <c:v>23.957399913538445</c:v>
                  </c:pt>
                  <c:pt idx="12">
                    <c:v>23.957399913538445</c:v>
                  </c:pt>
                  <c:pt idx="13">
                    <c:v>23.957399913538445</c:v>
                  </c:pt>
                  <c:pt idx="14">
                    <c:v>23.957399913538445</c:v>
                  </c:pt>
                </c:numCache>
              </c:numRef>
            </c:plus>
            <c:minus>
              <c:numRef>
                <c:f>'S3-deep'!$S$6:$S$20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4.8322463092977346</c:v>
                  </c:pt>
                  <c:pt idx="2">
                    <c:v>5.4030002242562061</c:v>
                  </c:pt>
                  <c:pt idx="3">
                    <c:v>6.0724791891720926</c:v>
                  </c:pt>
                  <c:pt idx="4">
                    <c:v>7.237936082063035</c:v>
                  </c:pt>
                  <c:pt idx="5">
                    <c:v>9.1363352886660749</c:v>
                  </c:pt>
                  <c:pt idx="6">
                    <c:v>11.277220157003171</c:v>
                  </c:pt>
                  <c:pt idx="7">
                    <c:v>11.277220157003171</c:v>
                  </c:pt>
                  <c:pt idx="8">
                    <c:v>11.277220157003171</c:v>
                  </c:pt>
                  <c:pt idx="9">
                    <c:v>12.180906094366211</c:v>
                  </c:pt>
                  <c:pt idx="10">
                    <c:v>15.37631585612646</c:v>
                  </c:pt>
                  <c:pt idx="11">
                    <c:v>23.957399913538445</c:v>
                  </c:pt>
                  <c:pt idx="12">
                    <c:v>23.957399913538445</c:v>
                  </c:pt>
                  <c:pt idx="13">
                    <c:v>23.957399913538445</c:v>
                  </c:pt>
                  <c:pt idx="14">
                    <c:v>23.957399913538445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'S3-deep'!$AT$35:$AT$45</c:f>
              <c:numCache>
                <c:formatCode>General</c:formatCode>
                <c:ptCount val="11"/>
                <c:pt idx="0">
                  <c:v>2014.1234230036393</c:v>
                </c:pt>
                <c:pt idx="1">
                  <c:v>2010.2547675671337</c:v>
                </c:pt>
                <c:pt idx="2">
                  <c:v>2006.1687860086233</c:v>
                </c:pt>
                <c:pt idx="3">
                  <c:v>1999.9427923514886</c:v>
                </c:pt>
                <c:pt idx="4">
                  <c:v>1991.4931708651507</c:v>
                </c:pt>
                <c:pt idx="5">
                  <c:v>1983.6232974279142</c:v>
                </c:pt>
                <c:pt idx="6">
                  <c:v>1980.6750761158864</c:v>
                </c:pt>
                <c:pt idx="7">
                  <c:v>1971.502007326359</c:v>
                </c:pt>
                <c:pt idx="8">
                  <c:v>1952.5725181888358</c:v>
                </c:pt>
                <c:pt idx="9">
                  <c:v>1929.1513387560819</c:v>
                </c:pt>
                <c:pt idx="10">
                  <c:v>1929.1513387560819</c:v>
                </c:pt>
              </c:numCache>
            </c:numRef>
          </c:xVal>
          <c:yVal>
            <c:numRef>
              <c:f>'S3-deep'!$AF$35:$AF$45</c:f>
              <c:numCache>
                <c:formatCode>General</c:formatCode>
                <c:ptCount val="11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31</c:v>
                </c:pt>
                <c:pt idx="10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0-4F1B-AA42-31573D37E591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'S3-deep'!$E$32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'S3-deep'!$D$32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0-4F1B-AA42-31573D37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61712"/>
        <c:axId val="752062272"/>
      </c:scatterChart>
      <c:valAx>
        <c:axId val="752061712"/>
        <c:scaling>
          <c:orientation val="minMax"/>
          <c:max val="202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391316710411199"/>
              <c:y val="0.92634259259259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2272"/>
        <c:crossesAt val="70"/>
        <c:crossBetween val="midCat"/>
        <c:majorUnit val="20"/>
        <c:minorUnit val="10"/>
      </c:valAx>
      <c:valAx>
        <c:axId val="752062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9190726159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</a:p>
        </c:rich>
      </c:tx>
      <c:layout>
        <c:manualLayout>
          <c:xMode val="edge"/>
          <c:yMode val="edge"/>
          <c:x val="2.972942442856057E-2"/>
          <c:y val="1.9553143630496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1715698114"/>
          <c:y val="0.18078882843507221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'S3-deep'!$O$7:$O$27</c:f>
                <c:numCache>
                  <c:formatCode>General</c:formatCode>
                  <c:ptCount val="21"/>
                  <c:pt idx="0">
                    <c:v>9.4387372950425981</c:v>
                  </c:pt>
                  <c:pt idx="1">
                    <c:v>15.14909863044425</c:v>
                  </c:pt>
                  <c:pt idx="2">
                    <c:v>14.122671619888704</c:v>
                  </c:pt>
                  <c:pt idx="3">
                    <c:v>11.634620279960149</c:v>
                  </c:pt>
                  <c:pt idx="4">
                    <c:v>10.865531363998032</c:v>
                  </c:pt>
                  <c:pt idx="5">
                    <c:v>10.532242170377769</c:v>
                  </c:pt>
                  <c:pt idx="6">
                    <c:v>11.878254555435726</c:v>
                  </c:pt>
                  <c:pt idx="7">
                    <c:v>8.4975646664613897</c:v>
                  </c:pt>
                  <c:pt idx="8">
                    <c:v>10.93651091750078</c:v>
                  </c:pt>
                  <c:pt idx="9">
                    <c:v>10.61722220140987</c:v>
                  </c:pt>
                  <c:pt idx="10">
                    <c:v>13.823609381059647</c:v>
                  </c:pt>
                  <c:pt idx="11">
                    <c:v>8.4420303004077777</c:v>
                  </c:pt>
                  <c:pt idx="12">
                    <c:v>11.1408844211345</c:v>
                  </c:pt>
                  <c:pt idx="13">
                    <c:v>7.8418667600858356</c:v>
                  </c:pt>
                  <c:pt idx="14">
                    <c:v>9.5537326152305102</c:v>
                  </c:pt>
                  <c:pt idx="15">
                    <c:v>7.136286885281244</c:v>
                  </c:pt>
                  <c:pt idx="16">
                    <c:v>11.743676429906433</c:v>
                  </c:pt>
                  <c:pt idx="17">
                    <c:v>9.7497987177339223</c:v>
                  </c:pt>
                  <c:pt idx="18">
                    <c:v>12.509472270312257</c:v>
                  </c:pt>
                  <c:pt idx="19">
                    <c:v>8.1532798132528406</c:v>
                  </c:pt>
                  <c:pt idx="20">
                    <c:v>11.25213692744007</c:v>
                  </c:pt>
                </c:numCache>
              </c:numRef>
            </c:plus>
            <c:minus>
              <c:numRef>
                <c:f>'S3-deep'!$O$7:$O$27</c:f>
                <c:numCache>
                  <c:formatCode>General</c:formatCode>
                  <c:ptCount val="21"/>
                  <c:pt idx="0">
                    <c:v>9.4387372950425981</c:v>
                  </c:pt>
                  <c:pt idx="1">
                    <c:v>15.14909863044425</c:v>
                  </c:pt>
                  <c:pt idx="2">
                    <c:v>14.122671619888704</c:v>
                  </c:pt>
                  <c:pt idx="3">
                    <c:v>11.634620279960149</c:v>
                  </c:pt>
                  <c:pt idx="4">
                    <c:v>10.865531363998032</c:v>
                  </c:pt>
                  <c:pt idx="5">
                    <c:v>10.532242170377769</c:v>
                  </c:pt>
                  <c:pt idx="6">
                    <c:v>11.878254555435726</c:v>
                  </c:pt>
                  <c:pt idx="7">
                    <c:v>8.4975646664613897</c:v>
                  </c:pt>
                  <c:pt idx="8">
                    <c:v>10.93651091750078</c:v>
                  </c:pt>
                  <c:pt idx="9">
                    <c:v>10.61722220140987</c:v>
                  </c:pt>
                  <c:pt idx="10">
                    <c:v>13.823609381059647</c:v>
                  </c:pt>
                  <c:pt idx="11">
                    <c:v>8.4420303004077777</c:v>
                  </c:pt>
                  <c:pt idx="12">
                    <c:v>11.1408844211345</c:v>
                  </c:pt>
                  <c:pt idx="13">
                    <c:v>7.8418667600858356</c:v>
                  </c:pt>
                  <c:pt idx="14">
                    <c:v>9.5537326152305102</c:v>
                  </c:pt>
                  <c:pt idx="15">
                    <c:v>7.136286885281244</c:v>
                  </c:pt>
                  <c:pt idx="16">
                    <c:v>11.743676429906433</c:v>
                  </c:pt>
                  <c:pt idx="17">
                    <c:v>9.7497987177339223</c:v>
                  </c:pt>
                  <c:pt idx="18">
                    <c:v>12.509472270312257</c:v>
                  </c:pt>
                  <c:pt idx="19">
                    <c:v>8.1532798132528406</c:v>
                  </c:pt>
                  <c:pt idx="20">
                    <c:v>11.25213692744007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'S3-deep'!$H$7:$H$27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plus>
            <c:minus>
              <c:numRef>
                <c:f>'S3-deep'!$H$7:$H$27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'S3-deep'!$N$7:$N$27</c:f>
              <c:numCache>
                <c:formatCode>General</c:formatCode>
                <c:ptCount val="21"/>
                <c:pt idx="0">
                  <c:v>49.90568333972044</c:v>
                </c:pt>
                <c:pt idx="1">
                  <c:v>51.047017074556962</c:v>
                </c:pt>
                <c:pt idx="2">
                  <c:v>40.037461597582613</c:v>
                </c:pt>
                <c:pt idx="3">
                  <c:v>26.748387116959101</c:v>
                </c:pt>
                <c:pt idx="4">
                  <c:v>26.790122371083193</c:v>
                </c:pt>
                <c:pt idx="5">
                  <c:v>18.510287944317071</c:v>
                </c:pt>
                <c:pt idx="6">
                  <c:v>-1.9559548545102174</c:v>
                </c:pt>
                <c:pt idx="7">
                  <c:v>-3.0603206912368073</c:v>
                </c:pt>
                <c:pt idx="8">
                  <c:v>6.1822910165727691</c:v>
                </c:pt>
                <c:pt idx="9">
                  <c:v>15.746389948097132</c:v>
                </c:pt>
                <c:pt idx="10">
                  <c:v>18.494755942924847</c:v>
                </c:pt>
                <c:pt idx="11">
                  <c:v>-9.0345430898389907</c:v>
                </c:pt>
                <c:pt idx="12">
                  <c:v>-1.6930532275327828</c:v>
                </c:pt>
                <c:pt idx="13">
                  <c:v>-4.5915050671767226</c:v>
                </c:pt>
                <c:pt idx="14">
                  <c:v>-1.6405186055827699</c:v>
                </c:pt>
                <c:pt idx="15">
                  <c:v>-3.530055916590225</c:v>
                </c:pt>
                <c:pt idx="16">
                  <c:v>10.921670216029945</c:v>
                </c:pt>
                <c:pt idx="17">
                  <c:v>-4.7286795649918787</c:v>
                </c:pt>
                <c:pt idx="18">
                  <c:v>10.725162818991208</c:v>
                </c:pt>
                <c:pt idx="19">
                  <c:v>-1.2123240219786453</c:v>
                </c:pt>
                <c:pt idx="20">
                  <c:v>-4.4881281578731489</c:v>
                </c:pt>
              </c:numCache>
            </c:numRef>
          </c:xVal>
          <c:yVal>
            <c:numRef>
              <c:f>'S3-deep'!$F$7:$F$27</c:f>
              <c:numCache>
                <c:formatCode>General</c:formatCode>
                <c:ptCount val="21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2-45DA-9776-CB21F04A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45648"/>
        <c:axId val="387446208"/>
      </c:scatterChart>
      <c:scatterChart>
        <c:scatterStyle val="lineMarker"/>
        <c:varyColors val="0"/>
        <c:ser>
          <c:idx val="1"/>
          <c:order val="1"/>
          <c:tx>
            <c:v>Cs-137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'S3-deep'!$H$7:$H$27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plus>
            <c:minus>
              <c:numRef>
                <c:f>'S3-deep'!$H$7:$H$27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'S3-deep'!$K$7:$K$27</c:f>
                <c:numCache>
                  <c:formatCode>General</c:formatCode>
                  <c:ptCount val="21"/>
                  <c:pt idx="0">
                    <c:v>0.50446257745410494</c:v>
                  </c:pt>
                  <c:pt idx="1">
                    <c:v>1.2720696509452831</c:v>
                  </c:pt>
                  <c:pt idx="2">
                    <c:v>1.1546214052183745</c:v>
                  </c:pt>
                  <c:pt idx="3">
                    <c:v>0.99589372273624122</c:v>
                  </c:pt>
                  <c:pt idx="4">
                    <c:v>0.95150674587123052</c:v>
                  </c:pt>
                  <c:pt idx="5">
                    <c:v>0.62928834361101271</c:v>
                  </c:pt>
                  <c:pt idx="6">
                    <c:v>1.0257067268588305</c:v>
                  </c:pt>
                  <c:pt idx="7">
                    <c:v>0.63713422967125866</c:v>
                  </c:pt>
                  <c:pt idx="8">
                    <c:v>0.36912571627584578</c:v>
                  </c:pt>
                  <c:pt idx="9">
                    <c:v>0.60340093518156546</c:v>
                  </c:pt>
                  <c:pt idx="10">
                    <c:v>0.74019548736289331</c:v>
                  </c:pt>
                  <c:pt idx="11">
                    <c:v>0.62132453824475786</c:v>
                  </c:pt>
                  <c:pt idx="12">
                    <c:v>0.79228034416514426</c:v>
                  </c:pt>
                  <c:pt idx="13">
                    <c:v>0.45506382798115469</c:v>
                  </c:pt>
                  <c:pt idx="14">
                    <c:v>0.71890871969543302</c:v>
                  </c:pt>
                  <c:pt idx="15">
                    <c:v>0.46938379464309554</c:v>
                  </c:pt>
                  <c:pt idx="16">
                    <c:v>0.79470370337678531</c:v>
                  </c:pt>
                  <c:pt idx="17">
                    <c:v>0.56609508499138383</c:v>
                  </c:pt>
                  <c:pt idx="18">
                    <c:v>0.54821265027071819</c:v>
                  </c:pt>
                  <c:pt idx="19">
                    <c:v>0</c:v>
                  </c:pt>
                  <c:pt idx="20">
                    <c:v>0.6854236897931999</c:v>
                  </c:pt>
                </c:numCache>
              </c:numRef>
            </c:plus>
            <c:minus>
              <c:numRef>
                <c:f>'S3-deep'!$K$7:$K$27</c:f>
                <c:numCache>
                  <c:formatCode>General</c:formatCode>
                  <c:ptCount val="21"/>
                  <c:pt idx="0">
                    <c:v>0.50446257745410494</c:v>
                  </c:pt>
                  <c:pt idx="1">
                    <c:v>1.2720696509452831</c:v>
                  </c:pt>
                  <c:pt idx="2">
                    <c:v>1.1546214052183745</c:v>
                  </c:pt>
                  <c:pt idx="3">
                    <c:v>0.99589372273624122</c:v>
                  </c:pt>
                  <c:pt idx="4">
                    <c:v>0.95150674587123052</c:v>
                  </c:pt>
                  <c:pt idx="5">
                    <c:v>0.62928834361101271</c:v>
                  </c:pt>
                  <c:pt idx="6">
                    <c:v>1.0257067268588305</c:v>
                  </c:pt>
                  <c:pt idx="7">
                    <c:v>0.63713422967125866</c:v>
                  </c:pt>
                  <c:pt idx="8">
                    <c:v>0.36912571627584578</c:v>
                  </c:pt>
                  <c:pt idx="9">
                    <c:v>0.60340093518156546</c:v>
                  </c:pt>
                  <c:pt idx="10">
                    <c:v>0.74019548736289331</c:v>
                  </c:pt>
                  <c:pt idx="11">
                    <c:v>0.62132453824475786</c:v>
                  </c:pt>
                  <c:pt idx="12">
                    <c:v>0.79228034416514426</c:v>
                  </c:pt>
                  <c:pt idx="13">
                    <c:v>0.45506382798115469</c:v>
                  </c:pt>
                  <c:pt idx="14">
                    <c:v>0.71890871969543302</c:v>
                  </c:pt>
                  <c:pt idx="15">
                    <c:v>0.46938379464309554</c:v>
                  </c:pt>
                  <c:pt idx="16">
                    <c:v>0.79470370337678531</c:v>
                  </c:pt>
                  <c:pt idx="17">
                    <c:v>0.56609508499138383</c:v>
                  </c:pt>
                  <c:pt idx="18">
                    <c:v>0.54821265027071819</c:v>
                  </c:pt>
                  <c:pt idx="19">
                    <c:v>0</c:v>
                  </c:pt>
                  <c:pt idx="20">
                    <c:v>0.6854236897931999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'S3-deep'!$J$7:$J$27</c:f>
              <c:numCache>
                <c:formatCode>General</c:formatCode>
                <c:ptCount val="21"/>
                <c:pt idx="0">
                  <c:v>1.1908107758611335</c:v>
                </c:pt>
                <c:pt idx="1">
                  <c:v>5.4847547041129578</c:v>
                </c:pt>
                <c:pt idx="2">
                  <c:v>3.6293894374294373</c:v>
                </c:pt>
                <c:pt idx="3">
                  <c:v>4.8735010433614683</c:v>
                </c:pt>
                <c:pt idx="4">
                  <c:v>2.8282342235976321</c:v>
                </c:pt>
                <c:pt idx="5">
                  <c:v>1.1848328720801642</c:v>
                </c:pt>
                <c:pt idx="6">
                  <c:v>1.2210963230792746</c:v>
                </c:pt>
                <c:pt idx="7">
                  <c:v>1.3604391158097184</c:v>
                </c:pt>
                <c:pt idx="8">
                  <c:v>3.6847598794346285E-2</c:v>
                </c:pt>
                <c:pt idx="9">
                  <c:v>0.21620059575243758</c:v>
                </c:pt>
                <c:pt idx="10">
                  <c:v>0.95471143377130996</c:v>
                </c:pt>
                <c:pt idx="11">
                  <c:v>0.94068510385566906</c:v>
                </c:pt>
                <c:pt idx="12">
                  <c:v>0.17872615036847336</c:v>
                </c:pt>
                <c:pt idx="13">
                  <c:v>1.2384194336603138</c:v>
                </c:pt>
                <c:pt idx="14">
                  <c:v>1.494585968124263</c:v>
                </c:pt>
                <c:pt idx="15">
                  <c:v>0.3529627627636987</c:v>
                </c:pt>
                <c:pt idx="16">
                  <c:v>0.50108036248087062</c:v>
                </c:pt>
                <c:pt idx="17">
                  <c:v>0.36769304937077973</c:v>
                </c:pt>
                <c:pt idx="18">
                  <c:v>0.33988450628416234</c:v>
                </c:pt>
                <c:pt idx="19">
                  <c:v>0</c:v>
                </c:pt>
                <c:pt idx="20">
                  <c:v>0.83939628591415538</c:v>
                </c:pt>
              </c:numCache>
            </c:numRef>
          </c:xVal>
          <c:yVal>
            <c:numRef>
              <c:f>'S3-deep'!$F$7:$F$27</c:f>
              <c:numCache>
                <c:formatCode>General</c:formatCode>
                <c:ptCount val="21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2-45DA-9776-CB21F04A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47328"/>
        <c:axId val="387446768"/>
      </c:scatterChart>
      <c:valAx>
        <c:axId val="387445648"/>
        <c:scaling>
          <c:orientation val="minMax"/>
          <c:max val="100"/>
          <c:min val="-15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Pb-201ex Activity (Bq/kg)</a:t>
                </a:r>
              </a:p>
            </c:rich>
          </c:tx>
          <c:layout>
            <c:manualLayout>
              <c:xMode val="edge"/>
              <c:yMode val="edge"/>
              <c:x val="0.38460073757548774"/>
              <c:y val="7.6155618397715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6208"/>
        <c:crossesAt val="0"/>
        <c:crossBetween val="midCat"/>
        <c:majorUnit val="50"/>
        <c:minorUnit val="10"/>
      </c:valAx>
      <c:valAx>
        <c:axId val="387446208"/>
        <c:scaling>
          <c:orientation val="maxMin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3.1714364082570792E-2"/>
              <c:y val="0.48040854124775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5648"/>
        <c:crossesAt val="-200"/>
        <c:crossBetween val="midCat"/>
      </c:valAx>
      <c:valAx>
        <c:axId val="387446768"/>
        <c:scaling>
          <c:orientation val="maxMin"/>
          <c:max val="40"/>
        </c:scaling>
        <c:delete val="0"/>
        <c:axPos val="r"/>
        <c:numFmt formatCode="General" sourceLinked="1"/>
        <c:majorTickMark val="out"/>
        <c:minorTickMark val="out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7328"/>
        <c:crosses val="max"/>
        <c:crossBetween val="midCat"/>
      </c:valAx>
      <c:valAx>
        <c:axId val="387447328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Cs-137</a:t>
                </a:r>
                <a:r>
                  <a:rPr lang="en-US" baseline="0">
                    <a:solidFill>
                      <a:schemeClr val="accent2"/>
                    </a:solidFill>
                  </a:rPr>
                  <a:t> Activity (Bq/kg)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529913328211774"/>
              <c:y val="0.9542033172916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676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44405621205128"/>
          <c:y val="0.54045956251738325"/>
          <c:w val="0.13077109594924802"/>
          <c:h val="0.14315345883499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    Pb-210</a:t>
            </a:r>
            <a:r>
              <a:rPr lang="en-US" baseline="0"/>
              <a:t> CRS and Cs-137 Sedimentation Rate</a:t>
            </a:r>
            <a:endParaRPr lang="en-US"/>
          </a:p>
        </c:rich>
      </c:tx>
      <c:layout>
        <c:manualLayout>
          <c:xMode val="edge"/>
          <c:yMode val="edge"/>
          <c:x val="0.13727077865266843"/>
          <c:y val="1.484028923262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4025481189851269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'S3-deep'!$AT$35:$AT$44</c:f>
              <c:numCache>
                <c:formatCode>General</c:formatCode>
                <c:ptCount val="10"/>
                <c:pt idx="0">
                  <c:v>2014.1234230036393</c:v>
                </c:pt>
                <c:pt idx="1">
                  <c:v>2010.2547675671337</c:v>
                </c:pt>
                <c:pt idx="2">
                  <c:v>2006.1687860086233</c:v>
                </c:pt>
                <c:pt idx="3">
                  <c:v>1999.9427923514886</c:v>
                </c:pt>
                <c:pt idx="4">
                  <c:v>1991.4931708651507</c:v>
                </c:pt>
                <c:pt idx="5">
                  <c:v>1983.6232974279142</c:v>
                </c:pt>
                <c:pt idx="6">
                  <c:v>1980.6750761158864</c:v>
                </c:pt>
                <c:pt idx="7">
                  <c:v>1971.502007326359</c:v>
                </c:pt>
                <c:pt idx="8">
                  <c:v>1952.5725181888358</c:v>
                </c:pt>
                <c:pt idx="9">
                  <c:v>1929.1513387560819</c:v>
                </c:pt>
              </c:numCache>
            </c:numRef>
          </c:xVal>
          <c:yVal>
            <c:numRef>
              <c:f>'S3-deep'!$AZ$35:$AZ$44</c:f>
              <c:numCache>
                <c:formatCode>General</c:formatCode>
                <c:ptCount val="10"/>
                <c:pt idx="0">
                  <c:v>0.12461741971438972</c:v>
                </c:pt>
                <c:pt idx="1">
                  <c:v>0.10301314171716135</c:v>
                </c:pt>
                <c:pt idx="2">
                  <c:v>0.11600985277550163</c:v>
                </c:pt>
                <c:pt idx="3">
                  <c:v>0.14795791466865291</c:v>
                </c:pt>
                <c:pt idx="4">
                  <c:v>0.11763491834514386</c:v>
                </c:pt>
                <c:pt idx="5">
                  <c:v>0.13191239842777897</c:v>
                </c:pt>
                <c:pt idx="6">
                  <c:v>0.33286217322469874</c:v>
                </c:pt>
                <c:pt idx="7">
                  <c:v>0.10848785891922277</c:v>
                </c:pt>
                <c:pt idx="8">
                  <c:v>6.022806825827888E-2</c:v>
                </c:pt>
                <c:pt idx="9">
                  <c:v>5.3058398292381279E-2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0-411B-8E37-9A9D51CA3153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'S3-deep'!$F$32</c:f>
                <c:numCache>
                  <c:formatCode>General</c:formatCode>
                  <c:ptCount val="1"/>
                  <c:pt idx="0">
                    <c:v>57.920765027322432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49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'S3-deep'!$E$32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'S3-deep'!$I$32</c:f>
              <c:numCache>
                <c:formatCode>General</c:formatCode>
                <c:ptCount val="1"/>
                <c:pt idx="0">
                  <c:v>1.7740959617453794E-2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0-411B-8E37-9A9D51CA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36352"/>
        <c:axId val="794536912"/>
      </c:scatterChart>
      <c:valAx>
        <c:axId val="794536352"/>
        <c:scaling>
          <c:orientation val="minMax"/>
          <c:max val="20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888693901689277"/>
              <c:y val="0.9308176521702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6912"/>
        <c:crossesAt val="0"/>
        <c:crossBetween val="midCat"/>
        <c:majorUnit val="20"/>
        <c:minorUnit val="10"/>
      </c:valAx>
      <c:valAx>
        <c:axId val="79453691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 Rate (g cm</a:t>
                </a:r>
                <a:r>
                  <a:rPr lang="en-US" baseline="30000"/>
                  <a:t>-2</a:t>
                </a:r>
                <a:r>
                  <a:rPr lang="en-US"/>
                  <a:t> yr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83007410634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  <a:r>
              <a:rPr lang="en-US" baseline="0"/>
              <a:t>  </a:t>
            </a:r>
            <a:r>
              <a:rPr lang="en-US"/>
              <a:t>  Pb-210</a:t>
            </a:r>
            <a:r>
              <a:rPr lang="en-US" baseline="0"/>
              <a:t> CRS and Cs-137 Sedimentation Rate</a:t>
            </a:r>
            <a:endParaRPr lang="en-US"/>
          </a:p>
        </c:rich>
      </c:tx>
      <c:layout>
        <c:manualLayout>
          <c:xMode val="edge"/>
          <c:yMode val="edge"/>
          <c:x val="0.14582991676682355"/>
          <c:y val="1.0444035050916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8053099715071608"/>
          <c:w val="0.64083621740743824"/>
          <c:h val="0.6666912152833816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'S3-deep'!$AT$35:$AT$45</c:f>
              <c:numCache>
                <c:formatCode>General</c:formatCode>
                <c:ptCount val="11"/>
                <c:pt idx="0">
                  <c:v>2014.1234230036393</c:v>
                </c:pt>
                <c:pt idx="1">
                  <c:v>2010.2547675671337</c:v>
                </c:pt>
                <c:pt idx="2">
                  <c:v>2006.1687860086233</c:v>
                </c:pt>
                <c:pt idx="3">
                  <c:v>1999.9427923514886</c:v>
                </c:pt>
                <c:pt idx="4">
                  <c:v>1991.4931708651507</c:v>
                </c:pt>
                <c:pt idx="5">
                  <c:v>1983.6232974279142</c:v>
                </c:pt>
                <c:pt idx="6">
                  <c:v>1980.6750761158864</c:v>
                </c:pt>
                <c:pt idx="7">
                  <c:v>1971.502007326359</c:v>
                </c:pt>
                <c:pt idx="8">
                  <c:v>1952.5725181888358</c:v>
                </c:pt>
                <c:pt idx="9">
                  <c:v>1929.1513387560819</c:v>
                </c:pt>
                <c:pt idx="10">
                  <c:v>1929.1513387560819</c:v>
                </c:pt>
              </c:numCache>
            </c:numRef>
          </c:xVal>
          <c:yVal>
            <c:numRef>
              <c:f>'S3-deep'!$AW$35:$AW$44</c:f>
              <c:numCache>
                <c:formatCode>General</c:formatCode>
                <c:ptCount val="10"/>
                <c:pt idx="0">
                  <c:v>0.29423265638710877</c:v>
                </c:pt>
                <c:pt idx="1">
                  <c:v>0.25848773983946688</c:v>
                </c:pt>
                <c:pt idx="2">
                  <c:v>0.24473923479100596</c:v>
                </c:pt>
                <c:pt idx="3">
                  <c:v>0.32123386404483173</c:v>
                </c:pt>
                <c:pt idx="4">
                  <c:v>0.23669699325984803</c:v>
                </c:pt>
                <c:pt idx="5">
                  <c:v>0.2541336929939626</c:v>
                </c:pt>
                <c:pt idx="6">
                  <c:v>0.67837512463555216</c:v>
                </c:pt>
                <c:pt idx="7">
                  <c:v>0.21802954342644143</c:v>
                </c:pt>
                <c:pt idx="8">
                  <c:v>0.10565525490254653</c:v>
                </c:pt>
                <c:pt idx="9">
                  <c:v>8.539279611184114E-2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4-42E1-BF83-43D45B66EED2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'S3-deep'!$F$32</c:f>
                <c:numCache>
                  <c:formatCode>General</c:formatCode>
                  <c:ptCount val="1"/>
                  <c:pt idx="0">
                    <c:v>57.920765027322432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49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'S3-deep'!$E$32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'S3-deep'!$G$32</c:f>
              <c:numCache>
                <c:formatCode>0.00</c:formatCode>
                <c:ptCount val="1"/>
                <c:pt idx="0">
                  <c:v>4.3162413321383063E-2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4-42E1-BF83-43D45B66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6800"/>
        <c:axId val="66697360"/>
      </c:scatterChart>
      <c:valAx>
        <c:axId val="66696800"/>
        <c:scaling>
          <c:orientation val="minMax"/>
          <c:max val="20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921419164113052"/>
              <c:y val="0.9308176521702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360"/>
        <c:crossesAt val="0"/>
        <c:crossBetween val="midCat"/>
        <c:majorUnit val="20"/>
        <c:minorUnit val="10"/>
      </c:valAx>
      <c:valAx>
        <c:axId val="666973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 Rate (cm</a:t>
                </a:r>
                <a:r>
                  <a:rPr lang="en-US" baseline="0"/>
                  <a:t> </a:t>
                </a:r>
                <a:r>
                  <a:rPr lang="en-US"/>
                  <a:t>yr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83007410634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   Pb-210</a:t>
            </a:r>
            <a:r>
              <a:rPr lang="en-US" baseline="0"/>
              <a:t> CRS Chronological Model and Cs-137 </a:t>
            </a:r>
            <a:endParaRPr lang="en-US"/>
          </a:p>
        </c:rich>
      </c:tx>
      <c:layout>
        <c:manualLayout>
          <c:xMode val="edge"/>
          <c:yMode val="edge"/>
          <c:x val="1.1596675415572989E-3"/>
          <c:y val="1.484028923262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4025481189851269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'S3-shallow'!$S$5:$S$19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4.8322463092977346</c:v>
                  </c:pt>
                  <c:pt idx="2">
                    <c:v>5.4030002242562061</c:v>
                  </c:pt>
                  <c:pt idx="3">
                    <c:v>6.0724791891720926</c:v>
                  </c:pt>
                  <c:pt idx="4">
                    <c:v>7.237936082063035</c:v>
                  </c:pt>
                  <c:pt idx="5">
                    <c:v>9.1363352886660749</c:v>
                  </c:pt>
                  <c:pt idx="6">
                    <c:v>11.277220157003171</c:v>
                  </c:pt>
                  <c:pt idx="7">
                    <c:v>11.277220157003171</c:v>
                  </c:pt>
                  <c:pt idx="8">
                    <c:v>11.277220157003171</c:v>
                  </c:pt>
                  <c:pt idx="9">
                    <c:v>12.180906094366211</c:v>
                  </c:pt>
                  <c:pt idx="10">
                    <c:v>15.37631585612646</c:v>
                  </c:pt>
                  <c:pt idx="11">
                    <c:v>23.957399913538445</c:v>
                  </c:pt>
                  <c:pt idx="12">
                    <c:v>23.957399913538445</c:v>
                  </c:pt>
                  <c:pt idx="13">
                    <c:v>23.957399913538445</c:v>
                  </c:pt>
                  <c:pt idx="14">
                    <c:v>23.957399913538445</c:v>
                  </c:pt>
                </c:numCache>
              </c:numRef>
            </c:plus>
            <c:minus>
              <c:numRef>
                <c:f>'S3-shallow'!$S$5:$S$19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4.8322463092977346</c:v>
                  </c:pt>
                  <c:pt idx="2">
                    <c:v>5.4030002242562061</c:v>
                  </c:pt>
                  <c:pt idx="3">
                    <c:v>6.0724791891720926</c:v>
                  </c:pt>
                  <c:pt idx="4">
                    <c:v>7.237936082063035</c:v>
                  </c:pt>
                  <c:pt idx="5">
                    <c:v>9.1363352886660749</c:v>
                  </c:pt>
                  <c:pt idx="6">
                    <c:v>11.277220157003171</c:v>
                  </c:pt>
                  <c:pt idx="7">
                    <c:v>11.277220157003171</c:v>
                  </c:pt>
                  <c:pt idx="8">
                    <c:v>11.277220157003171</c:v>
                  </c:pt>
                  <c:pt idx="9">
                    <c:v>12.180906094366211</c:v>
                  </c:pt>
                  <c:pt idx="10">
                    <c:v>15.37631585612646</c:v>
                  </c:pt>
                  <c:pt idx="11">
                    <c:v>23.957399913538445</c:v>
                  </c:pt>
                  <c:pt idx="12">
                    <c:v>23.957399913538445</c:v>
                  </c:pt>
                  <c:pt idx="13">
                    <c:v>23.957399913538445</c:v>
                  </c:pt>
                  <c:pt idx="14">
                    <c:v>23.957399913538445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'S3-shallow'!$AT$34:$AT$41</c:f>
              <c:numCache>
                <c:formatCode>General</c:formatCode>
                <c:ptCount val="8"/>
                <c:pt idx="0">
                  <c:v>2013.0903344488243</c:v>
                </c:pt>
                <c:pt idx="1">
                  <c:v>2008.508875858741</c:v>
                </c:pt>
                <c:pt idx="2">
                  <c:v>2003.5490757724276</c:v>
                </c:pt>
                <c:pt idx="3">
                  <c:v>1995.6954208829984</c:v>
                </c:pt>
                <c:pt idx="4">
                  <c:v>1984.2572917093137</c:v>
                </c:pt>
                <c:pt idx="5">
                  <c:v>1972.384859998728</c:v>
                </c:pt>
                <c:pt idx="6">
                  <c:v>1967.4918330803341</c:v>
                </c:pt>
                <c:pt idx="7">
                  <c:v>1949.6937296080162</c:v>
                </c:pt>
              </c:numCache>
            </c:numRef>
          </c:xVal>
          <c:yVal>
            <c:numRef>
              <c:f>'S3-shallow'!$AF$34:$AF$41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15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C-4B57-BB7A-FCCAA5C26E2A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'S3-shallow'!$E$31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'S3-shallow'!$D$31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C-4B57-BB7A-FCCAA5C2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61712"/>
        <c:axId val="752062272"/>
      </c:scatterChart>
      <c:valAx>
        <c:axId val="752061712"/>
        <c:scaling>
          <c:orientation val="minMax"/>
          <c:max val="202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391316710411199"/>
              <c:y val="0.92634259259259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2272"/>
        <c:crossesAt val="70"/>
        <c:crossBetween val="midCat"/>
        <c:majorUnit val="20"/>
        <c:minorUnit val="10"/>
      </c:valAx>
      <c:valAx>
        <c:axId val="752062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9190726159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</a:p>
        </c:rich>
      </c:tx>
      <c:layout>
        <c:manualLayout>
          <c:xMode val="edge"/>
          <c:yMode val="edge"/>
          <c:x val="2.972942442856057E-2"/>
          <c:y val="1.9553143630496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1715698114"/>
          <c:y val="0.18078882843507221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'S3-shallow'!$O$6:$O$26</c:f>
                <c:numCache>
                  <c:formatCode>General</c:formatCode>
                  <c:ptCount val="21"/>
                  <c:pt idx="0">
                    <c:v>9.4387372950425981</c:v>
                  </c:pt>
                  <c:pt idx="1">
                    <c:v>15.14909863044425</c:v>
                  </c:pt>
                  <c:pt idx="2">
                    <c:v>14.122671619888704</c:v>
                  </c:pt>
                  <c:pt idx="3">
                    <c:v>11.634620279960149</c:v>
                  </c:pt>
                  <c:pt idx="4">
                    <c:v>10.865531363998032</c:v>
                  </c:pt>
                  <c:pt idx="5">
                    <c:v>10.532242170377769</c:v>
                  </c:pt>
                  <c:pt idx="6">
                    <c:v>11.878254555435726</c:v>
                  </c:pt>
                  <c:pt idx="7">
                    <c:v>8.4975646664613897</c:v>
                  </c:pt>
                  <c:pt idx="8">
                    <c:v>10.93651091750078</c:v>
                  </c:pt>
                  <c:pt idx="9">
                    <c:v>10.61722220140987</c:v>
                  </c:pt>
                  <c:pt idx="10">
                    <c:v>13.823609381059647</c:v>
                  </c:pt>
                  <c:pt idx="11">
                    <c:v>8.4420303004077777</c:v>
                  </c:pt>
                  <c:pt idx="12">
                    <c:v>11.1408844211345</c:v>
                  </c:pt>
                  <c:pt idx="13">
                    <c:v>7.8418667600858356</c:v>
                  </c:pt>
                  <c:pt idx="14">
                    <c:v>9.5537326152305102</c:v>
                  </c:pt>
                  <c:pt idx="15">
                    <c:v>7.136286885281244</c:v>
                  </c:pt>
                  <c:pt idx="16">
                    <c:v>11.743676429906433</c:v>
                  </c:pt>
                  <c:pt idx="17">
                    <c:v>9.7497987177339223</c:v>
                  </c:pt>
                  <c:pt idx="18">
                    <c:v>12.509472270312257</c:v>
                  </c:pt>
                  <c:pt idx="19">
                    <c:v>8.1532798132528406</c:v>
                  </c:pt>
                  <c:pt idx="20">
                    <c:v>11.25213692744007</c:v>
                  </c:pt>
                </c:numCache>
              </c:numRef>
            </c:plus>
            <c:minus>
              <c:numRef>
                <c:f>'S3-shallow'!$O$6:$O$26</c:f>
                <c:numCache>
                  <c:formatCode>General</c:formatCode>
                  <c:ptCount val="21"/>
                  <c:pt idx="0">
                    <c:v>9.4387372950425981</c:v>
                  </c:pt>
                  <c:pt idx="1">
                    <c:v>15.14909863044425</c:v>
                  </c:pt>
                  <c:pt idx="2">
                    <c:v>14.122671619888704</c:v>
                  </c:pt>
                  <c:pt idx="3">
                    <c:v>11.634620279960149</c:v>
                  </c:pt>
                  <c:pt idx="4">
                    <c:v>10.865531363998032</c:v>
                  </c:pt>
                  <c:pt idx="5">
                    <c:v>10.532242170377769</c:v>
                  </c:pt>
                  <c:pt idx="6">
                    <c:v>11.878254555435726</c:v>
                  </c:pt>
                  <c:pt idx="7">
                    <c:v>8.4975646664613897</c:v>
                  </c:pt>
                  <c:pt idx="8">
                    <c:v>10.93651091750078</c:v>
                  </c:pt>
                  <c:pt idx="9">
                    <c:v>10.61722220140987</c:v>
                  </c:pt>
                  <c:pt idx="10">
                    <c:v>13.823609381059647</c:v>
                  </c:pt>
                  <c:pt idx="11">
                    <c:v>8.4420303004077777</c:v>
                  </c:pt>
                  <c:pt idx="12">
                    <c:v>11.1408844211345</c:v>
                  </c:pt>
                  <c:pt idx="13">
                    <c:v>7.8418667600858356</c:v>
                  </c:pt>
                  <c:pt idx="14">
                    <c:v>9.5537326152305102</c:v>
                  </c:pt>
                  <c:pt idx="15">
                    <c:v>7.136286885281244</c:v>
                  </c:pt>
                  <c:pt idx="16">
                    <c:v>11.743676429906433</c:v>
                  </c:pt>
                  <c:pt idx="17">
                    <c:v>9.7497987177339223</c:v>
                  </c:pt>
                  <c:pt idx="18">
                    <c:v>12.509472270312257</c:v>
                  </c:pt>
                  <c:pt idx="19">
                    <c:v>8.1532798132528406</c:v>
                  </c:pt>
                  <c:pt idx="20">
                    <c:v>11.25213692744007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'S3-shallow'!$H$6:$H$26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plus>
            <c:minus>
              <c:numRef>
                <c:f>'S3-shallow'!$H$6:$H$26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'S3-shallow'!$N$6:$N$26</c:f>
              <c:numCache>
                <c:formatCode>General</c:formatCode>
                <c:ptCount val="21"/>
                <c:pt idx="0">
                  <c:v>49.90568333972044</c:v>
                </c:pt>
                <c:pt idx="1">
                  <c:v>51.047017074556962</c:v>
                </c:pt>
                <c:pt idx="2">
                  <c:v>40.037461597582613</c:v>
                </c:pt>
                <c:pt idx="3">
                  <c:v>26.748387116959101</c:v>
                </c:pt>
                <c:pt idx="4">
                  <c:v>26.790122371083193</c:v>
                </c:pt>
                <c:pt idx="5">
                  <c:v>18.510287944317071</c:v>
                </c:pt>
                <c:pt idx="6">
                  <c:v>-1.9559548545102174</c:v>
                </c:pt>
                <c:pt idx="7">
                  <c:v>-3.0603206912368073</c:v>
                </c:pt>
                <c:pt idx="8">
                  <c:v>6.1822910165727691</c:v>
                </c:pt>
                <c:pt idx="9">
                  <c:v>15.746389948097132</c:v>
                </c:pt>
                <c:pt idx="10">
                  <c:v>18.494755942924847</c:v>
                </c:pt>
                <c:pt idx="11">
                  <c:v>-9.0345430898389907</c:v>
                </c:pt>
                <c:pt idx="12">
                  <c:v>-1.6930532275327828</c:v>
                </c:pt>
                <c:pt idx="13">
                  <c:v>-4.5915050671767226</c:v>
                </c:pt>
                <c:pt idx="14">
                  <c:v>-1.6405186055827699</c:v>
                </c:pt>
                <c:pt idx="15">
                  <c:v>-3.530055916590225</c:v>
                </c:pt>
                <c:pt idx="16">
                  <c:v>10.921670216029945</c:v>
                </c:pt>
                <c:pt idx="17">
                  <c:v>-4.7286795649918787</c:v>
                </c:pt>
                <c:pt idx="18">
                  <c:v>10.725162818991208</c:v>
                </c:pt>
                <c:pt idx="19">
                  <c:v>-1.2123240219786453</c:v>
                </c:pt>
                <c:pt idx="20">
                  <c:v>-4.4881281578731489</c:v>
                </c:pt>
              </c:numCache>
            </c:numRef>
          </c:xVal>
          <c:yVal>
            <c:numRef>
              <c:f>'S3-shallow'!$F$6:$F$26</c:f>
              <c:numCache>
                <c:formatCode>General</c:formatCode>
                <c:ptCount val="21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3-40D2-A2C6-A0958C83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45648"/>
        <c:axId val="387446208"/>
      </c:scatterChart>
      <c:scatterChart>
        <c:scatterStyle val="lineMarker"/>
        <c:varyColors val="0"/>
        <c:ser>
          <c:idx val="1"/>
          <c:order val="1"/>
          <c:tx>
            <c:v>Cs-137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'S3-shallow'!$H$6:$H$26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plus>
            <c:minus>
              <c:numRef>
                <c:f>'S3-shallow'!$H$6:$H$26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'S3-shallow'!$K$6:$K$26</c:f>
                <c:numCache>
                  <c:formatCode>General</c:formatCode>
                  <c:ptCount val="21"/>
                  <c:pt idx="0">
                    <c:v>0.50446257745410494</c:v>
                  </c:pt>
                  <c:pt idx="1">
                    <c:v>1.2720696509452831</c:v>
                  </c:pt>
                  <c:pt idx="2">
                    <c:v>1.1546214052183745</c:v>
                  </c:pt>
                  <c:pt idx="3">
                    <c:v>0.99589372273624122</c:v>
                  </c:pt>
                  <c:pt idx="4">
                    <c:v>0.95150674587123052</c:v>
                  </c:pt>
                  <c:pt idx="5">
                    <c:v>0.62928834361101271</c:v>
                  </c:pt>
                  <c:pt idx="6">
                    <c:v>1.0257067268588305</c:v>
                  </c:pt>
                  <c:pt idx="7">
                    <c:v>0.63713422967125866</c:v>
                  </c:pt>
                  <c:pt idx="8">
                    <c:v>0.36912571627584578</c:v>
                  </c:pt>
                  <c:pt idx="9">
                    <c:v>0.60340093518156546</c:v>
                  </c:pt>
                  <c:pt idx="10">
                    <c:v>0.74019548736289331</c:v>
                  </c:pt>
                  <c:pt idx="11">
                    <c:v>0.62132453824475786</c:v>
                  </c:pt>
                  <c:pt idx="12">
                    <c:v>0.79228034416514426</c:v>
                  </c:pt>
                  <c:pt idx="13">
                    <c:v>0.45506382798115469</c:v>
                  </c:pt>
                  <c:pt idx="14">
                    <c:v>0.71890871969543302</c:v>
                  </c:pt>
                  <c:pt idx="15">
                    <c:v>0.46938379464309554</c:v>
                  </c:pt>
                  <c:pt idx="16">
                    <c:v>0.79470370337678531</c:v>
                  </c:pt>
                  <c:pt idx="17">
                    <c:v>0.56609508499138383</c:v>
                  </c:pt>
                  <c:pt idx="18">
                    <c:v>0.54821265027071819</c:v>
                  </c:pt>
                  <c:pt idx="19">
                    <c:v>0</c:v>
                  </c:pt>
                  <c:pt idx="20">
                    <c:v>0.6854236897931999</c:v>
                  </c:pt>
                </c:numCache>
              </c:numRef>
            </c:plus>
            <c:minus>
              <c:numRef>
                <c:f>'S3-shallow'!$K$6:$K$26</c:f>
                <c:numCache>
                  <c:formatCode>General</c:formatCode>
                  <c:ptCount val="21"/>
                  <c:pt idx="0">
                    <c:v>0.50446257745410494</c:v>
                  </c:pt>
                  <c:pt idx="1">
                    <c:v>1.2720696509452831</c:v>
                  </c:pt>
                  <c:pt idx="2">
                    <c:v>1.1546214052183745</c:v>
                  </c:pt>
                  <c:pt idx="3">
                    <c:v>0.99589372273624122</c:v>
                  </c:pt>
                  <c:pt idx="4">
                    <c:v>0.95150674587123052</c:v>
                  </c:pt>
                  <c:pt idx="5">
                    <c:v>0.62928834361101271</c:v>
                  </c:pt>
                  <c:pt idx="6">
                    <c:v>1.0257067268588305</c:v>
                  </c:pt>
                  <c:pt idx="7">
                    <c:v>0.63713422967125866</c:v>
                  </c:pt>
                  <c:pt idx="8">
                    <c:v>0.36912571627584578</c:v>
                  </c:pt>
                  <c:pt idx="9">
                    <c:v>0.60340093518156546</c:v>
                  </c:pt>
                  <c:pt idx="10">
                    <c:v>0.74019548736289331</c:v>
                  </c:pt>
                  <c:pt idx="11">
                    <c:v>0.62132453824475786</c:v>
                  </c:pt>
                  <c:pt idx="12">
                    <c:v>0.79228034416514426</c:v>
                  </c:pt>
                  <c:pt idx="13">
                    <c:v>0.45506382798115469</c:v>
                  </c:pt>
                  <c:pt idx="14">
                    <c:v>0.71890871969543302</c:v>
                  </c:pt>
                  <c:pt idx="15">
                    <c:v>0.46938379464309554</c:v>
                  </c:pt>
                  <c:pt idx="16">
                    <c:v>0.79470370337678531</c:v>
                  </c:pt>
                  <c:pt idx="17">
                    <c:v>0.56609508499138383</c:v>
                  </c:pt>
                  <c:pt idx="18">
                    <c:v>0.54821265027071819</c:v>
                  </c:pt>
                  <c:pt idx="19">
                    <c:v>0</c:v>
                  </c:pt>
                  <c:pt idx="20">
                    <c:v>0.6854236897931999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'S3-shallow'!$J$6:$J$26</c:f>
              <c:numCache>
                <c:formatCode>General</c:formatCode>
                <c:ptCount val="21"/>
                <c:pt idx="0">
                  <c:v>1.1908107758611335</c:v>
                </c:pt>
                <c:pt idx="1">
                  <c:v>5.4847547041129578</c:v>
                </c:pt>
                <c:pt idx="2">
                  <c:v>3.6293894374294373</c:v>
                </c:pt>
                <c:pt idx="3">
                  <c:v>4.8735010433614683</c:v>
                </c:pt>
                <c:pt idx="4">
                  <c:v>2.8282342235976321</c:v>
                </c:pt>
                <c:pt idx="5">
                  <c:v>1.1848328720801642</c:v>
                </c:pt>
                <c:pt idx="6">
                  <c:v>1.2210963230792746</c:v>
                </c:pt>
                <c:pt idx="7">
                  <c:v>1.3604391158097184</c:v>
                </c:pt>
                <c:pt idx="8">
                  <c:v>3.6847598794346285E-2</c:v>
                </c:pt>
                <c:pt idx="9">
                  <c:v>0.21620059575243758</c:v>
                </c:pt>
                <c:pt idx="10">
                  <c:v>0.95471143377130996</c:v>
                </c:pt>
                <c:pt idx="11">
                  <c:v>0.94068510385566906</c:v>
                </c:pt>
                <c:pt idx="12">
                  <c:v>0.17872615036847336</c:v>
                </c:pt>
                <c:pt idx="13">
                  <c:v>1.2384194336603138</c:v>
                </c:pt>
                <c:pt idx="14">
                  <c:v>1.494585968124263</c:v>
                </c:pt>
                <c:pt idx="15">
                  <c:v>0.3529627627636987</c:v>
                </c:pt>
                <c:pt idx="16">
                  <c:v>0.50108036248087062</c:v>
                </c:pt>
                <c:pt idx="17">
                  <c:v>0.36769304937077973</c:v>
                </c:pt>
                <c:pt idx="18">
                  <c:v>0.33988450628416234</c:v>
                </c:pt>
                <c:pt idx="19">
                  <c:v>0</c:v>
                </c:pt>
                <c:pt idx="20">
                  <c:v>0.83939628591415538</c:v>
                </c:pt>
              </c:numCache>
            </c:numRef>
          </c:xVal>
          <c:yVal>
            <c:numRef>
              <c:f>'S3-shallow'!$F$6:$F$26</c:f>
              <c:numCache>
                <c:formatCode>General</c:formatCode>
                <c:ptCount val="21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3-40D2-A2C6-A0958C83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47328"/>
        <c:axId val="387446768"/>
      </c:scatterChart>
      <c:valAx>
        <c:axId val="387445648"/>
        <c:scaling>
          <c:orientation val="minMax"/>
          <c:max val="100"/>
          <c:min val="-15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Pb-201ex Activity (Bq/kg)</a:t>
                </a:r>
              </a:p>
            </c:rich>
          </c:tx>
          <c:layout>
            <c:manualLayout>
              <c:xMode val="edge"/>
              <c:yMode val="edge"/>
              <c:x val="0.38460073757548774"/>
              <c:y val="7.6155618397715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6208"/>
        <c:crossesAt val="0"/>
        <c:crossBetween val="midCat"/>
        <c:majorUnit val="50"/>
        <c:minorUnit val="10"/>
      </c:valAx>
      <c:valAx>
        <c:axId val="387446208"/>
        <c:scaling>
          <c:orientation val="maxMin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3.1714364082570792E-2"/>
              <c:y val="0.48040854124775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5648"/>
        <c:crossesAt val="-200"/>
        <c:crossBetween val="midCat"/>
      </c:valAx>
      <c:valAx>
        <c:axId val="387446768"/>
        <c:scaling>
          <c:orientation val="maxMin"/>
          <c:max val="40"/>
        </c:scaling>
        <c:delete val="0"/>
        <c:axPos val="r"/>
        <c:numFmt formatCode="General" sourceLinked="1"/>
        <c:majorTickMark val="out"/>
        <c:minorTickMark val="out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7328"/>
        <c:crosses val="max"/>
        <c:crossBetween val="midCat"/>
      </c:valAx>
      <c:valAx>
        <c:axId val="387447328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Cs-137</a:t>
                </a:r>
                <a:r>
                  <a:rPr lang="en-US" baseline="0">
                    <a:solidFill>
                      <a:schemeClr val="accent2"/>
                    </a:solidFill>
                  </a:rPr>
                  <a:t> Activity (Bq/kg)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529913328211774"/>
              <c:y val="0.9542033172916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676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44405621205128"/>
          <c:y val="0.54045956251738325"/>
          <c:w val="0.13077109594924802"/>
          <c:h val="0.14315345883499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    Pb-210</a:t>
            </a:r>
            <a:r>
              <a:rPr lang="en-US" baseline="0"/>
              <a:t> CRS and Cs-137 Sedimentation Rate</a:t>
            </a:r>
            <a:endParaRPr lang="en-US"/>
          </a:p>
        </c:rich>
      </c:tx>
      <c:layout>
        <c:manualLayout>
          <c:xMode val="edge"/>
          <c:yMode val="edge"/>
          <c:x val="0.13727077865266843"/>
          <c:y val="1.484028923262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4025481189851269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'S3-shallow'!$AT$34:$AT$41</c:f>
              <c:numCache>
                <c:formatCode>General</c:formatCode>
                <c:ptCount val="8"/>
                <c:pt idx="0">
                  <c:v>2013.0903344488243</c:v>
                </c:pt>
                <c:pt idx="1">
                  <c:v>2008.508875858741</c:v>
                </c:pt>
                <c:pt idx="2">
                  <c:v>2003.5490757724276</c:v>
                </c:pt>
                <c:pt idx="3">
                  <c:v>1995.6954208829984</c:v>
                </c:pt>
                <c:pt idx="4">
                  <c:v>1984.2572917093137</c:v>
                </c:pt>
                <c:pt idx="5">
                  <c:v>1972.384859998728</c:v>
                </c:pt>
                <c:pt idx="6">
                  <c:v>1967.4918330803341</c:v>
                </c:pt>
                <c:pt idx="7">
                  <c:v>1949.6937296080162</c:v>
                </c:pt>
              </c:numCache>
            </c:numRef>
          </c:xVal>
          <c:yVal>
            <c:numRef>
              <c:f>'S3-shallow'!$AZ$34:$AZ$41</c:f>
              <c:numCache>
                <c:formatCode>General</c:formatCode>
                <c:ptCount val="8"/>
                <c:pt idx="0">
                  <c:v>0.10817632765094196</c:v>
                </c:pt>
                <c:pt idx="1">
                  <c:v>8.6985911342348024E-2</c:v>
                </c:pt>
                <c:pt idx="2">
                  <c:v>9.5571214725821668E-2</c:v>
                </c:pt>
                <c:pt idx="3">
                  <c:v>0.11729380157635928</c:v>
                </c:pt>
                <c:pt idx="4">
                  <c:v>8.689974719637962E-2</c:v>
                </c:pt>
                <c:pt idx="5">
                  <c:v>8.7440711872304316E-2</c:v>
                </c:pt>
                <c:pt idx="6">
                  <c:v>0.20056120054844381</c:v>
                </c:pt>
                <c:pt idx="7">
                  <c:v>5.5914193006147743E-2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9-4F2A-A488-E83D3DAD168E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'S3-shallow'!$F$31</c:f>
                <c:numCache>
                  <c:formatCode>General</c:formatCode>
                  <c:ptCount val="1"/>
                  <c:pt idx="0">
                    <c:v>57.920765027322432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49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'S3-shallow'!$E$31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'S3-shallow'!$I$31</c:f>
              <c:numCache>
                <c:formatCode>General</c:formatCode>
                <c:ptCount val="1"/>
                <c:pt idx="0">
                  <c:v>1.7740959617453794E-2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9-4F2A-A488-E83D3DAD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36352"/>
        <c:axId val="794536912"/>
      </c:scatterChart>
      <c:valAx>
        <c:axId val="794536352"/>
        <c:scaling>
          <c:orientation val="minMax"/>
          <c:max val="20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888693901689277"/>
              <c:y val="0.9308176521702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6912"/>
        <c:crossesAt val="0"/>
        <c:crossBetween val="midCat"/>
        <c:majorUnit val="20"/>
        <c:minorUnit val="10"/>
      </c:valAx>
      <c:valAx>
        <c:axId val="79453691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 Rate (g cm</a:t>
                </a:r>
                <a:r>
                  <a:rPr lang="en-US" baseline="30000"/>
                  <a:t>-2</a:t>
                </a:r>
                <a:r>
                  <a:rPr lang="en-US"/>
                  <a:t> yr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83007410634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</a:t>
            </a:r>
            <a:r>
              <a:rPr lang="en-US" baseline="0"/>
              <a:t>  </a:t>
            </a:r>
            <a:r>
              <a:rPr lang="en-US"/>
              <a:t>  Pb-210</a:t>
            </a:r>
            <a:r>
              <a:rPr lang="en-US" baseline="0"/>
              <a:t> CRS and Cs-137 Sedimentation Rate</a:t>
            </a:r>
            <a:endParaRPr lang="en-US"/>
          </a:p>
        </c:rich>
      </c:tx>
      <c:layout>
        <c:manualLayout>
          <c:xMode val="edge"/>
          <c:yMode val="edge"/>
          <c:x val="0.14582991676682355"/>
          <c:y val="1.0444035050916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8053099715071608"/>
          <c:w val="0.64083621740743824"/>
          <c:h val="0.6666912152833816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'S3-shallow'!$AT$34:$AT$41</c:f>
              <c:numCache>
                <c:formatCode>General</c:formatCode>
                <c:ptCount val="8"/>
                <c:pt idx="0">
                  <c:v>2013.0903344488243</c:v>
                </c:pt>
                <c:pt idx="1">
                  <c:v>2008.508875858741</c:v>
                </c:pt>
                <c:pt idx="2">
                  <c:v>2003.5490757724276</c:v>
                </c:pt>
                <c:pt idx="3">
                  <c:v>1995.6954208829984</c:v>
                </c:pt>
                <c:pt idx="4">
                  <c:v>1984.2572917093137</c:v>
                </c:pt>
                <c:pt idx="5">
                  <c:v>1972.384859998728</c:v>
                </c:pt>
                <c:pt idx="6">
                  <c:v>1967.4918330803341</c:v>
                </c:pt>
                <c:pt idx="7">
                  <c:v>1949.6937296080162</c:v>
                </c:pt>
              </c:numCache>
            </c:numRef>
          </c:xVal>
          <c:yVal>
            <c:numRef>
              <c:f>'S3-shallow'!$AW$34:$AW$41</c:f>
              <c:numCache>
                <c:formatCode>General</c:formatCode>
                <c:ptCount val="8"/>
                <c:pt idx="0">
                  <c:v>0.25541379620832871</c:v>
                </c:pt>
                <c:pt idx="1">
                  <c:v>0.21827109867685901</c:v>
                </c:pt>
                <c:pt idx="2">
                  <c:v>0.20162102959744382</c:v>
                </c:pt>
                <c:pt idx="3">
                  <c:v>0.25465850335388968</c:v>
                </c:pt>
                <c:pt idx="4">
                  <c:v>0.17485376932106383</c:v>
                </c:pt>
                <c:pt idx="5">
                  <c:v>0.16845748611186004</c:v>
                </c:pt>
                <c:pt idx="6">
                  <c:v>0.40874494119000437</c:v>
                </c:pt>
                <c:pt idx="7">
                  <c:v>0.11237152335419742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2-4626-8C6A-8B9141A4B75C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'S3-shallow'!$F$31</c:f>
                <c:numCache>
                  <c:formatCode>General</c:formatCode>
                  <c:ptCount val="1"/>
                  <c:pt idx="0">
                    <c:v>57.920765027322432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49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'S3-shallow'!$E$31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'S3-shallow'!$G$31</c:f>
              <c:numCache>
                <c:formatCode>0.00</c:formatCode>
                <c:ptCount val="1"/>
                <c:pt idx="0">
                  <c:v>4.3162413321383063E-2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2-4626-8C6A-8B9141A4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6800"/>
        <c:axId val="66697360"/>
      </c:scatterChart>
      <c:valAx>
        <c:axId val="66696800"/>
        <c:scaling>
          <c:orientation val="minMax"/>
          <c:max val="20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921419164113052"/>
              <c:y val="0.9308176521702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360"/>
        <c:crossesAt val="0"/>
        <c:crossBetween val="midCat"/>
        <c:majorUnit val="20"/>
        <c:minorUnit val="10"/>
      </c:valAx>
      <c:valAx>
        <c:axId val="666973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 Rate (cm</a:t>
                </a:r>
                <a:r>
                  <a:rPr lang="en-US" baseline="0"/>
                  <a:t> </a:t>
                </a:r>
                <a:r>
                  <a:rPr lang="en-US"/>
                  <a:t>yr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83007410634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AC2   Pb-210</a:t>
            </a:r>
            <a:r>
              <a:rPr lang="en-US" baseline="0"/>
              <a:t> CRS Chronological Model and Cs-137 </a:t>
            </a:r>
            <a:endParaRPr lang="en-US"/>
          </a:p>
        </c:rich>
      </c:tx>
      <c:layout>
        <c:manualLayout>
          <c:xMode val="edge"/>
          <c:yMode val="edge"/>
          <c:x val="1.1596675415572989E-3"/>
          <c:y val="1.484028923262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4025481189851269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'AC2'!$S$5:$S$19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2.7520564270336658</c:v>
                  </c:pt>
                  <c:pt idx="2">
                    <c:v>3.1819350971734774</c:v>
                  </c:pt>
                  <c:pt idx="3">
                    <c:v>3.7664506343991739</c:v>
                  </c:pt>
                  <c:pt idx="4">
                    <c:v>5.0485044751599162</c:v>
                  </c:pt>
                  <c:pt idx="5">
                    <c:v>6.9817192301557114</c:v>
                  </c:pt>
                  <c:pt idx="6">
                    <c:v>9.6289972026932418</c:v>
                  </c:pt>
                  <c:pt idx="7">
                    <c:v>15.691314470862118</c:v>
                  </c:pt>
                  <c:pt idx="8">
                    <c:v>26.164843077864532</c:v>
                  </c:pt>
                  <c:pt idx="9">
                    <c:v>26.46140817096952</c:v>
                  </c:pt>
                  <c:pt idx="10">
                    <c:v>30.032107974362759</c:v>
                  </c:pt>
                  <c:pt idx="11">
                    <c:v>37.307376174730322</c:v>
                  </c:pt>
                </c:numCache>
              </c:numRef>
            </c:plus>
            <c:minus>
              <c:numRef>
                <c:f>'AC2'!$S$5:$S$19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2.7520564270336658</c:v>
                  </c:pt>
                  <c:pt idx="2">
                    <c:v>3.1819350971734774</c:v>
                  </c:pt>
                  <c:pt idx="3">
                    <c:v>3.7664506343991739</c:v>
                  </c:pt>
                  <c:pt idx="4">
                    <c:v>5.0485044751599162</c:v>
                  </c:pt>
                  <c:pt idx="5">
                    <c:v>6.9817192301557114</c:v>
                  </c:pt>
                  <c:pt idx="6">
                    <c:v>9.6289972026932418</c:v>
                  </c:pt>
                  <c:pt idx="7">
                    <c:v>15.691314470862118</c:v>
                  </c:pt>
                  <c:pt idx="8">
                    <c:v>26.164843077864532</c:v>
                  </c:pt>
                  <c:pt idx="9">
                    <c:v>26.46140817096952</c:v>
                  </c:pt>
                  <c:pt idx="10">
                    <c:v>30.032107974362759</c:v>
                  </c:pt>
                  <c:pt idx="11">
                    <c:v>37.307376174730322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'AC2'!$R$5:$R$16</c:f>
              <c:numCache>
                <c:formatCode>General</c:formatCode>
                <c:ptCount val="12"/>
                <c:pt idx="0">
                  <c:v>2020.9207650273224</c:v>
                </c:pt>
                <c:pt idx="1">
                  <c:v>2011.6163303673729</c:v>
                </c:pt>
                <c:pt idx="2">
                  <c:v>2006.7495181650504</c:v>
                </c:pt>
                <c:pt idx="3">
                  <c:v>2001.0506908042223</c:v>
                </c:pt>
                <c:pt idx="4">
                  <c:v>1991.0121260459439</c:v>
                </c:pt>
                <c:pt idx="5">
                  <c:v>1979.6317576733238</c:v>
                </c:pt>
                <c:pt idx="6">
                  <c:v>1967.954545870359</c:v>
                </c:pt>
                <c:pt idx="7">
                  <c:v>1949.084144752366</c:v>
                </c:pt>
                <c:pt idx="8">
                  <c:v>1926.9052028704496</c:v>
                </c:pt>
                <c:pt idx="9">
                  <c:v>1926.3758638933814</c:v>
                </c:pt>
                <c:pt idx="10">
                  <c:v>1920.2773641544766</c:v>
                </c:pt>
                <c:pt idx="11">
                  <c:v>1909.0663372033637</c:v>
                </c:pt>
              </c:numCache>
            </c:numRef>
          </c:xVal>
          <c:yVal>
            <c:numRef>
              <c:f>'AC2'!$E$5:$E$16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B-41C3-B4E3-980A66E36EED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'AC2'!$E$36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'AC2'!$D$36</c:f>
              <c:numCache>
                <c:formatCode>General</c:formatCode>
                <c:ptCount val="1"/>
                <c:pt idx="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B-41C3-B4E3-980A66E3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61712"/>
        <c:axId val="752062272"/>
      </c:scatterChart>
      <c:valAx>
        <c:axId val="752061712"/>
        <c:scaling>
          <c:orientation val="minMax"/>
          <c:max val="202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391316710411199"/>
              <c:y val="0.92634259259259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2272"/>
        <c:crossesAt val="70"/>
        <c:crossBetween val="midCat"/>
        <c:majorUnit val="20"/>
        <c:minorUnit val="10"/>
      </c:valAx>
      <c:valAx>
        <c:axId val="752062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9190726159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AC2</a:t>
            </a:r>
          </a:p>
        </c:rich>
      </c:tx>
      <c:layout>
        <c:manualLayout>
          <c:xMode val="edge"/>
          <c:yMode val="edge"/>
          <c:x val="2.972942442856057E-2"/>
          <c:y val="1.9553143630496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1715698114"/>
          <c:y val="0.18078882843507221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'AC2'!$O$6:$O$20</c:f>
                <c:numCache>
                  <c:formatCode>General</c:formatCode>
                  <c:ptCount val="15"/>
                  <c:pt idx="0">
                    <c:v>10.650939955613838</c:v>
                  </c:pt>
                  <c:pt idx="1">
                    <c:v>17.248597434984219</c:v>
                  </c:pt>
                  <c:pt idx="2">
                    <c:v>16.61857046229095</c:v>
                  </c:pt>
                  <c:pt idx="3">
                    <c:v>10.207494432626989</c:v>
                  </c:pt>
                  <c:pt idx="4">
                    <c:v>14.277434825149435</c:v>
                  </c:pt>
                  <c:pt idx="5">
                    <c:v>9.6442592497709647</c:v>
                  </c:pt>
                  <c:pt idx="6">
                    <c:v>13.748707155476946</c:v>
                  </c:pt>
                  <c:pt idx="7">
                    <c:v>8.9371145229829025</c:v>
                  </c:pt>
                  <c:pt idx="8">
                    <c:v>11.141344259495092</c:v>
                  </c:pt>
                  <c:pt idx="9">
                    <c:v>7.7060539979650589</c:v>
                  </c:pt>
                  <c:pt idx="10">
                    <c:v>10.670555508620104</c:v>
                  </c:pt>
                  <c:pt idx="11">
                    <c:v>9.148872425252943</c:v>
                  </c:pt>
                  <c:pt idx="12">
                    <c:v>10.89094824559996</c:v>
                  </c:pt>
                  <c:pt idx="13">
                    <c:v>9.5521899383045756</c:v>
                  </c:pt>
                  <c:pt idx="14">
                    <c:v>12.124620180897702</c:v>
                  </c:pt>
                </c:numCache>
              </c:numRef>
            </c:plus>
            <c:minus>
              <c:numRef>
                <c:f>'AC2'!$O$6:$O$20</c:f>
                <c:numCache>
                  <c:formatCode>General</c:formatCode>
                  <c:ptCount val="15"/>
                  <c:pt idx="0">
                    <c:v>10.650939955613838</c:v>
                  </c:pt>
                  <c:pt idx="1">
                    <c:v>17.248597434984219</c:v>
                  </c:pt>
                  <c:pt idx="2">
                    <c:v>16.61857046229095</c:v>
                  </c:pt>
                  <c:pt idx="3">
                    <c:v>10.207494432626989</c:v>
                  </c:pt>
                  <c:pt idx="4">
                    <c:v>14.277434825149435</c:v>
                  </c:pt>
                  <c:pt idx="5">
                    <c:v>9.6442592497709647</c:v>
                  </c:pt>
                  <c:pt idx="6">
                    <c:v>13.748707155476946</c:v>
                  </c:pt>
                  <c:pt idx="7">
                    <c:v>8.9371145229829025</c:v>
                  </c:pt>
                  <c:pt idx="8">
                    <c:v>11.141344259495092</c:v>
                  </c:pt>
                  <c:pt idx="9">
                    <c:v>7.7060539979650589</c:v>
                  </c:pt>
                  <c:pt idx="10">
                    <c:v>10.670555508620104</c:v>
                  </c:pt>
                  <c:pt idx="11">
                    <c:v>9.148872425252943</c:v>
                  </c:pt>
                  <c:pt idx="12">
                    <c:v>10.89094824559996</c:v>
                  </c:pt>
                  <c:pt idx="13">
                    <c:v>9.5521899383045756</c:v>
                  </c:pt>
                  <c:pt idx="14">
                    <c:v>12.124620180897702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'AC2'!$H$6:$H$20</c:f>
                <c:numCache>
                  <c:formatCode>General</c:formatCode>
                  <c:ptCount val="15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plus>
            <c:minus>
              <c:numRef>
                <c:f>'AC2'!$H$6:$H$20</c:f>
                <c:numCache>
                  <c:formatCode>General</c:formatCode>
                  <c:ptCount val="15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'AC2'!$N$6:$N$20</c:f>
              <c:numCache>
                <c:formatCode>General</c:formatCode>
                <c:ptCount val="15"/>
                <c:pt idx="0">
                  <c:v>107.12406858747514</c:v>
                </c:pt>
                <c:pt idx="1">
                  <c:v>109.47179761152228</c:v>
                </c:pt>
                <c:pt idx="2">
                  <c:v>81.305679115787953</c:v>
                </c:pt>
                <c:pt idx="3">
                  <c:v>49.556638092207209</c:v>
                </c:pt>
                <c:pt idx="4">
                  <c:v>37.667211022386525</c:v>
                </c:pt>
                <c:pt idx="5">
                  <c:v>27.445026394002426</c:v>
                </c:pt>
                <c:pt idx="6">
                  <c:v>22.371006580944282</c:v>
                </c:pt>
                <c:pt idx="7">
                  <c:v>15.024180394399018</c:v>
                </c:pt>
                <c:pt idx="8">
                  <c:v>0.21577222690595477</c:v>
                </c:pt>
                <c:pt idx="9">
                  <c:v>2.1035812251702524</c:v>
                </c:pt>
                <c:pt idx="10">
                  <c:v>3.0490561175668986</c:v>
                </c:pt>
                <c:pt idx="11">
                  <c:v>6.4716453721008165</c:v>
                </c:pt>
                <c:pt idx="12">
                  <c:v>-11.398505932430172</c:v>
                </c:pt>
                <c:pt idx="13">
                  <c:v>-4.5452217722468404</c:v>
                </c:pt>
                <c:pt idx="14">
                  <c:v>-5.3578624717688861</c:v>
                </c:pt>
              </c:numCache>
            </c:numRef>
          </c:xVal>
          <c:yVal>
            <c:numRef>
              <c:f>'AC2'!$F$6:$F$20</c:f>
              <c:numCache>
                <c:formatCode>General</c:formatCode>
                <c:ptCount val="15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6-4F28-8290-1672A089A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45648"/>
        <c:axId val="387446208"/>
      </c:scatterChart>
      <c:scatterChart>
        <c:scatterStyle val="lineMarker"/>
        <c:varyColors val="0"/>
        <c:ser>
          <c:idx val="1"/>
          <c:order val="1"/>
          <c:tx>
            <c:v>Cs-137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'AC2'!$H$6:$H$20</c:f>
                <c:numCache>
                  <c:formatCode>General</c:formatCode>
                  <c:ptCount val="15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plus>
            <c:minus>
              <c:numRef>
                <c:f>'AC2'!$H$6:$H$20</c:f>
                <c:numCache>
                  <c:formatCode>General</c:formatCode>
                  <c:ptCount val="15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'AC2'!$K$6:$K$20</c:f>
                <c:numCache>
                  <c:formatCode>General</c:formatCode>
                  <c:ptCount val="15"/>
                  <c:pt idx="0">
                    <c:v>0.49973669723348546</c:v>
                  </c:pt>
                  <c:pt idx="1">
                    <c:v>0.94258941350976921</c:v>
                  </c:pt>
                  <c:pt idx="2">
                    <c:v>1.4353364796864301</c:v>
                  </c:pt>
                  <c:pt idx="3">
                    <c:v>0.76385860527543326</c:v>
                  </c:pt>
                  <c:pt idx="4">
                    <c:v>1.3973331826090987</c:v>
                  </c:pt>
                  <c:pt idx="5">
                    <c:v>0.8153119324756678</c:v>
                  </c:pt>
                  <c:pt idx="6">
                    <c:v>1.4439849676377901</c:v>
                  </c:pt>
                  <c:pt idx="7">
                    <c:v>0.81318251069552205</c:v>
                  </c:pt>
                  <c:pt idx="8">
                    <c:v>1.1619324702246818</c:v>
                  </c:pt>
                  <c:pt idx="9">
                    <c:v>0.67613830451184287</c:v>
                  </c:pt>
                  <c:pt idx="10">
                    <c:v>0.98536355125955188</c:v>
                  </c:pt>
                  <c:pt idx="11">
                    <c:v>0.5075872347903071</c:v>
                  </c:pt>
                  <c:pt idx="12">
                    <c:v>0.98536355125955188</c:v>
                  </c:pt>
                  <c:pt idx="13">
                    <c:v>0.59016740748134333</c:v>
                  </c:pt>
                  <c:pt idx="14">
                    <c:v>0</c:v>
                  </c:pt>
                </c:numCache>
              </c:numRef>
            </c:plus>
            <c:minus>
              <c:numRef>
                <c:f>'AC2'!$K$6:$K$20</c:f>
                <c:numCache>
                  <c:formatCode>General</c:formatCode>
                  <c:ptCount val="15"/>
                  <c:pt idx="0">
                    <c:v>0.49973669723348546</c:v>
                  </c:pt>
                  <c:pt idx="1">
                    <c:v>0.94258941350976921</c:v>
                  </c:pt>
                  <c:pt idx="2">
                    <c:v>1.4353364796864301</c:v>
                  </c:pt>
                  <c:pt idx="3">
                    <c:v>0.76385860527543326</c:v>
                  </c:pt>
                  <c:pt idx="4">
                    <c:v>1.3973331826090987</c:v>
                  </c:pt>
                  <c:pt idx="5">
                    <c:v>0.8153119324756678</c:v>
                  </c:pt>
                  <c:pt idx="6">
                    <c:v>1.4439849676377901</c:v>
                  </c:pt>
                  <c:pt idx="7">
                    <c:v>0.81318251069552205</c:v>
                  </c:pt>
                  <c:pt idx="8">
                    <c:v>1.1619324702246818</c:v>
                  </c:pt>
                  <c:pt idx="9">
                    <c:v>0.67613830451184287</c:v>
                  </c:pt>
                  <c:pt idx="10">
                    <c:v>0.98536355125955188</c:v>
                  </c:pt>
                  <c:pt idx="11">
                    <c:v>0.5075872347903071</c:v>
                  </c:pt>
                  <c:pt idx="12">
                    <c:v>0.98536355125955188</c:v>
                  </c:pt>
                  <c:pt idx="13">
                    <c:v>0.59016740748134333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'AC2'!$J$6:$J$20</c:f>
              <c:numCache>
                <c:formatCode>General</c:formatCode>
                <c:ptCount val="15"/>
                <c:pt idx="0">
                  <c:v>1.9283649506212124</c:v>
                </c:pt>
                <c:pt idx="1">
                  <c:v>2.3872239956094181</c:v>
                </c:pt>
                <c:pt idx="2">
                  <c:v>6.3440477898695002</c:v>
                </c:pt>
                <c:pt idx="3">
                  <c:v>4.0134709721436339</c:v>
                </c:pt>
                <c:pt idx="4">
                  <c:v>5.041776856798541</c:v>
                </c:pt>
                <c:pt idx="5">
                  <c:v>6.0783592103066075</c:v>
                </c:pt>
                <c:pt idx="6">
                  <c:v>6.8065201561995847</c:v>
                </c:pt>
                <c:pt idx="7">
                  <c:v>4.5081637823859806</c:v>
                </c:pt>
                <c:pt idx="8">
                  <c:v>4.1139955401527022</c:v>
                </c:pt>
                <c:pt idx="9">
                  <c:v>2.1637505079431736</c:v>
                </c:pt>
                <c:pt idx="10">
                  <c:v>0.9439660567636341</c:v>
                </c:pt>
                <c:pt idx="11">
                  <c:v>0.24596317421431096</c:v>
                </c:pt>
                <c:pt idx="12">
                  <c:v>0.9439660567636341</c:v>
                </c:pt>
                <c:pt idx="13">
                  <c:v>0.26307751796817902</c:v>
                </c:pt>
                <c:pt idx="14">
                  <c:v>0</c:v>
                </c:pt>
              </c:numCache>
            </c:numRef>
          </c:xVal>
          <c:yVal>
            <c:numRef>
              <c:f>'AC2'!$F$6:$F$20</c:f>
              <c:numCache>
                <c:formatCode>General</c:formatCode>
                <c:ptCount val="15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6-4F28-8290-1672A089A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47328"/>
        <c:axId val="387446768"/>
      </c:scatterChart>
      <c:valAx>
        <c:axId val="387445648"/>
        <c:scaling>
          <c:orientation val="minMax"/>
          <c:max val="150"/>
          <c:min val="-20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Pb-201ex Activity (Bq/kg)</a:t>
                </a:r>
              </a:p>
            </c:rich>
          </c:tx>
          <c:layout>
            <c:manualLayout>
              <c:xMode val="edge"/>
              <c:yMode val="edge"/>
              <c:x val="0.38460073757548774"/>
              <c:y val="7.6155618397715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6208"/>
        <c:crossesAt val="0"/>
        <c:crossBetween val="midCat"/>
        <c:majorUnit val="50"/>
        <c:minorUnit val="10"/>
      </c:valAx>
      <c:valAx>
        <c:axId val="387446208"/>
        <c:scaling>
          <c:orientation val="maxMin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3.1714364082570792E-2"/>
              <c:y val="0.48040854124775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5648"/>
        <c:crossesAt val="-200"/>
        <c:crossBetween val="midCat"/>
      </c:valAx>
      <c:valAx>
        <c:axId val="387446768"/>
        <c:scaling>
          <c:orientation val="maxMin"/>
          <c:max val="40"/>
        </c:scaling>
        <c:delete val="0"/>
        <c:axPos val="r"/>
        <c:numFmt formatCode="General" sourceLinked="1"/>
        <c:majorTickMark val="out"/>
        <c:minorTickMark val="out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7328"/>
        <c:crosses val="max"/>
        <c:crossBetween val="midCat"/>
      </c:valAx>
      <c:valAx>
        <c:axId val="387447328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Cs-137</a:t>
                </a:r>
                <a:r>
                  <a:rPr lang="en-US" baseline="0">
                    <a:solidFill>
                      <a:schemeClr val="accent2"/>
                    </a:solidFill>
                  </a:rPr>
                  <a:t> Activity (Bq/kg)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529913328211774"/>
              <c:y val="0.9542033172916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676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44405621205128"/>
          <c:y val="0.54045956251738325"/>
          <c:w val="0.13077109594924802"/>
          <c:h val="0.14315345883499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AC2    Pb-210</a:t>
            </a:r>
            <a:r>
              <a:rPr lang="en-US" baseline="0"/>
              <a:t> CRS and Cs-137 Sedimentation Rate</a:t>
            </a:r>
            <a:endParaRPr lang="en-US"/>
          </a:p>
        </c:rich>
      </c:tx>
      <c:layout>
        <c:manualLayout>
          <c:xMode val="edge"/>
          <c:yMode val="edge"/>
          <c:x val="0.13727077865266843"/>
          <c:y val="1.484028923262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4025481189851269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'AC2'!$R$6:$R$16</c:f>
              <c:numCache>
                <c:formatCode>General</c:formatCode>
                <c:ptCount val="11"/>
                <c:pt idx="0">
                  <c:v>2011.6163303673729</c:v>
                </c:pt>
                <c:pt idx="1">
                  <c:v>2006.7495181650504</c:v>
                </c:pt>
                <c:pt idx="2">
                  <c:v>2001.0506908042223</c:v>
                </c:pt>
                <c:pt idx="3">
                  <c:v>1991.0121260459439</c:v>
                </c:pt>
                <c:pt idx="4">
                  <c:v>1979.6317576733238</c:v>
                </c:pt>
                <c:pt idx="5">
                  <c:v>1967.954545870359</c:v>
                </c:pt>
                <c:pt idx="6">
                  <c:v>1949.084144752366</c:v>
                </c:pt>
                <c:pt idx="7">
                  <c:v>1926.9052028704496</c:v>
                </c:pt>
                <c:pt idx="8">
                  <c:v>1926.3758638933814</c:v>
                </c:pt>
                <c:pt idx="9">
                  <c:v>1920.2773641544766</c:v>
                </c:pt>
                <c:pt idx="10">
                  <c:v>1909.0663372033637</c:v>
                </c:pt>
              </c:numCache>
            </c:numRef>
          </c:xVal>
          <c:yVal>
            <c:numRef>
              <c:f>'AC2'!$Y$6:$Y$16</c:f>
              <c:numCache>
                <c:formatCode>General</c:formatCode>
                <c:ptCount val="11"/>
                <c:pt idx="0">
                  <c:v>6.8431048756912222E-2</c:v>
                </c:pt>
                <c:pt idx="1">
                  <c:v>5.3536406072607096E-2</c:v>
                </c:pt>
                <c:pt idx="2">
                  <c:v>6.1143603109331784E-2</c:v>
                </c:pt>
                <c:pt idx="3">
                  <c:v>7.8681885896110804E-2</c:v>
                </c:pt>
                <c:pt idx="4">
                  <c:v>7.4182212596569194E-2</c:v>
                </c:pt>
                <c:pt idx="5">
                  <c:v>7.1054358774750637E-2</c:v>
                </c:pt>
                <c:pt idx="6">
                  <c:v>5.4590653902100252E-2</c:v>
                </c:pt>
                <c:pt idx="7">
                  <c:v>4.306057781806031E-2</c:v>
                </c:pt>
                <c:pt idx="8">
                  <c:v>2.0619386398227815</c:v>
                </c:pt>
                <c:pt idx="9">
                  <c:v>0.19099697879528379</c:v>
                </c:pt>
                <c:pt idx="10">
                  <c:v>0.10093031398701073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1EC-B02E-6DD659EFDEE2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'AC2'!$F$36</c:f>
                <c:numCache>
                  <c:formatCode>General</c:formatCode>
                  <c:ptCount val="1"/>
                  <c:pt idx="0">
                    <c:v>57.920765027322432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49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'AC2'!$E$36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'AC2'!$I$36</c:f>
              <c:numCache>
                <c:formatCode>General</c:formatCode>
                <c:ptCount val="1"/>
                <c:pt idx="0">
                  <c:v>7.2556169401537002E-2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9-41EC-B02E-6DD659EF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36352"/>
        <c:axId val="794536912"/>
      </c:scatterChart>
      <c:valAx>
        <c:axId val="794536352"/>
        <c:scaling>
          <c:orientation val="minMax"/>
          <c:max val="20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888693901689277"/>
              <c:y val="0.9308176521702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6912"/>
        <c:crossesAt val="0"/>
        <c:crossBetween val="midCat"/>
        <c:majorUnit val="20"/>
        <c:minorUnit val="10"/>
      </c:valAx>
      <c:valAx>
        <c:axId val="79453691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 Rate (g cm</a:t>
                </a:r>
                <a:r>
                  <a:rPr lang="en-US" baseline="30000"/>
                  <a:t>-2</a:t>
                </a:r>
                <a:r>
                  <a:rPr lang="en-US"/>
                  <a:t> yr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83007410634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AC2</a:t>
            </a:r>
            <a:r>
              <a:rPr lang="en-US" baseline="0"/>
              <a:t>  </a:t>
            </a:r>
            <a:r>
              <a:rPr lang="en-US"/>
              <a:t>  Pb-210</a:t>
            </a:r>
            <a:r>
              <a:rPr lang="en-US" baseline="0"/>
              <a:t> CRS and Cs-137 Sedimentation Rate</a:t>
            </a:r>
            <a:endParaRPr lang="en-US"/>
          </a:p>
        </c:rich>
      </c:tx>
      <c:layout>
        <c:manualLayout>
          <c:xMode val="edge"/>
          <c:yMode val="edge"/>
          <c:x val="0.14582991676682355"/>
          <c:y val="1.0444035050916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8053099715071608"/>
          <c:w val="0.64083621740743824"/>
          <c:h val="0.6666912152833816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'AC2'!$R$6:$R$16</c:f>
              <c:numCache>
                <c:formatCode>General</c:formatCode>
                <c:ptCount val="11"/>
                <c:pt idx="0">
                  <c:v>2011.6163303673729</c:v>
                </c:pt>
                <c:pt idx="1">
                  <c:v>2006.7495181650504</c:v>
                </c:pt>
                <c:pt idx="2">
                  <c:v>2001.0506908042223</c:v>
                </c:pt>
                <c:pt idx="3">
                  <c:v>1991.0121260459439</c:v>
                </c:pt>
                <c:pt idx="4">
                  <c:v>1979.6317576733238</c:v>
                </c:pt>
                <c:pt idx="5">
                  <c:v>1967.954545870359</c:v>
                </c:pt>
                <c:pt idx="6">
                  <c:v>1949.084144752366</c:v>
                </c:pt>
                <c:pt idx="7">
                  <c:v>1926.9052028704496</c:v>
                </c:pt>
                <c:pt idx="8">
                  <c:v>1926.3758638933814</c:v>
                </c:pt>
                <c:pt idx="9">
                  <c:v>1920.2773641544766</c:v>
                </c:pt>
                <c:pt idx="10">
                  <c:v>1909.0663372033637</c:v>
                </c:pt>
              </c:numCache>
            </c:numRef>
          </c:xVal>
          <c:yVal>
            <c:numRef>
              <c:f>'AC2'!$V$6:$V$16</c:f>
              <c:numCache>
                <c:formatCode>General</c:formatCode>
                <c:ptCount val="11"/>
                <c:pt idx="0">
                  <c:v>0.21495126497141273</c:v>
                </c:pt>
                <c:pt idx="1">
                  <c:v>0.20547330746043191</c:v>
                </c:pt>
                <c:pt idx="2">
                  <c:v>0.17547469622850465</c:v>
                </c:pt>
                <c:pt idx="3">
                  <c:v>0.19923166788864669</c:v>
                </c:pt>
                <c:pt idx="4">
                  <c:v>0.17574123565382849</c:v>
                </c:pt>
                <c:pt idx="5">
                  <c:v>0.17127376241408923</c:v>
                </c:pt>
                <c:pt idx="6">
                  <c:v>0.10598608834514893</c:v>
                </c:pt>
                <c:pt idx="7">
                  <c:v>9.0175627432916267E-2</c:v>
                </c:pt>
                <c:pt idx="8">
                  <c:v>3.7782972474034446</c:v>
                </c:pt>
                <c:pt idx="9">
                  <c:v>0.32794950981815796</c:v>
                </c:pt>
                <c:pt idx="10">
                  <c:v>0.17839578913878745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FA9-B877-08737B703C6D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'AC2'!$F$36</c:f>
                <c:numCache>
                  <c:formatCode>General</c:formatCode>
                  <c:ptCount val="1"/>
                  <c:pt idx="0">
                    <c:v>57.920765027322432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49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'AC2'!$E$36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'AC2'!$G$36</c:f>
              <c:numCache>
                <c:formatCode>0.00</c:formatCode>
                <c:ptCount val="1"/>
                <c:pt idx="0">
                  <c:v>0.18991461861408548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C-4FA9-B877-08737B703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6800"/>
        <c:axId val="66697360"/>
      </c:scatterChart>
      <c:valAx>
        <c:axId val="66696800"/>
        <c:scaling>
          <c:orientation val="minMax"/>
          <c:max val="20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921419164113052"/>
              <c:y val="0.9308176521702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360"/>
        <c:crossesAt val="0"/>
        <c:crossBetween val="midCat"/>
        <c:majorUnit val="20"/>
        <c:minorUnit val="10"/>
      </c:valAx>
      <c:valAx>
        <c:axId val="666973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 Rate (cm</a:t>
                </a:r>
                <a:r>
                  <a:rPr lang="en-US" baseline="0"/>
                  <a:t> </a:t>
                </a:r>
                <a:r>
                  <a:rPr lang="en-US"/>
                  <a:t>yr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83007410634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02541808"/>
        <c:axId val="402542368"/>
      </c:scatterChart>
      <c:valAx>
        <c:axId val="4025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42368"/>
        <c:crosses val="autoZero"/>
        <c:crossBetween val="midCat"/>
      </c:valAx>
      <c:valAx>
        <c:axId val="4025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    Pb-210</a:t>
            </a:r>
            <a:r>
              <a:rPr lang="en-US" baseline="0"/>
              <a:t> CRS Chronological Model and Cs-137 </a:t>
            </a:r>
            <a:endParaRPr lang="en-US"/>
          </a:p>
        </c:rich>
      </c:tx>
      <c:layout>
        <c:manualLayout>
          <c:xMode val="edge"/>
          <c:yMode val="edge"/>
          <c:x val="4.2305499817030773E-2"/>
          <c:y val="1.4840278624365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4025481189851269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'M6-deep'!$AS$38:$AS$50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2.2674890094287905</c:v>
                  </c:pt>
                  <c:pt idx="2">
                    <c:v>2.4938487083889909</c:v>
                  </c:pt>
                  <c:pt idx="3">
                    <c:v>2.704909693594173</c:v>
                  </c:pt>
                  <c:pt idx="4">
                    <c:v>3.1080810262427594</c:v>
                  </c:pt>
                  <c:pt idx="5">
                    <c:v>3.7360267528964783</c:v>
                  </c:pt>
                  <c:pt idx="6">
                    <c:v>4.6031613628457428</c:v>
                  </c:pt>
                  <c:pt idx="7">
                    <c:v>6.3204831758247622</c:v>
                  </c:pt>
                  <c:pt idx="8">
                    <c:v>7.8469215532924679</c:v>
                  </c:pt>
                  <c:pt idx="9">
                    <c:v>9.6659763661929858</c:v>
                  </c:pt>
                  <c:pt idx="10">
                    <c:v>12.080126284618849</c:v>
                  </c:pt>
                  <c:pt idx="11">
                    <c:v>12.316509815845741</c:v>
                  </c:pt>
                  <c:pt idx="12">
                    <c:v>14.732083570412286</c:v>
                  </c:pt>
                </c:numCache>
              </c:numRef>
            </c:plus>
            <c:minus>
              <c:numRef>
                <c:f>'M6-deep'!$AS$38:$AS$50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2.2674890094287905</c:v>
                  </c:pt>
                  <c:pt idx="2">
                    <c:v>2.4938487083889909</c:v>
                  </c:pt>
                  <c:pt idx="3">
                    <c:v>2.704909693594173</c:v>
                  </c:pt>
                  <c:pt idx="4">
                    <c:v>3.1080810262427594</c:v>
                  </c:pt>
                  <c:pt idx="5">
                    <c:v>3.7360267528964783</c:v>
                  </c:pt>
                  <c:pt idx="6">
                    <c:v>4.6031613628457428</c:v>
                  </c:pt>
                  <c:pt idx="7">
                    <c:v>6.3204831758247622</c:v>
                  </c:pt>
                  <c:pt idx="8">
                    <c:v>7.8469215532924679</c:v>
                  </c:pt>
                  <c:pt idx="9">
                    <c:v>9.6659763661929858</c:v>
                  </c:pt>
                  <c:pt idx="10">
                    <c:v>12.080126284618849</c:v>
                  </c:pt>
                  <c:pt idx="11">
                    <c:v>12.316509815845741</c:v>
                  </c:pt>
                  <c:pt idx="12">
                    <c:v>14.732083570412286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'M6-deep'!$AT$38:$AT$50</c:f>
              <c:numCache>
                <c:formatCode>General</c:formatCode>
                <c:ptCount val="13"/>
                <c:pt idx="0">
                  <c:v>2020.9207650273224</c:v>
                </c:pt>
                <c:pt idx="1">
                  <c:v>2014.2817000113996</c:v>
                </c:pt>
                <c:pt idx="2">
                  <c:v>2011.1195379572971</c:v>
                </c:pt>
                <c:pt idx="3">
                  <c:v>2008.4105962124049</c:v>
                </c:pt>
                <c:pt idx="4">
                  <c:v>2003.756112191383</c:v>
                </c:pt>
                <c:pt idx="5">
                  <c:v>1997.5428783602015</c:v>
                </c:pt>
                <c:pt idx="6">
                  <c:v>1990.4150371725564</c:v>
                </c:pt>
                <c:pt idx="7">
                  <c:v>1979.3774849671468</c:v>
                </c:pt>
                <c:pt idx="8">
                  <c:v>1971.6577142280616</c:v>
                </c:pt>
                <c:pt idx="9">
                  <c:v>1964.0292856778465</c:v>
                </c:pt>
                <c:pt idx="10">
                  <c:v>1955.6134560773019</c:v>
                </c:pt>
                <c:pt idx="11">
                  <c:v>1954.8671132583825</c:v>
                </c:pt>
                <c:pt idx="12">
                  <c:v>1947.8388089836435</c:v>
                </c:pt>
              </c:numCache>
            </c:numRef>
          </c:xVal>
          <c:yVal>
            <c:numRef>
              <c:f>'M6-deep'!$AE$38:$AE$50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4-4B36-A392-7AB8583EB897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'M6-deep'!$E$36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'M6-deep'!$D$36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4-4B36-A392-7AB8583E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61712"/>
        <c:axId val="752062272"/>
      </c:scatterChart>
      <c:valAx>
        <c:axId val="752061712"/>
        <c:scaling>
          <c:orientation val="minMax"/>
          <c:max val="202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391316710411199"/>
              <c:y val="0.92634259259259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2272"/>
        <c:crossesAt val="70"/>
        <c:crossBetween val="midCat"/>
        <c:majorUnit val="20"/>
        <c:minorUnit val="10"/>
      </c:valAx>
      <c:valAx>
        <c:axId val="752062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9190726159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</a:p>
        </c:rich>
      </c:tx>
      <c:layout>
        <c:manualLayout>
          <c:xMode val="edge"/>
          <c:yMode val="edge"/>
          <c:x val="2.972942442856057E-2"/>
          <c:y val="1.9553143630496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1715698114"/>
          <c:y val="0.18078882843507221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'M6-deep'!$O$7:$O$27</c:f>
                <c:numCache>
                  <c:formatCode>General</c:formatCode>
                  <c:ptCount val="21"/>
                  <c:pt idx="0">
                    <c:v>13.876384996150833</c:v>
                  </c:pt>
                  <c:pt idx="1">
                    <c:v>16.547874870564829</c:v>
                  </c:pt>
                  <c:pt idx="2">
                    <c:v>16.893016662531032</c:v>
                  </c:pt>
                  <c:pt idx="3">
                    <c:v>10.592463794817853</c:v>
                  </c:pt>
                  <c:pt idx="4">
                    <c:v>14.047667526302291</c:v>
                  </c:pt>
                  <c:pt idx="5">
                    <c:v>12.290509243749032</c:v>
                  </c:pt>
                  <c:pt idx="6">
                    <c:v>15.675487344881377</c:v>
                  </c:pt>
                  <c:pt idx="7">
                    <c:v>14.375641941252468</c:v>
                  </c:pt>
                  <c:pt idx="8">
                    <c:v>12.719349978194357</c:v>
                  </c:pt>
                  <c:pt idx="9">
                    <c:v>8.906300448818719</c:v>
                  </c:pt>
                  <c:pt idx="10">
                    <c:v>12.5726516955531</c:v>
                  </c:pt>
                  <c:pt idx="11">
                    <c:v>8.9176611995380668</c:v>
                  </c:pt>
                  <c:pt idx="12">
                    <c:v>11.280742116966234</c:v>
                  </c:pt>
                  <c:pt idx="13">
                    <c:v>6.6379951067656142</c:v>
                  </c:pt>
                  <c:pt idx="14">
                    <c:v>10.066768993968621</c:v>
                  </c:pt>
                  <c:pt idx="15">
                    <c:v>11.786275414631829</c:v>
                  </c:pt>
                  <c:pt idx="16">
                    <c:v>9.5774566634013407</c:v>
                  </c:pt>
                  <c:pt idx="17">
                    <c:v>10.593849473842935</c:v>
                  </c:pt>
                  <c:pt idx="18">
                    <c:v>12.204216780976513</c:v>
                  </c:pt>
                  <c:pt idx="19">
                    <c:v>9.0138374488820663</c:v>
                  </c:pt>
                  <c:pt idx="20">
                    <c:v>10.852865303759987</c:v>
                  </c:pt>
                </c:numCache>
              </c:numRef>
            </c:plus>
            <c:minus>
              <c:numRef>
                <c:f>'M6-deep'!$O$7:$O$27</c:f>
                <c:numCache>
                  <c:formatCode>General</c:formatCode>
                  <c:ptCount val="21"/>
                  <c:pt idx="0">
                    <c:v>13.876384996150833</c:v>
                  </c:pt>
                  <c:pt idx="1">
                    <c:v>16.547874870564829</c:v>
                  </c:pt>
                  <c:pt idx="2">
                    <c:v>16.893016662531032</c:v>
                  </c:pt>
                  <c:pt idx="3">
                    <c:v>10.592463794817853</c:v>
                  </c:pt>
                  <c:pt idx="4">
                    <c:v>14.047667526302291</c:v>
                  </c:pt>
                  <c:pt idx="5">
                    <c:v>12.290509243749032</c:v>
                  </c:pt>
                  <c:pt idx="6">
                    <c:v>15.675487344881377</c:v>
                  </c:pt>
                  <c:pt idx="7">
                    <c:v>14.375641941252468</c:v>
                  </c:pt>
                  <c:pt idx="8">
                    <c:v>12.719349978194357</c:v>
                  </c:pt>
                  <c:pt idx="9">
                    <c:v>8.906300448818719</c:v>
                  </c:pt>
                  <c:pt idx="10">
                    <c:v>12.5726516955531</c:v>
                  </c:pt>
                  <c:pt idx="11">
                    <c:v>8.9176611995380668</c:v>
                  </c:pt>
                  <c:pt idx="12">
                    <c:v>11.280742116966234</c:v>
                  </c:pt>
                  <c:pt idx="13">
                    <c:v>6.6379951067656142</c:v>
                  </c:pt>
                  <c:pt idx="14">
                    <c:v>10.066768993968621</c:v>
                  </c:pt>
                  <c:pt idx="15">
                    <c:v>11.786275414631829</c:v>
                  </c:pt>
                  <c:pt idx="16">
                    <c:v>9.5774566634013407</c:v>
                  </c:pt>
                  <c:pt idx="17">
                    <c:v>10.593849473842935</c:v>
                  </c:pt>
                  <c:pt idx="18">
                    <c:v>12.204216780976513</c:v>
                  </c:pt>
                  <c:pt idx="19">
                    <c:v>9.0138374488820663</c:v>
                  </c:pt>
                  <c:pt idx="20">
                    <c:v>10.852865303759987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'M6-deep'!$H$7:$H$27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plus>
            <c:minus>
              <c:numRef>
                <c:f>'M6-deep'!$H$7:$H$27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'M6-deep'!$N$7:$N$27</c:f>
              <c:numCache>
                <c:formatCode>General</c:formatCode>
                <c:ptCount val="21"/>
                <c:pt idx="0">
                  <c:v>141.40922085911814</c:v>
                </c:pt>
                <c:pt idx="1">
                  <c:v>105.61492733539936</c:v>
                </c:pt>
                <c:pt idx="2">
                  <c:v>88.180600465007956</c:v>
                </c:pt>
                <c:pt idx="3">
                  <c:v>68.949687839303948</c:v>
                </c:pt>
                <c:pt idx="4">
                  <c:v>74.12479471431277</c:v>
                </c:pt>
                <c:pt idx="5">
                  <c:v>61.839998491731528</c:v>
                </c:pt>
                <c:pt idx="6">
                  <c:v>68.438482113930789</c:v>
                </c:pt>
                <c:pt idx="7">
                  <c:v>37.358069703965036</c:v>
                </c:pt>
                <c:pt idx="8">
                  <c:v>26.748361136041844</c:v>
                </c:pt>
                <c:pt idx="9">
                  <c:v>-1.7767414252378018</c:v>
                </c:pt>
                <c:pt idx="10">
                  <c:v>19.483164368759809</c:v>
                </c:pt>
                <c:pt idx="11">
                  <c:v>-6.0553741327056798</c:v>
                </c:pt>
                <c:pt idx="12">
                  <c:v>1.2104691205800009</c:v>
                </c:pt>
                <c:pt idx="13">
                  <c:v>-7.7918290588641455</c:v>
                </c:pt>
                <c:pt idx="14">
                  <c:v>-13.074019293457908</c:v>
                </c:pt>
                <c:pt idx="15">
                  <c:v>8.6659574787051952</c:v>
                </c:pt>
                <c:pt idx="16">
                  <c:v>-11.06192984520996</c:v>
                </c:pt>
                <c:pt idx="17">
                  <c:v>-10.099862565073767</c:v>
                </c:pt>
                <c:pt idx="18">
                  <c:v>-7.5612466077170986</c:v>
                </c:pt>
                <c:pt idx="19">
                  <c:v>32.563575805838099</c:v>
                </c:pt>
                <c:pt idx="20">
                  <c:v>-20.564902308416457</c:v>
                </c:pt>
              </c:numCache>
            </c:numRef>
          </c:xVal>
          <c:yVal>
            <c:numRef>
              <c:f>'M6-deep'!$F$7:$F$27</c:f>
              <c:numCache>
                <c:formatCode>General</c:formatCode>
                <c:ptCount val="21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4040-8996-4B80CD78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45648"/>
        <c:axId val="387446208"/>
      </c:scatterChart>
      <c:scatterChart>
        <c:scatterStyle val="lineMarker"/>
        <c:varyColors val="0"/>
        <c:ser>
          <c:idx val="1"/>
          <c:order val="1"/>
          <c:tx>
            <c:v>Cs-137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'M6-deep'!$H$7:$H$27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plus>
            <c:minus>
              <c:numRef>
                <c:f>'M6-deep'!$H$7:$H$27</c:f>
                <c:numCache>
                  <c:formatCode>General</c:formatCode>
                  <c:ptCount val="21"/>
                  <c:pt idx="0">
                    <c:v>1</c:v>
                  </c:pt>
                  <c:pt idx="1">
                    <c:v>0.5</c:v>
                  </c:pt>
                  <c:pt idx="2">
                    <c:v>0.5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'M6-deep'!$K$7:$K$27</c:f>
                <c:numCache>
                  <c:formatCode>General</c:formatCode>
                  <c:ptCount val="21"/>
                  <c:pt idx="0">
                    <c:v>0.82547850423793956</c:v>
                  </c:pt>
                  <c:pt idx="1">
                    <c:v>1.2620514625582657</c:v>
                  </c:pt>
                  <c:pt idx="2">
                    <c:v>1.2920099078857019</c:v>
                  </c:pt>
                  <c:pt idx="3">
                    <c:v>0.7652987272362971</c:v>
                  </c:pt>
                  <c:pt idx="4">
                    <c:v>1.2446364007979773</c:v>
                  </c:pt>
                  <c:pt idx="5">
                    <c:v>0.84202901629151028</c:v>
                  </c:pt>
                  <c:pt idx="6">
                    <c:v>1.353488428682891</c:v>
                  </c:pt>
                  <c:pt idx="7">
                    <c:v>0.98794388994121296</c:v>
                  </c:pt>
                  <c:pt idx="8">
                    <c:v>1.3454239418187171</c:v>
                  </c:pt>
                  <c:pt idx="9">
                    <c:v>0</c:v>
                  </c:pt>
                  <c:pt idx="10">
                    <c:v>1.1250475500369179</c:v>
                  </c:pt>
                  <c:pt idx="11">
                    <c:v>0.73923923369371458</c:v>
                  </c:pt>
                  <c:pt idx="12">
                    <c:v>0</c:v>
                  </c:pt>
                  <c:pt idx="13">
                    <c:v>0.65651206938558138</c:v>
                  </c:pt>
                  <c:pt idx="14">
                    <c:v>0.76845997249538378</c:v>
                  </c:pt>
                  <c:pt idx="15">
                    <c:v>0.60564006209913612</c:v>
                  </c:pt>
                  <c:pt idx="16">
                    <c:v>0.88856470376956442</c:v>
                  </c:pt>
                  <c:pt idx="17">
                    <c:v>0.59061649220900447</c:v>
                  </c:pt>
                  <c:pt idx="18">
                    <c:v>0.87852741456034533</c:v>
                  </c:pt>
                  <c:pt idx="19">
                    <c:v>0.73531649354876605</c:v>
                  </c:pt>
                  <c:pt idx="20">
                    <c:v>0</c:v>
                  </c:pt>
                </c:numCache>
              </c:numRef>
            </c:plus>
            <c:minus>
              <c:numRef>
                <c:f>'M6-deep'!$K$7:$K$27</c:f>
                <c:numCache>
                  <c:formatCode>General</c:formatCode>
                  <c:ptCount val="21"/>
                  <c:pt idx="0">
                    <c:v>0.82547850423793956</c:v>
                  </c:pt>
                  <c:pt idx="1">
                    <c:v>1.2620514625582657</c:v>
                  </c:pt>
                  <c:pt idx="2">
                    <c:v>1.2920099078857019</c:v>
                  </c:pt>
                  <c:pt idx="3">
                    <c:v>0.7652987272362971</c:v>
                  </c:pt>
                  <c:pt idx="4">
                    <c:v>1.2446364007979773</c:v>
                  </c:pt>
                  <c:pt idx="5">
                    <c:v>0.84202901629151028</c:v>
                  </c:pt>
                  <c:pt idx="6">
                    <c:v>1.353488428682891</c:v>
                  </c:pt>
                  <c:pt idx="7">
                    <c:v>0.98794388994121296</c:v>
                  </c:pt>
                  <c:pt idx="8">
                    <c:v>1.3454239418187171</c:v>
                  </c:pt>
                  <c:pt idx="9">
                    <c:v>0</c:v>
                  </c:pt>
                  <c:pt idx="10">
                    <c:v>1.1250475500369179</c:v>
                  </c:pt>
                  <c:pt idx="11">
                    <c:v>0.73923923369371458</c:v>
                  </c:pt>
                  <c:pt idx="12">
                    <c:v>0</c:v>
                  </c:pt>
                  <c:pt idx="13">
                    <c:v>0.65651206938558138</c:v>
                  </c:pt>
                  <c:pt idx="14">
                    <c:v>0.76845997249538378</c:v>
                  </c:pt>
                  <c:pt idx="15">
                    <c:v>0.60564006209913612</c:v>
                  </c:pt>
                  <c:pt idx="16">
                    <c:v>0.88856470376956442</c:v>
                  </c:pt>
                  <c:pt idx="17">
                    <c:v>0.59061649220900447</c:v>
                  </c:pt>
                  <c:pt idx="18">
                    <c:v>0.87852741456034533</c:v>
                  </c:pt>
                  <c:pt idx="19">
                    <c:v>0.73531649354876605</c:v>
                  </c:pt>
                  <c:pt idx="2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'M6-deep'!$J$7:$J$27</c:f>
              <c:numCache>
                <c:formatCode>General</c:formatCode>
                <c:ptCount val="21"/>
                <c:pt idx="0">
                  <c:v>3.2391819851298944</c:v>
                </c:pt>
                <c:pt idx="1">
                  <c:v>4.3444130210170888</c:v>
                </c:pt>
                <c:pt idx="2">
                  <c:v>3.6624889190987817</c:v>
                </c:pt>
                <c:pt idx="3">
                  <c:v>3.1209546362870322</c:v>
                </c:pt>
                <c:pt idx="4">
                  <c:v>4.2131828563686486</c:v>
                </c:pt>
                <c:pt idx="5">
                  <c:v>3.7268488736190708</c:v>
                </c:pt>
                <c:pt idx="6">
                  <c:v>5.0997359506118425</c:v>
                </c:pt>
                <c:pt idx="7">
                  <c:v>3.4415786688341305</c:v>
                </c:pt>
                <c:pt idx="8">
                  <c:v>6.7581273719540995</c:v>
                </c:pt>
                <c:pt idx="9">
                  <c:v>0</c:v>
                </c:pt>
                <c:pt idx="10">
                  <c:v>4.1333606202585162</c:v>
                </c:pt>
                <c:pt idx="11">
                  <c:v>2.0166149450777398</c:v>
                </c:pt>
                <c:pt idx="12">
                  <c:v>0</c:v>
                </c:pt>
                <c:pt idx="13">
                  <c:v>0.682914280763814</c:v>
                </c:pt>
                <c:pt idx="14">
                  <c:v>1.0109464991222992</c:v>
                </c:pt>
                <c:pt idx="15">
                  <c:v>0.46579923242356314</c:v>
                </c:pt>
                <c:pt idx="16">
                  <c:v>2.3515401871753765</c:v>
                </c:pt>
                <c:pt idx="17">
                  <c:v>0.67926671612827194</c:v>
                </c:pt>
                <c:pt idx="18">
                  <c:v>0.95314385642696908</c:v>
                </c:pt>
                <c:pt idx="19">
                  <c:v>3.632998489240101</c:v>
                </c:pt>
                <c:pt idx="20">
                  <c:v>0</c:v>
                </c:pt>
              </c:numCache>
            </c:numRef>
          </c:xVal>
          <c:yVal>
            <c:numRef>
              <c:f>'M6-deep'!$F$7:$F$27</c:f>
              <c:numCache>
                <c:formatCode>General</c:formatCode>
                <c:ptCount val="21"/>
                <c:pt idx="0">
                  <c:v>1</c:v>
                </c:pt>
                <c:pt idx="1">
                  <c:v>2.5</c:v>
                </c:pt>
                <c:pt idx="2">
                  <c:v>3.5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4-4040-8996-4B80CD78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47328"/>
        <c:axId val="387446768"/>
      </c:scatterChart>
      <c:valAx>
        <c:axId val="387445648"/>
        <c:scaling>
          <c:orientation val="minMax"/>
          <c:max val="150"/>
          <c:min val="-20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50000"/>
                      </a:schemeClr>
                    </a:solidFill>
                  </a:rPr>
                  <a:t>Pb-201ex Activity (Bq/kg)</a:t>
                </a:r>
              </a:p>
            </c:rich>
          </c:tx>
          <c:layout>
            <c:manualLayout>
              <c:xMode val="edge"/>
              <c:yMode val="edge"/>
              <c:x val="0.38460073757548774"/>
              <c:y val="7.61556183977154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6208"/>
        <c:crossesAt val="0"/>
        <c:crossBetween val="midCat"/>
        <c:majorUnit val="50"/>
        <c:minorUnit val="10"/>
      </c:valAx>
      <c:valAx>
        <c:axId val="387446208"/>
        <c:scaling>
          <c:orientation val="maxMin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layout>
            <c:manualLayout>
              <c:xMode val="edge"/>
              <c:yMode val="edge"/>
              <c:x val="3.1714364082570792E-2"/>
              <c:y val="0.48040854124775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5648"/>
        <c:crossesAt val="-200"/>
        <c:crossBetween val="midCat"/>
      </c:valAx>
      <c:valAx>
        <c:axId val="387446768"/>
        <c:scaling>
          <c:orientation val="maxMin"/>
          <c:max val="40"/>
        </c:scaling>
        <c:delete val="0"/>
        <c:axPos val="r"/>
        <c:numFmt formatCode="General" sourceLinked="1"/>
        <c:majorTickMark val="out"/>
        <c:minorTickMark val="out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7328"/>
        <c:crosses val="max"/>
        <c:crossBetween val="midCat"/>
      </c:valAx>
      <c:valAx>
        <c:axId val="387447328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Cs-137</a:t>
                </a:r>
                <a:r>
                  <a:rPr lang="en-US" baseline="0">
                    <a:solidFill>
                      <a:schemeClr val="accent2"/>
                    </a:solidFill>
                  </a:rPr>
                  <a:t> Activity (Bq/kg)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529913328211774"/>
              <c:y val="0.9542033172916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676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44405621205128"/>
          <c:y val="0.54045956251738325"/>
          <c:w val="0.13077109594924802"/>
          <c:h val="0.14315345883499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MPE-2 Pb-210</a:t>
            </a:r>
            <a:r>
              <a:rPr lang="en-US" baseline="0"/>
              <a:t> CRS and Cs-137 Sedimentation Rate</a:t>
            </a:r>
            <a:endParaRPr lang="en-US"/>
          </a:p>
        </c:rich>
      </c:tx>
      <c:layout>
        <c:manualLayout>
          <c:xMode val="edge"/>
          <c:yMode val="edge"/>
          <c:x val="0.13727077865266843"/>
          <c:y val="1.4840289232620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6159230096237"/>
          <c:y val="0.14025481189851269"/>
          <c:w val="0.68455336832895886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Pb-210ex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'M6-deep'!$AT$39:$AT$50</c:f>
              <c:numCache>
                <c:formatCode>General</c:formatCode>
                <c:ptCount val="12"/>
                <c:pt idx="0">
                  <c:v>2014.2817000113996</c:v>
                </c:pt>
                <c:pt idx="1">
                  <c:v>2011.1195379572971</c:v>
                </c:pt>
                <c:pt idx="2">
                  <c:v>2008.4105962124049</c:v>
                </c:pt>
                <c:pt idx="3">
                  <c:v>2003.756112191383</c:v>
                </c:pt>
                <c:pt idx="4">
                  <c:v>1997.5428783602015</c:v>
                </c:pt>
                <c:pt idx="5">
                  <c:v>1990.4150371725564</c:v>
                </c:pt>
                <c:pt idx="6">
                  <c:v>1979.3774849671468</c:v>
                </c:pt>
                <c:pt idx="7">
                  <c:v>1971.6577142280616</c:v>
                </c:pt>
                <c:pt idx="8">
                  <c:v>1964.0292856778465</c:v>
                </c:pt>
                <c:pt idx="9">
                  <c:v>1955.6134560773019</c:v>
                </c:pt>
                <c:pt idx="10">
                  <c:v>1954.8671132583825</c:v>
                </c:pt>
                <c:pt idx="11">
                  <c:v>1947.8388089836435</c:v>
                </c:pt>
              </c:numCache>
            </c:numRef>
          </c:xVal>
          <c:yVal>
            <c:numRef>
              <c:f>'M6-deep'!$AZ$39:$AZ$50</c:f>
              <c:numCache>
                <c:formatCode>General</c:formatCode>
                <c:ptCount val="12"/>
                <c:pt idx="0">
                  <c:v>8.5952059532007491E-2</c:v>
                </c:pt>
                <c:pt idx="1">
                  <c:v>9.8617942562243516E-2</c:v>
                </c:pt>
                <c:pt idx="2">
                  <c:v>0.10775946782240203</c:v>
                </c:pt>
                <c:pt idx="3">
                  <c:v>0.12292073574247317</c:v>
                </c:pt>
                <c:pt idx="4">
                  <c:v>9.6562834389469998E-2</c:v>
                </c:pt>
                <c:pt idx="5">
                  <c:v>9.4030175344106612E-2</c:v>
                </c:pt>
                <c:pt idx="6">
                  <c:v>6.4169243773732912E-2</c:v>
                </c:pt>
                <c:pt idx="7">
                  <c:v>8.7492905635128307E-2</c:v>
                </c:pt>
                <c:pt idx="8">
                  <c:v>9.6155755323354117E-2</c:v>
                </c:pt>
                <c:pt idx="9">
                  <c:v>0.10281494532400945</c:v>
                </c:pt>
                <c:pt idx="10">
                  <c:v>1.4302238882253158</c:v>
                </c:pt>
                <c:pt idx="11">
                  <c:v>0.17729262074831637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E-496A-AFD6-0EE31380D6BC}"/>
            </c:ext>
          </c:extLst>
        </c:ser>
        <c:ser>
          <c:idx val="1"/>
          <c:order val="1"/>
          <c:tx>
            <c:v>Cs-137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'M6-deep'!$F$36</c:f>
                <c:numCache>
                  <c:formatCode>General</c:formatCode>
                  <c:ptCount val="1"/>
                  <c:pt idx="0">
                    <c:v>57.920765027322432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49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'M6-deep'!$E$36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'M6-deep'!$I$36</c:f>
              <c:numCache>
                <c:formatCode>General</c:formatCode>
                <c:ptCount val="1"/>
                <c:pt idx="0">
                  <c:v>8.2551100465265537E-2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E-496A-AFD6-0EE3138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36352"/>
        <c:axId val="794536912"/>
      </c:scatterChart>
      <c:valAx>
        <c:axId val="794536352"/>
        <c:scaling>
          <c:orientation val="minMax"/>
          <c:max val="20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888693901689277"/>
              <c:y val="0.93081765217029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6912"/>
        <c:crossesAt val="0"/>
        <c:crossBetween val="midCat"/>
        <c:majorUnit val="20"/>
        <c:minorUnit val="10"/>
      </c:valAx>
      <c:valAx>
        <c:axId val="79453691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 Rate (g cm</a:t>
                </a:r>
                <a:r>
                  <a:rPr lang="en-US" baseline="30000"/>
                  <a:t>-2</a:t>
                </a:r>
                <a:r>
                  <a:rPr lang="en-US"/>
                  <a:t> yr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83007410634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121920</xdr:colOff>
      <xdr:row>1</xdr:row>
      <xdr:rowOff>118110</xdr:rowOff>
    </xdr:from>
    <xdr:to>
      <xdr:col>70</xdr:col>
      <xdr:colOff>426720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23707</xdr:colOff>
      <xdr:row>38</xdr:row>
      <xdr:rowOff>168064</xdr:rowOff>
    </xdr:from>
    <xdr:to>
      <xdr:col>16</xdr:col>
      <xdr:colOff>481876</xdr:colOff>
      <xdr:row>54</xdr:row>
      <xdr:rowOff>138914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7</xdr:col>
      <xdr:colOff>704306</xdr:colOff>
      <xdr:row>69</xdr:row>
      <xdr:rowOff>22860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571500</xdr:colOff>
      <xdr:row>55</xdr:row>
      <xdr:rowOff>137583</xdr:rowOff>
    </xdr:from>
    <xdr:to>
      <xdr:col>23</xdr:col>
      <xdr:colOff>471593</xdr:colOff>
      <xdr:row>71</xdr:row>
      <xdr:rowOff>120227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560916</xdr:colOff>
      <xdr:row>39</xdr:row>
      <xdr:rowOff>21167</xdr:rowOff>
    </xdr:from>
    <xdr:to>
      <xdr:col>23</xdr:col>
      <xdr:colOff>450849</xdr:colOff>
      <xdr:row>55</xdr:row>
      <xdr:rowOff>31326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121920</xdr:colOff>
      <xdr:row>1</xdr:row>
      <xdr:rowOff>118110</xdr:rowOff>
    </xdr:from>
    <xdr:to>
      <xdr:col>70</xdr:col>
      <xdr:colOff>426720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4DD52-69D6-48C8-B958-882BCB7CB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23707</xdr:colOff>
      <xdr:row>38</xdr:row>
      <xdr:rowOff>168064</xdr:rowOff>
    </xdr:from>
    <xdr:to>
      <xdr:col>16</xdr:col>
      <xdr:colOff>481876</xdr:colOff>
      <xdr:row>54</xdr:row>
      <xdr:rowOff>138914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A4B72-ED51-4F60-BB3E-19B79D80A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7</xdr:col>
      <xdr:colOff>704306</xdr:colOff>
      <xdr:row>69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4C62C-FB1D-4413-AEC5-A738BFF2B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571500</xdr:colOff>
      <xdr:row>55</xdr:row>
      <xdr:rowOff>137583</xdr:rowOff>
    </xdr:from>
    <xdr:to>
      <xdr:col>23</xdr:col>
      <xdr:colOff>471593</xdr:colOff>
      <xdr:row>71</xdr:row>
      <xdr:rowOff>120227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2D2B3-1C63-4458-BD05-833EA73B3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560916</xdr:colOff>
      <xdr:row>39</xdr:row>
      <xdr:rowOff>21167</xdr:rowOff>
    </xdr:from>
    <xdr:to>
      <xdr:col>23</xdr:col>
      <xdr:colOff>450849</xdr:colOff>
      <xdr:row>55</xdr:row>
      <xdr:rowOff>31326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077714-273D-4755-A6CF-A99C299CF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23707</xdr:colOff>
      <xdr:row>34</xdr:row>
      <xdr:rowOff>168064</xdr:rowOff>
    </xdr:from>
    <xdr:to>
      <xdr:col>16</xdr:col>
      <xdr:colOff>481876</xdr:colOff>
      <xdr:row>50</xdr:row>
      <xdr:rowOff>138914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12BE9-7401-4A3A-A2D3-A08D76554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7</xdr:col>
      <xdr:colOff>704306</xdr:colOff>
      <xdr:row>65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6C41C0-B6AF-46C1-AF25-A2226E97D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51</xdr:row>
      <xdr:rowOff>137583</xdr:rowOff>
    </xdr:from>
    <xdr:to>
      <xdr:col>23</xdr:col>
      <xdr:colOff>471593</xdr:colOff>
      <xdr:row>67</xdr:row>
      <xdr:rowOff>120227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A1277-EA02-43A7-B26B-6EE314366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560916</xdr:colOff>
      <xdr:row>35</xdr:row>
      <xdr:rowOff>21167</xdr:rowOff>
    </xdr:from>
    <xdr:to>
      <xdr:col>23</xdr:col>
      <xdr:colOff>450849</xdr:colOff>
      <xdr:row>51</xdr:row>
      <xdr:rowOff>31326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327B2D-9871-47B8-B8F6-E7CE075B3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23707</xdr:colOff>
      <xdr:row>33</xdr:row>
      <xdr:rowOff>168064</xdr:rowOff>
    </xdr:from>
    <xdr:to>
      <xdr:col>16</xdr:col>
      <xdr:colOff>481876</xdr:colOff>
      <xdr:row>49</xdr:row>
      <xdr:rowOff>138914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FA3FF-6ABB-4CCC-ADAA-92AC9CE49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704306</xdr:colOff>
      <xdr:row>64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9D1D81-2CAA-4338-A1D3-F6024912D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50</xdr:row>
      <xdr:rowOff>137583</xdr:rowOff>
    </xdr:from>
    <xdr:to>
      <xdr:col>23</xdr:col>
      <xdr:colOff>471593</xdr:colOff>
      <xdr:row>66</xdr:row>
      <xdr:rowOff>120227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123E5-723A-419F-A8AC-59662A3B7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560916</xdr:colOff>
      <xdr:row>34</xdr:row>
      <xdr:rowOff>21167</xdr:rowOff>
    </xdr:from>
    <xdr:to>
      <xdr:col>23</xdr:col>
      <xdr:colOff>450849</xdr:colOff>
      <xdr:row>50</xdr:row>
      <xdr:rowOff>31326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AFACF9-3686-45FE-A6FB-244EB29F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C611-81FA-4A36-AFE1-FA6DB6449882}">
  <dimension ref="A1:D110"/>
  <sheetViews>
    <sheetView tabSelected="1" workbookViewId="0">
      <selection activeCell="G90" sqref="G90"/>
    </sheetView>
  </sheetViews>
  <sheetFormatPr defaultRowHeight="14.5" x14ac:dyDescent="0.35"/>
  <cols>
    <col min="4" max="4" width="15.26953125" bestFit="1" customWidth="1"/>
  </cols>
  <sheetData>
    <row r="1" spans="1:4" x14ac:dyDescent="0.35">
      <c r="A1" t="s">
        <v>151</v>
      </c>
      <c r="B1" t="s">
        <v>152</v>
      </c>
      <c r="C1" t="s">
        <v>155</v>
      </c>
      <c r="D1" t="s">
        <v>156</v>
      </c>
    </row>
    <row r="2" spans="1:4" x14ac:dyDescent="0.35">
      <c r="A2" t="s">
        <v>104</v>
      </c>
      <c r="B2">
        <v>0</v>
      </c>
      <c r="C2">
        <v>2020.9207650273224</v>
      </c>
      <c r="D2">
        <v>0</v>
      </c>
    </row>
    <row r="3" spans="1:4" x14ac:dyDescent="0.35">
      <c r="A3" t="s">
        <v>104</v>
      </c>
      <c r="B3">
        <v>2</v>
      </c>
      <c r="C3">
        <v>2011.6163303673729</v>
      </c>
      <c r="D3">
        <v>2.7520564270336658</v>
      </c>
    </row>
    <row r="4" spans="1:4" x14ac:dyDescent="0.35">
      <c r="A4" t="s">
        <v>104</v>
      </c>
      <c r="B4">
        <v>3</v>
      </c>
      <c r="C4">
        <v>2006.7495181650504</v>
      </c>
      <c r="D4">
        <v>3.1819350971734774</v>
      </c>
    </row>
    <row r="5" spans="1:4" x14ac:dyDescent="0.35">
      <c r="A5" t="s">
        <v>104</v>
      </c>
      <c r="B5">
        <v>4</v>
      </c>
      <c r="C5">
        <v>2001.0506908042223</v>
      </c>
      <c r="D5">
        <v>3.7664506343991739</v>
      </c>
    </row>
    <row r="6" spans="1:4" x14ac:dyDescent="0.35">
      <c r="A6" t="s">
        <v>104</v>
      </c>
      <c r="B6">
        <v>6</v>
      </c>
      <c r="C6">
        <v>1991.0121260459439</v>
      </c>
      <c r="D6">
        <v>5.0485044751599162</v>
      </c>
    </row>
    <row r="7" spans="1:4" x14ac:dyDescent="0.35">
      <c r="A7" t="s">
        <v>104</v>
      </c>
      <c r="B7">
        <v>8</v>
      </c>
      <c r="C7">
        <v>1979.6317576733238</v>
      </c>
      <c r="D7">
        <v>6.9817192301557114</v>
      </c>
    </row>
    <row r="8" spans="1:4" x14ac:dyDescent="0.35">
      <c r="A8" t="s">
        <v>104</v>
      </c>
      <c r="B8">
        <v>10</v>
      </c>
      <c r="C8">
        <v>1967.954545870359</v>
      </c>
      <c r="D8">
        <v>9.6289972026932418</v>
      </c>
    </row>
    <row r="9" spans="1:4" x14ac:dyDescent="0.35">
      <c r="A9" t="s">
        <v>104</v>
      </c>
      <c r="B9">
        <v>12</v>
      </c>
      <c r="C9">
        <v>1949.084144752366</v>
      </c>
      <c r="D9">
        <v>15.691314470862118</v>
      </c>
    </row>
    <row r="10" spans="1:4" x14ac:dyDescent="0.35">
      <c r="A10" t="s">
        <v>104</v>
      </c>
      <c r="B10">
        <v>14</v>
      </c>
      <c r="C10">
        <v>1926.9052028704496</v>
      </c>
      <c r="D10">
        <v>26.164843077864532</v>
      </c>
    </row>
    <row r="11" spans="1:4" x14ac:dyDescent="0.35">
      <c r="A11" t="s">
        <v>104</v>
      </c>
      <c r="B11">
        <v>16</v>
      </c>
      <c r="C11">
        <v>1926.3758638933814</v>
      </c>
      <c r="D11">
        <v>26.46140817096952</v>
      </c>
    </row>
    <row r="12" spans="1:4" x14ac:dyDescent="0.35">
      <c r="A12" t="s">
        <v>104</v>
      </c>
      <c r="B12">
        <v>18</v>
      </c>
      <c r="C12">
        <v>1920.2773641544766</v>
      </c>
      <c r="D12">
        <v>30.032107974362759</v>
      </c>
    </row>
    <row r="13" spans="1:4" x14ac:dyDescent="0.35">
      <c r="A13" t="s">
        <v>104</v>
      </c>
      <c r="B13">
        <v>20</v>
      </c>
      <c r="C13">
        <v>1909.0663372033637</v>
      </c>
      <c r="D13">
        <v>37.307376174730322</v>
      </c>
    </row>
    <row r="14" spans="1:4" x14ac:dyDescent="0.35">
      <c r="A14" t="s">
        <v>104</v>
      </c>
      <c r="B14">
        <v>22</v>
      </c>
    </row>
    <row r="15" spans="1:4" x14ac:dyDescent="0.35">
      <c r="A15" t="s">
        <v>104</v>
      </c>
      <c r="B15">
        <v>24</v>
      </c>
    </row>
    <row r="16" spans="1:4" x14ac:dyDescent="0.35">
      <c r="A16" t="s">
        <v>104</v>
      </c>
      <c r="B16">
        <v>26</v>
      </c>
    </row>
    <row r="17" spans="1:4" x14ac:dyDescent="0.35">
      <c r="A17" t="s">
        <v>104</v>
      </c>
      <c r="B17">
        <v>28</v>
      </c>
    </row>
    <row r="18" spans="1:4" x14ac:dyDescent="0.35">
      <c r="A18" t="s">
        <v>104</v>
      </c>
      <c r="B18">
        <v>30</v>
      </c>
    </row>
    <row r="19" spans="1:4" x14ac:dyDescent="0.35">
      <c r="A19" t="s">
        <v>104</v>
      </c>
      <c r="B19">
        <v>32</v>
      </c>
    </row>
    <row r="20" spans="1:4" x14ac:dyDescent="0.35">
      <c r="A20" t="s">
        <v>104</v>
      </c>
      <c r="B20">
        <v>34</v>
      </c>
    </row>
    <row r="21" spans="1:4" x14ac:dyDescent="0.35">
      <c r="A21" t="s">
        <v>104</v>
      </c>
      <c r="B21">
        <v>36</v>
      </c>
    </row>
    <row r="22" spans="1:4" x14ac:dyDescent="0.35">
      <c r="A22" t="s">
        <v>104</v>
      </c>
      <c r="B22">
        <v>38</v>
      </c>
    </row>
    <row r="23" spans="1:4" x14ac:dyDescent="0.35">
      <c r="A23" t="s">
        <v>104</v>
      </c>
      <c r="B23">
        <v>40</v>
      </c>
    </row>
    <row r="24" spans="1:4" x14ac:dyDescent="0.35">
      <c r="A24" t="s">
        <v>104</v>
      </c>
      <c r="B24">
        <v>42</v>
      </c>
    </row>
    <row r="25" spans="1:4" x14ac:dyDescent="0.35">
      <c r="A25" t="s">
        <v>104</v>
      </c>
      <c r="B25">
        <v>44</v>
      </c>
    </row>
    <row r="26" spans="1:4" x14ac:dyDescent="0.35">
      <c r="A26" t="s">
        <v>104</v>
      </c>
      <c r="B26">
        <v>46</v>
      </c>
    </row>
    <row r="27" spans="1:4" x14ac:dyDescent="0.35">
      <c r="A27" t="s">
        <v>104</v>
      </c>
      <c r="B27">
        <v>48</v>
      </c>
    </row>
    <row r="28" spans="1:4" x14ac:dyDescent="0.35">
      <c r="A28" t="s">
        <v>104</v>
      </c>
      <c r="B28">
        <v>50</v>
      </c>
    </row>
    <row r="29" spans="1:4" x14ac:dyDescent="0.35">
      <c r="A29" t="s">
        <v>104</v>
      </c>
      <c r="B29">
        <v>52</v>
      </c>
    </row>
    <row r="30" spans="1:4" x14ac:dyDescent="0.35">
      <c r="A30" t="s">
        <v>104</v>
      </c>
      <c r="B30">
        <v>54</v>
      </c>
    </row>
    <row r="31" spans="1:4" x14ac:dyDescent="0.35">
      <c r="A31" t="s">
        <v>104</v>
      </c>
      <c r="B31">
        <v>58</v>
      </c>
    </row>
    <row r="32" spans="1:4" x14ac:dyDescent="0.35">
      <c r="A32" t="s">
        <v>123</v>
      </c>
      <c r="B32">
        <v>0</v>
      </c>
      <c r="C32">
        <v>2020.9207650273224</v>
      </c>
      <c r="D32">
        <v>0</v>
      </c>
    </row>
    <row r="33" spans="1:4" x14ac:dyDescent="0.35">
      <c r="A33" t="s">
        <v>123</v>
      </c>
      <c r="B33">
        <v>2</v>
      </c>
      <c r="C33">
        <v>2014.2817000113996</v>
      </c>
      <c r="D33">
        <v>2.5245076103633437</v>
      </c>
    </row>
    <row r="34" spans="1:4" x14ac:dyDescent="0.35">
      <c r="A34" t="s">
        <v>123</v>
      </c>
      <c r="B34">
        <v>3</v>
      </c>
      <c r="C34">
        <v>2011.1195379572971</v>
      </c>
      <c r="D34">
        <v>2.7754320695937622</v>
      </c>
    </row>
    <row r="35" spans="1:4" x14ac:dyDescent="0.35">
      <c r="A35" t="s">
        <v>123</v>
      </c>
      <c r="B35">
        <v>4</v>
      </c>
      <c r="C35">
        <v>2008.4105962124049</v>
      </c>
      <c r="D35">
        <v>3.0092249112872196</v>
      </c>
    </row>
    <row r="36" spans="1:4" x14ac:dyDescent="0.35">
      <c r="A36" t="s">
        <v>123</v>
      </c>
      <c r="B36">
        <v>6</v>
      </c>
      <c r="C36">
        <v>2003.756112191383</v>
      </c>
      <c r="D36">
        <v>3.4553606449862855</v>
      </c>
    </row>
    <row r="37" spans="1:4" x14ac:dyDescent="0.35">
      <c r="A37" t="s">
        <v>123</v>
      </c>
      <c r="B37">
        <v>8</v>
      </c>
      <c r="C37">
        <v>1997.5428783602015</v>
      </c>
      <c r="D37">
        <v>4.1490445017279853</v>
      </c>
    </row>
    <row r="38" spans="1:4" x14ac:dyDescent="0.35">
      <c r="A38" t="s">
        <v>123</v>
      </c>
      <c r="B38">
        <v>10</v>
      </c>
      <c r="C38">
        <v>1990.4150371725564</v>
      </c>
      <c r="D38">
        <v>5.1046511206993728</v>
      </c>
    </row>
    <row r="39" spans="1:4" x14ac:dyDescent="0.35">
      <c r="A39" t="s">
        <v>123</v>
      </c>
      <c r="B39">
        <v>12</v>
      </c>
      <c r="C39">
        <v>1979.3774849671468</v>
      </c>
      <c r="D39">
        <v>6.989602492844142</v>
      </c>
    </row>
    <row r="40" spans="1:4" x14ac:dyDescent="0.35">
      <c r="A40" t="s">
        <v>123</v>
      </c>
      <c r="B40">
        <v>14</v>
      </c>
      <c r="C40">
        <v>1971.6577142280616</v>
      </c>
      <c r="D40">
        <v>8.6569965805140328</v>
      </c>
    </row>
    <row r="41" spans="1:4" x14ac:dyDescent="0.35">
      <c r="A41" t="s">
        <v>123</v>
      </c>
      <c r="B41">
        <v>16</v>
      </c>
      <c r="C41">
        <v>1964.0292856778465</v>
      </c>
      <c r="D41">
        <v>10.634742458049686</v>
      </c>
    </row>
    <row r="42" spans="1:4" x14ac:dyDescent="0.35">
      <c r="A42" t="s">
        <v>123</v>
      </c>
      <c r="B42">
        <v>18</v>
      </c>
      <c r="C42">
        <v>1964.0292856778465</v>
      </c>
      <c r="D42">
        <v>10.634742458049686</v>
      </c>
    </row>
    <row r="43" spans="1:4" x14ac:dyDescent="0.35">
      <c r="A43" t="s">
        <v>123</v>
      </c>
      <c r="B43">
        <v>20</v>
      </c>
      <c r="C43">
        <v>1955.6134560773019</v>
      </c>
      <c r="D43">
        <v>13.244961376032279</v>
      </c>
    </row>
    <row r="44" spans="1:4" x14ac:dyDescent="0.35">
      <c r="A44" t="s">
        <v>123</v>
      </c>
      <c r="B44">
        <v>22</v>
      </c>
      <c r="C44">
        <v>1955.6134560773019</v>
      </c>
      <c r="D44">
        <v>13.244961376032279</v>
      </c>
    </row>
    <row r="45" spans="1:4" x14ac:dyDescent="0.35">
      <c r="A45" t="s">
        <v>123</v>
      </c>
      <c r="B45">
        <v>24</v>
      </c>
      <c r="C45">
        <v>1954.8671132583825</v>
      </c>
      <c r="D45">
        <v>13.499699150622973</v>
      </c>
    </row>
    <row r="46" spans="1:4" x14ac:dyDescent="0.35">
      <c r="A46" t="s">
        <v>123</v>
      </c>
      <c r="B46">
        <v>26</v>
      </c>
      <c r="C46">
        <v>1954.8671132583825</v>
      </c>
      <c r="D46">
        <v>13.499699150622973</v>
      </c>
    </row>
    <row r="47" spans="1:4" x14ac:dyDescent="0.35">
      <c r="A47" t="s">
        <v>123</v>
      </c>
      <c r="B47">
        <v>28</v>
      </c>
      <c r="C47">
        <v>1954.8671132583825</v>
      </c>
      <c r="D47">
        <v>13.499699150622973</v>
      </c>
    </row>
    <row r="48" spans="1:4" x14ac:dyDescent="0.35">
      <c r="A48" t="s">
        <v>123</v>
      </c>
      <c r="B48">
        <v>30</v>
      </c>
      <c r="C48">
        <v>1947.8388089836435</v>
      </c>
      <c r="D48">
        <v>16.094713113690204</v>
      </c>
    </row>
    <row r="49" spans="1:4" x14ac:dyDescent="0.35">
      <c r="A49" t="s">
        <v>123</v>
      </c>
      <c r="B49">
        <v>32</v>
      </c>
      <c r="C49">
        <v>1947.8388089836435</v>
      </c>
      <c r="D49">
        <v>16.094713113690204</v>
      </c>
    </row>
    <row r="50" spans="1:4" x14ac:dyDescent="0.35">
      <c r="A50" t="s">
        <v>123</v>
      </c>
      <c r="B50">
        <v>34</v>
      </c>
      <c r="C50">
        <v>1947.8388089836435</v>
      </c>
      <c r="D50">
        <v>16.094713113690204</v>
      </c>
    </row>
    <row r="51" spans="1:4" x14ac:dyDescent="0.35">
      <c r="A51" t="s">
        <v>123</v>
      </c>
      <c r="B51">
        <v>36</v>
      </c>
      <c r="C51">
        <v>1947.8388089836435</v>
      </c>
      <c r="D51">
        <v>16.094713113690204</v>
      </c>
    </row>
    <row r="52" spans="1:4" x14ac:dyDescent="0.35">
      <c r="A52" t="s">
        <v>123</v>
      </c>
      <c r="B52">
        <v>38</v>
      </c>
    </row>
    <row r="53" spans="1:4" x14ac:dyDescent="0.35">
      <c r="A53" t="s">
        <v>123</v>
      </c>
      <c r="B53">
        <v>40</v>
      </c>
    </row>
    <row r="54" spans="1:4" x14ac:dyDescent="0.35">
      <c r="A54" t="s">
        <v>123</v>
      </c>
      <c r="B54">
        <v>42</v>
      </c>
    </row>
    <row r="55" spans="1:4" x14ac:dyDescent="0.35">
      <c r="A55" t="s">
        <v>123</v>
      </c>
      <c r="B55">
        <v>44</v>
      </c>
    </row>
    <row r="56" spans="1:4" x14ac:dyDescent="0.35">
      <c r="A56" t="s">
        <v>123</v>
      </c>
      <c r="B56">
        <v>46</v>
      </c>
    </row>
    <row r="57" spans="1:4" x14ac:dyDescent="0.35">
      <c r="A57" t="s">
        <v>123</v>
      </c>
      <c r="B57">
        <v>48</v>
      </c>
    </row>
    <row r="58" spans="1:4" x14ac:dyDescent="0.35">
      <c r="A58" t="s">
        <v>123</v>
      </c>
      <c r="B58">
        <v>50</v>
      </c>
    </row>
    <row r="59" spans="1:4" x14ac:dyDescent="0.35">
      <c r="A59" t="s">
        <v>123</v>
      </c>
      <c r="B59">
        <v>52</v>
      </c>
    </row>
    <row r="60" spans="1:4" x14ac:dyDescent="0.35">
      <c r="A60" t="s">
        <v>123</v>
      </c>
      <c r="B60">
        <v>54</v>
      </c>
    </row>
    <row r="61" spans="1:4" x14ac:dyDescent="0.35">
      <c r="A61" t="s">
        <v>153</v>
      </c>
      <c r="B61">
        <v>0</v>
      </c>
      <c r="C61">
        <v>2020.9207650273224</v>
      </c>
      <c r="D61">
        <v>0</v>
      </c>
    </row>
    <row r="62" spans="1:4" x14ac:dyDescent="0.35">
      <c r="A62" t="s">
        <v>153</v>
      </c>
      <c r="B62">
        <v>2</v>
      </c>
      <c r="C62">
        <v>2014.1234230036393</v>
      </c>
      <c r="D62">
        <v>4.8322463092977346</v>
      </c>
    </row>
    <row r="63" spans="1:4" x14ac:dyDescent="0.35">
      <c r="A63" t="s">
        <v>153</v>
      </c>
      <c r="B63">
        <v>3</v>
      </c>
      <c r="C63">
        <v>2010.2547675671337</v>
      </c>
      <c r="D63">
        <v>5.4030002242562061</v>
      </c>
    </row>
    <row r="64" spans="1:4" x14ac:dyDescent="0.35">
      <c r="A64" t="s">
        <v>153</v>
      </c>
      <c r="B64">
        <v>4</v>
      </c>
      <c r="C64">
        <v>2006.1687860086233</v>
      </c>
      <c r="D64">
        <v>6.0724791891720926</v>
      </c>
    </row>
    <row r="65" spans="1:4" x14ac:dyDescent="0.35">
      <c r="A65" t="s">
        <v>153</v>
      </c>
      <c r="B65">
        <v>6</v>
      </c>
      <c r="C65">
        <v>1999.9427923514886</v>
      </c>
      <c r="D65">
        <v>7.237936082063035</v>
      </c>
    </row>
    <row r="66" spans="1:4" x14ac:dyDescent="0.35">
      <c r="A66" t="s">
        <v>153</v>
      </c>
      <c r="B66">
        <v>8</v>
      </c>
      <c r="C66">
        <v>1991.4931708651507</v>
      </c>
      <c r="D66">
        <v>9.1363352886660749</v>
      </c>
    </row>
    <row r="67" spans="1:4" x14ac:dyDescent="0.35">
      <c r="A67" t="s">
        <v>153</v>
      </c>
      <c r="B67">
        <v>10</v>
      </c>
      <c r="C67">
        <v>1983.6232974279142</v>
      </c>
      <c r="D67">
        <v>11.277220157003171</v>
      </c>
    </row>
    <row r="68" spans="1:4" x14ac:dyDescent="0.35">
      <c r="A68" t="s">
        <v>153</v>
      </c>
      <c r="B68">
        <v>12</v>
      </c>
      <c r="C68">
        <v>1983.6232974279142</v>
      </c>
      <c r="D68">
        <v>11.277220157003171</v>
      </c>
    </row>
    <row r="69" spans="1:4" x14ac:dyDescent="0.35">
      <c r="A69" t="s">
        <v>153</v>
      </c>
      <c r="B69">
        <v>14</v>
      </c>
      <c r="C69">
        <v>1983.6232974279142</v>
      </c>
      <c r="D69">
        <v>11.277220157003171</v>
      </c>
    </row>
    <row r="70" spans="1:4" x14ac:dyDescent="0.35">
      <c r="A70" t="s">
        <v>153</v>
      </c>
      <c r="B70">
        <v>16</v>
      </c>
      <c r="C70">
        <v>1980.6750761158864</v>
      </c>
      <c r="D70">
        <v>12.180906094366211</v>
      </c>
    </row>
    <row r="71" spans="1:4" x14ac:dyDescent="0.35">
      <c r="A71" t="s">
        <v>153</v>
      </c>
      <c r="B71">
        <v>18</v>
      </c>
      <c r="C71">
        <v>1971.502007326359</v>
      </c>
      <c r="D71">
        <v>15.37631585612646</v>
      </c>
    </row>
    <row r="72" spans="1:4" x14ac:dyDescent="0.35">
      <c r="A72" t="s">
        <v>153</v>
      </c>
      <c r="B72">
        <v>20</v>
      </c>
      <c r="C72">
        <v>1952.5725181888358</v>
      </c>
      <c r="D72">
        <v>23.957399913538445</v>
      </c>
    </row>
    <row r="73" spans="1:4" x14ac:dyDescent="0.35">
      <c r="A73" t="s">
        <v>153</v>
      </c>
      <c r="B73">
        <v>22</v>
      </c>
      <c r="C73">
        <v>1952.5725181888358</v>
      </c>
      <c r="D73">
        <v>23.957399913538445</v>
      </c>
    </row>
    <row r="74" spans="1:4" x14ac:dyDescent="0.35">
      <c r="A74" t="s">
        <v>153</v>
      </c>
      <c r="B74">
        <v>24</v>
      </c>
      <c r="C74">
        <v>1952.5725181888358</v>
      </c>
      <c r="D74">
        <v>23.957399913538445</v>
      </c>
    </row>
    <row r="75" spans="1:4" x14ac:dyDescent="0.35">
      <c r="A75" t="s">
        <v>153</v>
      </c>
      <c r="B75">
        <v>26</v>
      </c>
      <c r="C75">
        <v>1952.5725181888358</v>
      </c>
      <c r="D75">
        <v>23.957399913538445</v>
      </c>
    </row>
    <row r="76" spans="1:4" x14ac:dyDescent="0.35">
      <c r="A76" t="s">
        <v>153</v>
      </c>
      <c r="B76">
        <v>28</v>
      </c>
      <c r="C76">
        <v>1952.5725181888358</v>
      </c>
      <c r="D76">
        <v>23.957399913538445</v>
      </c>
    </row>
    <row r="77" spans="1:4" x14ac:dyDescent="0.35">
      <c r="A77" t="s">
        <v>153</v>
      </c>
      <c r="B77">
        <v>30</v>
      </c>
      <c r="C77">
        <v>1952.5725181888358</v>
      </c>
      <c r="D77">
        <v>23.957399913538445</v>
      </c>
    </row>
    <row r="78" spans="1:4" x14ac:dyDescent="0.35">
      <c r="A78" t="s">
        <v>153</v>
      </c>
      <c r="B78">
        <v>32</v>
      </c>
      <c r="C78">
        <v>1929.1513387560819</v>
      </c>
      <c r="D78">
        <v>38.356119936144133</v>
      </c>
    </row>
    <row r="79" spans="1:4" x14ac:dyDescent="0.35">
      <c r="A79" t="s">
        <v>153</v>
      </c>
      <c r="B79">
        <v>34</v>
      </c>
      <c r="C79">
        <v>1929.1513387560819</v>
      </c>
      <c r="D79">
        <v>38.356119936144133</v>
      </c>
    </row>
    <row r="80" spans="1:4" x14ac:dyDescent="0.35">
      <c r="A80" t="s">
        <v>153</v>
      </c>
      <c r="B80">
        <v>36</v>
      </c>
    </row>
    <row r="81" spans="1:4" x14ac:dyDescent="0.35">
      <c r="A81" t="s">
        <v>153</v>
      </c>
      <c r="B81">
        <v>38</v>
      </c>
    </row>
    <row r="82" spans="1:4" x14ac:dyDescent="0.35">
      <c r="A82" t="s">
        <v>153</v>
      </c>
      <c r="B82">
        <v>40</v>
      </c>
    </row>
    <row r="83" spans="1:4" x14ac:dyDescent="0.35">
      <c r="A83" t="s">
        <v>153</v>
      </c>
      <c r="B83">
        <v>42</v>
      </c>
    </row>
    <row r="84" spans="1:4" x14ac:dyDescent="0.35">
      <c r="A84" t="s">
        <v>153</v>
      </c>
      <c r="B84">
        <v>44</v>
      </c>
    </row>
    <row r="85" spans="1:4" x14ac:dyDescent="0.35">
      <c r="A85" t="s">
        <v>153</v>
      </c>
      <c r="B85">
        <v>48</v>
      </c>
    </row>
    <row r="86" spans="1:4" x14ac:dyDescent="0.35">
      <c r="A86" t="s">
        <v>154</v>
      </c>
      <c r="B86">
        <v>0</v>
      </c>
      <c r="C86">
        <v>2020.9207650273224</v>
      </c>
      <c r="D86">
        <v>0</v>
      </c>
    </row>
    <row r="87" spans="1:4" x14ac:dyDescent="0.35">
      <c r="A87" t="s">
        <v>154</v>
      </c>
      <c r="B87">
        <v>2</v>
      </c>
      <c r="C87">
        <v>2013.0903344488243</v>
      </c>
      <c r="D87">
        <v>5.592098294208407</v>
      </c>
    </row>
    <row r="88" spans="1:4" x14ac:dyDescent="0.35">
      <c r="A88" t="s">
        <v>154</v>
      </c>
      <c r="B88">
        <v>3</v>
      </c>
      <c r="C88">
        <v>2008.508875858741</v>
      </c>
      <c r="D88">
        <v>6.3716140258432032</v>
      </c>
    </row>
    <row r="89" spans="1:4" x14ac:dyDescent="0.35">
      <c r="A89" t="s">
        <v>154</v>
      </c>
      <c r="B89">
        <v>4</v>
      </c>
      <c r="C89">
        <v>2003.5490757724276</v>
      </c>
      <c r="D89">
        <v>7.3250328373976519</v>
      </c>
    </row>
    <row r="90" spans="1:4" x14ac:dyDescent="0.35">
      <c r="A90" t="s">
        <v>154</v>
      </c>
      <c r="B90">
        <v>6</v>
      </c>
      <c r="C90">
        <v>1995.6954208829984</v>
      </c>
      <c r="D90">
        <v>9.0948049387324303</v>
      </c>
    </row>
    <row r="91" spans="1:4" x14ac:dyDescent="0.35">
      <c r="A91" t="s">
        <v>154</v>
      </c>
      <c r="B91">
        <v>8</v>
      </c>
      <c r="C91">
        <v>1984.2572917093137</v>
      </c>
      <c r="D91">
        <v>12.324708705227703</v>
      </c>
    </row>
    <row r="92" spans="1:4" x14ac:dyDescent="0.35">
      <c r="A92" t="s">
        <v>154</v>
      </c>
      <c r="B92">
        <v>10</v>
      </c>
      <c r="C92">
        <v>1972.384859998728</v>
      </c>
      <c r="D92">
        <v>16.614842942628005</v>
      </c>
    </row>
    <row r="93" spans="1:4" x14ac:dyDescent="0.35">
      <c r="A93" t="s">
        <v>154</v>
      </c>
      <c r="B93">
        <v>12</v>
      </c>
      <c r="C93">
        <v>1972.384859998728</v>
      </c>
      <c r="D93">
        <v>16.614842942628005</v>
      </c>
    </row>
    <row r="94" spans="1:4" x14ac:dyDescent="0.35">
      <c r="A94" t="s">
        <v>154</v>
      </c>
      <c r="B94">
        <v>14</v>
      </c>
      <c r="C94">
        <v>1972.384859998728</v>
      </c>
      <c r="D94">
        <v>16.614842942628005</v>
      </c>
    </row>
    <row r="95" spans="1:4" x14ac:dyDescent="0.35">
      <c r="A95" t="s">
        <v>154</v>
      </c>
      <c r="B95">
        <v>16</v>
      </c>
      <c r="C95">
        <v>1967.4918330803341</v>
      </c>
      <c r="D95">
        <v>18.686106589502408</v>
      </c>
    </row>
    <row r="96" spans="1:4" x14ac:dyDescent="0.35">
      <c r="A96" t="s">
        <v>154</v>
      </c>
      <c r="B96">
        <v>18</v>
      </c>
      <c r="C96">
        <v>1949.6937296080162</v>
      </c>
      <c r="D96">
        <v>27.783583486196655</v>
      </c>
    </row>
    <row r="97" spans="1:2" x14ac:dyDescent="0.35">
      <c r="A97" t="s">
        <v>154</v>
      </c>
      <c r="B97">
        <v>20</v>
      </c>
    </row>
    <row r="98" spans="1:2" x14ac:dyDescent="0.35">
      <c r="A98" t="s">
        <v>154</v>
      </c>
      <c r="B98">
        <v>22</v>
      </c>
    </row>
    <row r="99" spans="1:2" x14ac:dyDescent="0.35">
      <c r="A99" t="s">
        <v>154</v>
      </c>
      <c r="B99">
        <v>24</v>
      </c>
    </row>
    <row r="100" spans="1:2" x14ac:dyDescent="0.35">
      <c r="A100" t="s">
        <v>154</v>
      </c>
      <c r="B100">
        <v>26</v>
      </c>
    </row>
    <row r="101" spans="1:2" x14ac:dyDescent="0.35">
      <c r="A101" t="s">
        <v>154</v>
      </c>
      <c r="B101">
        <v>28</v>
      </c>
    </row>
    <row r="102" spans="1:2" x14ac:dyDescent="0.35">
      <c r="A102" t="s">
        <v>154</v>
      </c>
      <c r="B102">
        <v>30</v>
      </c>
    </row>
    <row r="103" spans="1:2" x14ac:dyDescent="0.35">
      <c r="A103" t="s">
        <v>154</v>
      </c>
      <c r="B103">
        <v>32</v>
      </c>
    </row>
    <row r="104" spans="1:2" x14ac:dyDescent="0.35">
      <c r="A104" t="s">
        <v>154</v>
      </c>
      <c r="B104">
        <v>34</v>
      </c>
    </row>
    <row r="105" spans="1:2" x14ac:dyDescent="0.35">
      <c r="A105" t="s">
        <v>154</v>
      </c>
      <c r="B105">
        <v>36</v>
      </c>
    </row>
    <row r="106" spans="1:2" x14ac:dyDescent="0.35">
      <c r="A106" t="s">
        <v>154</v>
      </c>
      <c r="B106">
        <v>38</v>
      </c>
    </row>
    <row r="107" spans="1:2" x14ac:dyDescent="0.35">
      <c r="A107" t="s">
        <v>154</v>
      </c>
      <c r="B107">
        <v>40</v>
      </c>
    </row>
    <row r="108" spans="1:2" x14ac:dyDescent="0.35">
      <c r="A108" t="s">
        <v>154</v>
      </c>
      <c r="B108">
        <v>42</v>
      </c>
    </row>
    <row r="109" spans="1:2" x14ac:dyDescent="0.35">
      <c r="A109" t="s">
        <v>154</v>
      </c>
      <c r="B109">
        <v>44</v>
      </c>
    </row>
    <row r="110" spans="1:2" x14ac:dyDescent="0.35">
      <c r="A110" t="s">
        <v>154</v>
      </c>
      <c r="B110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topLeftCell="Z1" zoomScale="60" zoomScaleNormal="60" workbookViewId="0">
      <selection activeCell="AS5" sqref="AS5:AS16"/>
    </sheetView>
  </sheetViews>
  <sheetFormatPr defaultRowHeight="14.5" x14ac:dyDescent="0.35"/>
  <cols>
    <col min="2" max="2" width="21.36328125" style="6" bestFit="1" customWidth="1"/>
    <col min="3" max="3" width="14.08984375" style="6" customWidth="1"/>
    <col min="4" max="4" width="15.54296875" style="6" bestFit="1" customWidth="1"/>
    <col min="5" max="8" width="11.1796875" style="6" customWidth="1"/>
    <col min="9" max="9" width="10.6328125" style="6" customWidth="1"/>
    <col min="10" max="10" width="16.54296875" style="6" bestFit="1" customWidth="1"/>
    <col min="11" max="15" width="11.1796875" style="6" customWidth="1"/>
    <col min="16" max="16" width="10.453125" style="6" customWidth="1"/>
    <col min="17" max="17" width="10.36328125" style="6" customWidth="1"/>
    <col min="18" max="18" width="10" bestFit="1" customWidth="1"/>
    <col min="19" max="19" width="11.453125" customWidth="1"/>
    <col min="20" max="20" width="10" bestFit="1" customWidth="1"/>
    <col min="22" max="22" width="8" customWidth="1"/>
    <col min="23" max="23" width="7.81640625" customWidth="1"/>
    <col min="24" max="24" width="7.6328125" customWidth="1"/>
    <col min="25" max="25" width="11.08984375" customWidth="1"/>
    <col min="26" max="28" width="10.453125" customWidth="1"/>
    <col min="29" max="29" width="11.54296875" bestFit="1" customWidth="1"/>
    <col min="33" max="33" width="8.36328125" customWidth="1"/>
    <col min="34" max="35" width="12.36328125" customWidth="1"/>
    <col min="36" max="36" width="10" style="6" bestFit="1" customWidth="1"/>
    <col min="37" max="38" width="8.90625" style="6"/>
    <col min="39" max="39" width="18.08984375" customWidth="1"/>
    <col min="40" max="41" width="13.81640625" customWidth="1"/>
    <col min="42" max="42" width="9.54296875" customWidth="1"/>
    <col min="43" max="43" width="12.90625" bestFit="1" customWidth="1"/>
    <col min="44" max="44" width="9.36328125" customWidth="1"/>
    <col min="45" max="45" width="11.54296875" customWidth="1"/>
    <col min="46" max="47" width="12" bestFit="1" customWidth="1"/>
    <col min="48" max="48" width="10" bestFit="1" customWidth="1"/>
    <col min="52" max="52" width="10.6328125" bestFit="1" customWidth="1"/>
    <col min="53" max="54" width="10.6328125" customWidth="1"/>
  </cols>
  <sheetData>
    <row r="1" spans="1:62" x14ac:dyDescent="0.35">
      <c r="A1" s="6" t="s">
        <v>140</v>
      </c>
      <c r="R1" s="41" t="s">
        <v>39</v>
      </c>
      <c r="S1" s="41"/>
      <c r="T1" s="41"/>
      <c r="U1" s="41"/>
      <c r="V1" s="41"/>
      <c r="W1" s="41"/>
      <c r="X1" s="41"/>
      <c r="Y1" s="41"/>
      <c r="Z1" s="41"/>
      <c r="AA1" s="41"/>
      <c r="AB1" s="22"/>
      <c r="AC1" s="4"/>
    </row>
    <row r="2" spans="1:62" x14ac:dyDescent="0.35">
      <c r="A2" t="s">
        <v>141</v>
      </c>
      <c r="B2" s="6" t="s">
        <v>143</v>
      </c>
      <c r="I2" s="38"/>
      <c r="P2" s="10"/>
      <c r="Q2" s="10"/>
      <c r="R2">
        <f>AT2</f>
        <v>2020.9207650273224</v>
      </c>
      <c r="T2" t="s">
        <v>31</v>
      </c>
      <c r="W2" t="s">
        <v>32</v>
      </c>
      <c r="Z2" t="s">
        <v>32</v>
      </c>
      <c r="AI2" s="42" t="s">
        <v>13</v>
      </c>
      <c r="AJ2" s="42"/>
      <c r="AK2" s="42"/>
      <c r="AL2" s="42"/>
      <c r="AM2" s="1" t="s">
        <v>0</v>
      </c>
      <c r="AN2" s="1">
        <f>LN(2)/22.2</f>
        <v>3.1222845971168707E-2</v>
      </c>
      <c r="AO2" s="1"/>
      <c r="AP2" s="2" t="s">
        <v>1</v>
      </c>
      <c r="AQ2" s="2">
        <f>AQ5</f>
        <v>0.27053613451641079</v>
      </c>
      <c r="AR2" s="3" t="s">
        <v>2</v>
      </c>
      <c r="AS2" s="3"/>
      <c r="AT2" s="6">
        <f>2020+337/366</f>
        <v>2020.9207650273224</v>
      </c>
      <c r="AU2" t="s">
        <v>31</v>
      </c>
    </row>
    <row r="3" spans="1:62" x14ac:dyDescent="0.35">
      <c r="B3" s="6" t="s">
        <v>145</v>
      </c>
      <c r="I3" s="38"/>
      <c r="P3" s="10"/>
      <c r="Q3" s="10"/>
      <c r="AI3" s="27"/>
      <c r="AJ3" s="37"/>
      <c r="AK3" s="37"/>
      <c r="AL3" s="37"/>
      <c r="AM3" s="1"/>
      <c r="AN3" s="1"/>
      <c r="AO3" s="1"/>
      <c r="AP3" s="2"/>
      <c r="AQ3" s="2"/>
      <c r="AR3" s="3"/>
      <c r="AS3" s="3"/>
      <c r="AT3" s="6"/>
    </row>
    <row r="4" spans="1:62" s="5" customFormat="1" ht="86.4" customHeight="1" x14ac:dyDescent="0.35">
      <c r="A4" s="7" t="s">
        <v>20</v>
      </c>
      <c r="B4" s="5" t="s">
        <v>13</v>
      </c>
      <c r="D4" s="8" t="s">
        <v>15</v>
      </c>
      <c r="E4" s="8" t="s">
        <v>16</v>
      </c>
      <c r="F4" s="8" t="s">
        <v>17</v>
      </c>
      <c r="G4" s="8" t="s">
        <v>36</v>
      </c>
      <c r="H4" s="8" t="s">
        <v>42</v>
      </c>
      <c r="I4" s="13" t="s">
        <v>21</v>
      </c>
      <c r="J4" s="14" t="s">
        <v>37</v>
      </c>
      <c r="K4" s="14" t="s">
        <v>38</v>
      </c>
      <c r="L4" s="16" t="s">
        <v>40</v>
      </c>
      <c r="M4" s="16" t="s">
        <v>41</v>
      </c>
      <c r="N4" s="24" t="s">
        <v>43</v>
      </c>
      <c r="O4" s="24" t="s">
        <v>44</v>
      </c>
      <c r="P4" s="13" t="s">
        <v>18</v>
      </c>
      <c r="Q4" s="13" t="s">
        <v>19</v>
      </c>
      <c r="R4" s="5" t="s">
        <v>23</v>
      </c>
      <c r="S4" s="5" t="s">
        <v>33</v>
      </c>
      <c r="T4" s="5" t="s">
        <v>29</v>
      </c>
      <c r="U4" s="5" t="s">
        <v>30</v>
      </c>
      <c r="V4" s="5" t="s">
        <v>9</v>
      </c>
      <c r="W4" s="5" t="s">
        <v>34</v>
      </c>
      <c r="X4" s="5" t="s">
        <v>35</v>
      </c>
      <c r="Y4" s="5" t="s">
        <v>10</v>
      </c>
      <c r="Z4" s="5" t="s">
        <v>54</v>
      </c>
      <c r="AA4" s="5" t="s">
        <v>55</v>
      </c>
      <c r="AC4" s="5" t="s">
        <v>3</v>
      </c>
      <c r="AD4" s="5" t="s">
        <v>5</v>
      </c>
      <c r="AE4" s="5" t="s">
        <v>6</v>
      </c>
      <c r="AF4" s="5" t="s">
        <v>7</v>
      </c>
      <c r="AG4" s="5" t="s">
        <v>8</v>
      </c>
      <c r="AH4" s="5" t="s">
        <v>11</v>
      </c>
      <c r="AI4" s="30" t="s">
        <v>105</v>
      </c>
      <c r="AJ4" s="28" t="s">
        <v>12</v>
      </c>
      <c r="AK4" s="29" t="s">
        <v>22</v>
      </c>
      <c r="AL4" s="29" t="s">
        <v>14</v>
      </c>
      <c r="AM4" s="5" t="s">
        <v>25</v>
      </c>
      <c r="AN4" s="5" t="s">
        <v>24</v>
      </c>
      <c r="AO4" s="5" t="s">
        <v>53</v>
      </c>
      <c r="AP4" s="5" t="s">
        <v>52</v>
      </c>
      <c r="AQ4" s="5" t="s">
        <v>26</v>
      </c>
      <c r="AR4" s="5" t="s">
        <v>27</v>
      </c>
      <c r="AS4" s="5" t="s">
        <v>28</v>
      </c>
      <c r="AT4" s="5" t="s">
        <v>23</v>
      </c>
      <c r="AU4" s="5" t="s">
        <v>29</v>
      </c>
      <c r="AV4" s="5" t="s">
        <v>30</v>
      </c>
      <c r="AW4" s="5" t="s">
        <v>9</v>
      </c>
      <c r="AX4" s="5" t="s">
        <v>34</v>
      </c>
      <c r="AY4" s="5" t="s">
        <v>35</v>
      </c>
      <c r="AZ4" s="5" t="s">
        <v>10</v>
      </c>
      <c r="BA4" s="5" t="s">
        <v>54</v>
      </c>
      <c r="BB4" s="5" t="s">
        <v>55</v>
      </c>
      <c r="BF4" s="5" t="s">
        <v>20</v>
      </c>
      <c r="BG4" s="5" t="s">
        <v>100</v>
      </c>
      <c r="BH4" s="5" t="s">
        <v>4</v>
      </c>
      <c r="BI4" s="5" t="s">
        <v>101</v>
      </c>
      <c r="BJ4" s="5" t="s">
        <v>102</v>
      </c>
    </row>
    <row r="5" spans="1:62" s="6" customFormat="1" x14ac:dyDescent="0.35">
      <c r="A5" s="4" t="s">
        <v>58</v>
      </c>
      <c r="D5" s="12"/>
      <c r="E5" s="33">
        <v>0</v>
      </c>
      <c r="F5" s="12"/>
      <c r="G5" s="12">
        <v>0</v>
      </c>
      <c r="H5" s="12"/>
      <c r="I5" s="9"/>
      <c r="J5" s="15"/>
      <c r="K5" s="15"/>
      <c r="L5" s="17"/>
      <c r="M5" s="17"/>
      <c r="N5" s="25"/>
      <c r="O5" s="25"/>
      <c r="P5" s="9"/>
      <c r="Q5" s="9"/>
      <c r="R5" s="6">
        <v>2020.9207650273224</v>
      </c>
      <c r="S5" s="6">
        <v>0</v>
      </c>
      <c r="T5" s="6">
        <v>2020.9207650273224</v>
      </c>
      <c r="U5" s="6">
        <v>2020.9207650273224</v>
      </c>
      <c r="AC5" s="6" t="s">
        <v>58</v>
      </c>
      <c r="AD5" s="7">
        <v>0</v>
      </c>
      <c r="AE5" s="7">
        <v>0</v>
      </c>
      <c r="AF5" s="7">
        <v>0</v>
      </c>
      <c r="AG5" s="6">
        <f>AE5-AD5</f>
        <v>0</v>
      </c>
      <c r="AH5" s="7">
        <v>0</v>
      </c>
      <c r="AI5" s="7"/>
      <c r="AJ5" s="11"/>
      <c r="AK5" s="9"/>
      <c r="AL5" s="9"/>
      <c r="AM5" s="7">
        <v>0</v>
      </c>
      <c r="AN5" s="7">
        <v>0</v>
      </c>
      <c r="AO5" s="7">
        <v>0</v>
      </c>
      <c r="AP5" s="7">
        <v>0</v>
      </c>
      <c r="AQ5" s="7">
        <f>SUM(AP6:AP17)</f>
        <v>0.27053613451641079</v>
      </c>
      <c r="AR5" s="7">
        <v>0</v>
      </c>
      <c r="AS5" s="7">
        <v>0</v>
      </c>
      <c r="AT5" s="6">
        <f>AT2</f>
        <v>2020.9207650273224</v>
      </c>
      <c r="AU5" s="6">
        <f>AT2</f>
        <v>2020.9207650273224</v>
      </c>
      <c r="AV5" s="6">
        <f>AT2</f>
        <v>2020.9207650273224</v>
      </c>
      <c r="AW5" s="7"/>
      <c r="AX5" s="7"/>
      <c r="AY5" s="7"/>
      <c r="AZ5" s="7"/>
      <c r="BA5" s="7"/>
      <c r="BB5" s="7"/>
      <c r="BF5" s="6" t="s">
        <v>103</v>
      </c>
      <c r="BG5" s="6" t="s">
        <v>104</v>
      </c>
      <c r="BH5" s="6">
        <v>0</v>
      </c>
      <c r="BI5" s="6">
        <v>0.67476138902051042</v>
      </c>
    </row>
    <row r="6" spans="1:62" s="6" customFormat="1" x14ac:dyDescent="0.35">
      <c r="A6" s="4" t="s">
        <v>58</v>
      </c>
      <c r="B6" s="6" t="s">
        <v>56</v>
      </c>
      <c r="C6" s="6" t="s">
        <v>57</v>
      </c>
      <c r="D6" s="23">
        <v>0</v>
      </c>
      <c r="E6" s="23">
        <v>2</v>
      </c>
      <c r="F6" s="23">
        <f t="shared" ref="F6:F34" si="0">AVERAGE(D6:E6)</f>
        <v>1</v>
      </c>
      <c r="G6" s="23">
        <f>E6-D6</f>
        <v>2</v>
      </c>
      <c r="H6" s="23">
        <f>G6/2</f>
        <v>1</v>
      </c>
      <c r="I6" s="4">
        <f>AVERAGE(BJ6:BJ7)</f>
        <v>0.31835611093525384</v>
      </c>
      <c r="J6" s="23">
        <v>1.9283649506212124</v>
      </c>
      <c r="K6" s="23">
        <v>0.49973669723348546</v>
      </c>
      <c r="L6" s="18">
        <f>$J6*I6/1000</f>
        <v>6.1390676614362196E-4</v>
      </c>
      <c r="M6" s="18">
        <f>$J6*K6/1000</f>
        <v>9.6367473148425802E-4</v>
      </c>
      <c r="N6" s="26">
        <v>107.12406858747514</v>
      </c>
      <c r="O6" s="26">
        <v>10.650939955613838</v>
      </c>
      <c r="P6" s="4">
        <f>N6*$I6/1000</f>
        <v>3.4103601863069974E-2</v>
      </c>
      <c r="Q6" s="4">
        <f>O6*$I6/1000</f>
        <v>3.3907918220741269E-3</v>
      </c>
      <c r="R6" s="4">
        <v>2011.6163303673729</v>
      </c>
      <c r="S6" s="4">
        <v>2.7520564270336658</v>
      </c>
      <c r="T6" s="4">
        <v>2014.3683867944067</v>
      </c>
      <c r="U6" s="4">
        <v>2008.8642739403392</v>
      </c>
      <c r="V6" s="4">
        <v>0.21495126497141273</v>
      </c>
      <c r="W6" s="4">
        <v>0.30523268482167754</v>
      </c>
      <c r="X6" s="4">
        <v>0.1658857444981898</v>
      </c>
      <c r="Y6" s="4">
        <v>6.8431048756912222E-2</v>
      </c>
      <c r="Z6" s="4">
        <v>9.7172690470155351E-2</v>
      </c>
      <c r="AA6" s="4">
        <v>5.2810740478042885E-2</v>
      </c>
      <c r="AC6" s="4" t="s">
        <v>58</v>
      </c>
      <c r="AD6" s="4">
        <v>0</v>
      </c>
      <c r="AE6" s="4">
        <v>2</v>
      </c>
      <c r="AF6" s="4">
        <v>1</v>
      </c>
      <c r="AG6" s="4">
        <v>2</v>
      </c>
      <c r="AH6" s="4">
        <v>0.31835611093525384</v>
      </c>
      <c r="AI6" s="4">
        <v>3.3474300000000001</v>
      </c>
      <c r="AJ6" s="4">
        <f>AI6/3.5</f>
        <v>0.9564085714285715</v>
      </c>
      <c r="AK6" s="4">
        <v>107.12406858747514</v>
      </c>
      <c r="AL6" s="4">
        <v>10.650939955613838</v>
      </c>
      <c r="AM6" s="4">
        <f>AK6*AH6/1000</f>
        <v>3.4103601863069974E-2</v>
      </c>
      <c r="AN6" s="4">
        <f>AL6*AH6/1000</f>
        <v>3.3907918220741269E-3</v>
      </c>
      <c r="AO6" s="4">
        <f>AN6^2</f>
        <v>1.1497469180644777E-5</v>
      </c>
      <c r="AP6" s="4">
        <f>AM6*AG6</f>
        <v>6.8207203726139948E-2</v>
      </c>
      <c r="AQ6" s="7">
        <f>SUM(AP7:AP17)</f>
        <v>0.20232893079027089</v>
      </c>
      <c r="AR6" s="4">
        <f>(1/$AN$2)*LN($AQ$2/AQ6)</f>
        <v>9.3044346599495587</v>
      </c>
      <c r="AS6" s="4">
        <f t="shared" ref="AS6:AS18" si="1">ABS((1/$AN$2)*LN($AQ$2/(AQ6+SQRT(SUM($AO$6:$AO$46))))-AR6)</f>
        <v>2.7520564270336658</v>
      </c>
      <c r="AT6" s="4">
        <f>$AT$2-AR6</f>
        <v>2011.6163303673729</v>
      </c>
      <c r="AU6" s="4">
        <f>AT6+AS6</f>
        <v>2014.3683867944067</v>
      </c>
      <c r="AV6" s="4">
        <f>AT6-AS6</f>
        <v>2008.8642739403392</v>
      </c>
      <c r="AW6" s="4">
        <f>AG6/(AT5-AT6)</f>
        <v>0.21495126497141273</v>
      </c>
      <c r="AX6" s="4">
        <f>AG6/(AT5-AU6)</f>
        <v>0.30523268482167754</v>
      </c>
      <c r="AY6" s="4">
        <f>AG6/(AT5-AV6)</f>
        <v>0.1658857444981898</v>
      </c>
      <c r="AZ6" s="4">
        <f>AW6*$AH6</f>
        <v>6.8431048756912222E-2</v>
      </c>
      <c r="BA6" s="4">
        <f t="shared" ref="BA6:BB18" si="2">AX6*$AH6</f>
        <v>9.7172690470155351E-2</v>
      </c>
      <c r="BB6" s="4">
        <f t="shared" si="2"/>
        <v>5.2810740478042885E-2</v>
      </c>
      <c r="BF6" s="6" t="s">
        <v>103</v>
      </c>
      <c r="BG6" s="6" t="s">
        <v>104</v>
      </c>
      <c r="BH6" s="6">
        <v>1</v>
      </c>
      <c r="BI6" s="6">
        <v>0.66958893434638611</v>
      </c>
      <c r="BJ6" s="6">
        <v>0.38516131076889115</v>
      </c>
    </row>
    <row r="7" spans="1:62" s="6" customFormat="1" x14ac:dyDescent="0.35">
      <c r="A7" s="4" t="s">
        <v>58</v>
      </c>
      <c r="B7" s="6" t="s">
        <v>58</v>
      </c>
      <c r="C7" s="6" t="s">
        <v>59</v>
      </c>
      <c r="D7" s="23">
        <v>2</v>
      </c>
      <c r="E7" s="23">
        <v>3</v>
      </c>
      <c r="F7" s="23">
        <f t="shared" si="0"/>
        <v>2.5</v>
      </c>
      <c r="G7" s="23">
        <f t="shared" ref="G7:G34" si="3">E7-D7</f>
        <v>1</v>
      </c>
      <c r="H7" s="23">
        <f t="shared" ref="H7:H34" si="4">G7/2</f>
        <v>0.5</v>
      </c>
      <c r="I7" s="4">
        <f t="shared" ref="I7:I31" si="5">BJ8</f>
        <v>0.26055163434265849</v>
      </c>
      <c r="J7" s="23">
        <v>2.3872239956094181</v>
      </c>
      <c r="K7" s="23">
        <v>0.94258941350976921</v>
      </c>
      <c r="L7" s="18">
        <f t="shared" ref="L7:L34" si="6">$J7*I7/1000</f>
        <v>6.2199511359804522E-4</v>
      </c>
      <c r="M7" s="18">
        <f t="shared" ref="M7:M34" si="7">$J7*K7/1000</f>
        <v>2.2501720659379295E-3</v>
      </c>
      <c r="N7" s="26">
        <v>109.47179761152228</v>
      </c>
      <c r="O7" s="26">
        <v>17.248597434984219</v>
      </c>
      <c r="P7" s="4">
        <f t="shared" ref="P7:P34" si="8">N7*$I7/1000</f>
        <v>2.8523055782110868E-2</v>
      </c>
      <c r="Q7" s="4">
        <f t="shared" ref="Q7:Q34" si="9">O7*$I7/1000</f>
        <v>4.494150251803726E-3</v>
      </c>
      <c r="R7" s="4">
        <v>2006.7495181650504</v>
      </c>
      <c r="S7" s="4">
        <v>3.1819350971734774</v>
      </c>
      <c r="T7" s="4">
        <v>2009.9314532622238</v>
      </c>
      <c r="U7" s="4">
        <v>2003.567583067877</v>
      </c>
      <c r="V7" s="4">
        <v>0.20547330746043191</v>
      </c>
      <c r="W7" s="4">
        <v>0.59351509789285661</v>
      </c>
      <c r="X7" s="4">
        <v>0.12424293654524624</v>
      </c>
      <c r="Y7" s="4">
        <v>5.3536406072607096E-2</v>
      </c>
      <c r="Z7" s="4">
        <v>0.15464132876302675</v>
      </c>
      <c r="AA7" s="4">
        <v>3.2371700172395115E-2</v>
      </c>
      <c r="AC7" s="4" t="s">
        <v>58</v>
      </c>
      <c r="AD7" s="4">
        <v>2</v>
      </c>
      <c r="AE7" s="4">
        <v>3</v>
      </c>
      <c r="AF7" s="4">
        <v>2.5</v>
      </c>
      <c r="AG7" s="4">
        <v>1</v>
      </c>
      <c r="AH7" s="4">
        <v>0.26055163434265849</v>
      </c>
      <c r="AI7" s="4">
        <v>3.0564399999999998</v>
      </c>
      <c r="AJ7" s="4">
        <f t="shared" ref="AJ7:AJ34" si="10">AI7/3.5</f>
        <v>0.87326857142857139</v>
      </c>
      <c r="AK7" s="4">
        <v>109.47179761152228</v>
      </c>
      <c r="AL7" s="4">
        <v>17.248597434984219</v>
      </c>
      <c r="AM7" s="4">
        <f t="shared" ref="AM7:AM17" si="11">AK7*AH7/1000</f>
        <v>2.8523055782110868E-2</v>
      </c>
      <c r="AN7" s="4">
        <f t="shared" ref="AN7:AN17" si="12">AL7*AH7/1000</f>
        <v>4.494150251803726E-3</v>
      </c>
      <c r="AO7" s="4">
        <f t="shared" ref="AO7:AO18" si="13">AN7^2</f>
        <v>2.0197386485787492E-5</v>
      </c>
      <c r="AP7" s="4">
        <f t="shared" ref="AP7:AP18" si="14">AM7*AG7</f>
        <v>2.8523055782110868E-2</v>
      </c>
      <c r="AQ7" s="7">
        <f>SUM(AP8:AP17)</f>
        <v>0.17380587500816003</v>
      </c>
      <c r="AR7" s="4">
        <f t="shared" ref="AR7:AR18" si="15">(1/$AN$2)*LN($AQ$2/AQ7)</f>
        <v>14.171246862272035</v>
      </c>
      <c r="AS7" s="4">
        <f t="shared" si="1"/>
        <v>3.1819350971734774</v>
      </c>
      <c r="AT7" s="4">
        <f t="shared" ref="AT7:AT18" si="16">$AT$2-AR7</f>
        <v>2006.7495181650504</v>
      </c>
      <c r="AU7" s="4">
        <f t="shared" ref="AU7:AU18" si="17">AT7+AS7</f>
        <v>2009.9314532622238</v>
      </c>
      <c r="AV7" s="4">
        <f t="shared" ref="AV7:AV18" si="18">AT7-AS7</f>
        <v>2003.567583067877</v>
      </c>
      <c r="AW7" s="4">
        <f t="shared" ref="AW7:AW18" si="19">AG7/(AT6-AT7)</f>
        <v>0.20547330746043191</v>
      </c>
      <c r="AX7" s="4">
        <f t="shared" ref="AX7:AX18" si="20">AG7/(AT6-AU7)</f>
        <v>0.59351509789285661</v>
      </c>
      <c r="AY7" s="4">
        <f t="shared" ref="AY7:AY18" si="21">AG7/(AT6-AV7)</f>
        <v>0.12424293654524624</v>
      </c>
      <c r="AZ7" s="4">
        <f t="shared" ref="AZ7:AZ18" si="22">AW7*$AH7</f>
        <v>5.3536406072607096E-2</v>
      </c>
      <c r="BA7" s="4">
        <f t="shared" si="2"/>
        <v>0.15464132876302675</v>
      </c>
      <c r="BB7" s="4">
        <f t="shared" si="2"/>
        <v>3.2371700172395115E-2</v>
      </c>
      <c r="BF7" s="6" t="s">
        <v>103</v>
      </c>
      <c r="BG7" s="6" t="s">
        <v>104</v>
      </c>
      <c r="BH7" s="6">
        <v>2</v>
      </c>
      <c r="BI7" s="6">
        <v>0.65534051071421162</v>
      </c>
      <c r="BJ7" s="6">
        <v>0.25155091110161654</v>
      </c>
    </row>
    <row r="8" spans="1:62" s="6" customFormat="1" x14ac:dyDescent="0.35">
      <c r="A8" s="4" t="s">
        <v>58</v>
      </c>
      <c r="B8" s="6" t="s">
        <v>58</v>
      </c>
      <c r="C8" s="6" t="s">
        <v>60</v>
      </c>
      <c r="D8" s="23">
        <v>3</v>
      </c>
      <c r="E8" s="23">
        <v>4</v>
      </c>
      <c r="F8" s="23">
        <f t="shared" si="0"/>
        <v>3.5</v>
      </c>
      <c r="G8" s="23">
        <f t="shared" si="3"/>
        <v>1</v>
      </c>
      <c r="H8" s="23">
        <f t="shared" si="4"/>
        <v>0.5</v>
      </c>
      <c r="I8" s="4">
        <f t="shared" si="5"/>
        <v>0.34844683833907347</v>
      </c>
      <c r="J8" s="23">
        <v>6.3440477898695002</v>
      </c>
      <c r="K8" s="23">
        <v>1.4353364796864301</v>
      </c>
      <c r="L8" s="18">
        <f t="shared" si="6"/>
        <v>2.2105633946520142E-3</v>
      </c>
      <c r="M8" s="18">
        <f t="shared" si="7"/>
        <v>9.105843221673765E-3</v>
      </c>
      <c r="N8" s="26">
        <v>81.305679115787953</v>
      </c>
      <c r="O8" s="26">
        <v>16.61857046229095</v>
      </c>
      <c r="P8" s="4">
        <f t="shared" si="8"/>
        <v>2.8330706826907547E-2</v>
      </c>
      <c r="Q8" s="4">
        <f t="shared" si="9"/>
        <v>5.7906883353003964E-3</v>
      </c>
      <c r="R8" s="4">
        <v>2001.0506908042223</v>
      </c>
      <c r="S8" s="4">
        <v>3.7664506343991739</v>
      </c>
      <c r="T8" s="4">
        <v>2004.8171414386215</v>
      </c>
      <c r="U8" s="4">
        <v>1997.2842401698231</v>
      </c>
      <c r="V8" s="4">
        <v>0.17547469622850465</v>
      </c>
      <c r="W8" s="4">
        <v>0.5174974353205225</v>
      </c>
      <c r="X8" s="4">
        <v>0.10564930058094751</v>
      </c>
      <c r="Y8" s="4">
        <v>6.1143603109331784E-2</v>
      </c>
      <c r="Z8" s="4">
        <v>0.18032034518601522</v>
      </c>
      <c r="AA8" s="4">
        <v>3.68131647601656E-2</v>
      </c>
      <c r="AC8" s="4" t="s">
        <v>58</v>
      </c>
      <c r="AD8" s="4">
        <v>3</v>
      </c>
      <c r="AE8" s="4">
        <v>4</v>
      </c>
      <c r="AF8" s="4">
        <v>3.5</v>
      </c>
      <c r="AG8" s="4">
        <v>1</v>
      </c>
      <c r="AH8" s="4">
        <v>0.34844683833907347</v>
      </c>
      <c r="AI8" s="4">
        <v>2.9152400000000003</v>
      </c>
      <c r="AJ8" s="4">
        <f t="shared" si="10"/>
        <v>0.83292571428571438</v>
      </c>
      <c r="AK8" s="4">
        <v>81.305679115787953</v>
      </c>
      <c r="AL8" s="4">
        <v>16.61857046229095</v>
      </c>
      <c r="AM8" s="4">
        <f t="shared" si="11"/>
        <v>2.8330706826907547E-2</v>
      </c>
      <c r="AN8" s="4">
        <f t="shared" si="12"/>
        <v>5.7906883353003964E-3</v>
      </c>
      <c r="AO8" s="4">
        <f t="shared" si="13"/>
        <v>3.3532071396584076E-5</v>
      </c>
      <c r="AP8" s="4">
        <f t="shared" si="14"/>
        <v>2.8330706826907547E-2</v>
      </c>
      <c r="AQ8" s="7">
        <f>SUM(AP9:AP17)</f>
        <v>0.14547516818125247</v>
      </c>
      <c r="AR8" s="4">
        <f t="shared" si="15"/>
        <v>19.870074223100122</v>
      </c>
      <c r="AS8" s="4">
        <f t="shared" si="1"/>
        <v>3.7664506343991739</v>
      </c>
      <c r="AT8" s="4">
        <f t="shared" si="16"/>
        <v>2001.0506908042223</v>
      </c>
      <c r="AU8" s="4">
        <f t="shared" si="17"/>
        <v>2004.8171414386215</v>
      </c>
      <c r="AV8" s="4">
        <f t="shared" si="18"/>
        <v>1997.2842401698231</v>
      </c>
      <c r="AW8" s="4">
        <f t="shared" si="19"/>
        <v>0.17547469622850465</v>
      </c>
      <c r="AX8" s="4">
        <f t="shared" si="20"/>
        <v>0.5174974353205225</v>
      </c>
      <c r="AY8" s="4">
        <f t="shared" si="21"/>
        <v>0.10564930058094751</v>
      </c>
      <c r="AZ8" s="4">
        <f t="shared" si="22"/>
        <v>6.1143603109331784E-2</v>
      </c>
      <c r="BA8" s="4">
        <f t="shared" si="2"/>
        <v>0.18032034518601522</v>
      </c>
      <c r="BB8" s="4">
        <f t="shared" si="2"/>
        <v>3.68131647601656E-2</v>
      </c>
      <c r="BF8" s="6" t="s">
        <v>103</v>
      </c>
      <c r="BG8" s="6" t="s">
        <v>104</v>
      </c>
      <c r="BH8" s="6">
        <v>3</v>
      </c>
      <c r="BI8" s="6">
        <v>0.64934390154448018</v>
      </c>
      <c r="BJ8" s="6">
        <v>0.26055163434265849</v>
      </c>
    </row>
    <row r="9" spans="1:62" s="6" customFormat="1" x14ac:dyDescent="0.35">
      <c r="A9" s="4" t="s">
        <v>58</v>
      </c>
      <c r="B9" s="6" t="s">
        <v>61</v>
      </c>
      <c r="C9" s="6" t="s">
        <v>62</v>
      </c>
      <c r="D9" s="23">
        <v>4</v>
      </c>
      <c r="E9" s="23">
        <v>6</v>
      </c>
      <c r="F9" s="23">
        <f t="shared" si="0"/>
        <v>5</v>
      </c>
      <c r="G9" s="23">
        <f t="shared" si="3"/>
        <v>2</v>
      </c>
      <c r="H9" s="23">
        <f t="shared" si="4"/>
        <v>1</v>
      </c>
      <c r="I9" s="4">
        <f t="shared" si="5"/>
        <v>0.39492660343579111</v>
      </c>
      <c r="J9" s="23">
        <v>4.0134709721436339</v>
      </c>
      <c r="K9" s="23">
        <v>0.76385860527543326</v>
      </c>
      <c r="L9" s="18">
        <f t="shared" si="6"/>
        <v>1.585026459016828E-3</v>
      </c>
      <c r="M9" s="18">
        <f t="shared" si="7"/>
        <v>3.0657243390950733E-3</v>
      </c>
      <c r="N9" s="26">
        <v>49.556638092207209</v>
      </c>
      <c r="O9" s="26">
        <v>10.207494432626989</v>
      </c>
      <c r="P9" s="4">
        <f t="shared" si="8"/>
        <v>1.9571234759452136E-2</v>
      </c>
      <c r="Q9" s="4">
        <f t="shared" si="9"/>
        <v>4.0312111058671248E-3</v>
      </c>
      <c r="R9" s="4">
        <v>1991.0121260459439</v>
      </c>
      <c r="S9" s="4">
        <v>5.0485044751599162</v>
      </c>
      <c r="T9" s="4">
        <v>1996.0606305211038</v>
      </c>
      <c r="U9" s="4">
        <v>1985.963621570784</v>
      </c>
      <c r="V9" s="4">
        <v>0.19923166788864669</v>
      </c>
      <c r="W9" s="4">
        <v>0.40079676126680208</v>
      </c>
      <c r="X9" s="4">
        <v>0.13256385113997388</v>
      </c>
      <c r="Y9" s="4">
        <v>7.8681885896110804E-2</v>
      </c>
      <c r="Z9" s="4">
        <v>0.1582853035951638</v>
      </c>
      <c r="AA9" s="4">
        <v>5.2352991469077709E-2</v>
      </c>
      <c r="AC9" s="4" t="s">
        <v>58</v>
      </c>
      <c r="AD9" s="4">
        <v>4</v>
      </c>
      <c r="AE9" s="4">
        <v>6</v>
      </c>
      <c r="AF9" s="4">
        <v>5</v>
      </c>
      <c r="AG9" s="4">
        <v>2</v>
      </c>
      <c r="AH9" s="4">
        <v>0.39492660343579111</v>
      </c>
      <c r="AI9" s="4">
        <v>3.1764399999999995</v>
      </c>
      <c r="AJ9" s="4">
        <f t="shared" si="10"/>
        <v>0.90755428571428554</v>
      </c>
      <c r="AK9" s="4">
        <v>49.556638092207209</v>
      </c>
      <c r="AL9" s="4">
        <v>10.207494432626989</v>
      </c>
      <c r="AM9" s="4">
        <f t="shared" si="11"/>
        <v>1.9571234759452136E-2</v>
      </c>
      <c r="AN9" s="4">
        <f t="shared" si="12"/>
        <v>4.0312111058671248E-3</v>
      </c>
      <c r="AO9" s="4">
        <f t="shared" si="13"/>
        <v>1.6250662980066447E-5</v>
      </c>
      <c r="AP9" s="4">
        <f t="shared" si="14"/>
        <v>3.9142469518904273E-2</v>
      </c>
      <c r="AQ9" s="7">
        <f>SUM(AP10:AP17)</f>
        <v>0.10633269866234815</v>
      </c>
      <c r="AR9" s="4">
        <f t="shared" si="15"/>
        <v>29.908638981378569</v>
      </c>
      <c r="AS9" s="4">
        <f t="shared" si="1"/>
        <v>5.0485044751599162</v>
      </c>
      <c r="AT9" s="4">
        <f t="shared" si="16"/>
        <v>1991.0121260459439</v>
      </c>
      <c r="AU9" s="4">
        <f t="shared" si="17"/>
        <v>1996.0606305211038</v>
      </c>
      <c r="AV9" s="4">
        <f t="shared" si="18"/>
        <v>1985.963621570784</v>
      </c>
      <c r="AW9" s="4">
        <f t="shared" si="19"/>
        <v>0.19923166788864669</v>
      </c>
      <c r="AX9" s="4">
        <f t="shared" si="20"/>
        <v>0.40079676126680208</v>
      </c>
      <c r="AY9" s="4">
        <f t="shared" si="21"/>
        <v>0.13256385113997388</v>
      </c>
      <c r="AZ9" s="4">
        <f t="shared" si="22"/>
        <v>7.8681885896110804E-2</v>
      </c>
      <c r="BA9" s="4">
        <f t="shared" si="2"/>
        <v>0.1582853035951638</v>
      </c>
      <c r="BB9" s="4">
        <f t="shared" si="2"/>
        <v>5.2352991469077709E-2</v>
      </c>
      <c r="BF9" s="6" t="s">
        <v>103</v>
      </c>
      <c r="BG9" s="6" t="s">
        <v>104</v>
      </c>
      <c r="BH9" s="6">
        <v>4</v>
      </c>
      <c r="BI9" s="6">
        <v>0.6433538529483549</v>
      </c>
      <c r="BJ9" s="6">
        <v>0.34844683833907347</v>
      </c>
    </row>
    <row r="10" spans="1:62" s="6" customFormat="1" x14ac:dyDescent="0.35">
      <c r="A10" s="4" t="s">
        <v>58</v>
      </c>
      <c r="B10" s="6" t="s">
        <v>58</v>
      </c>
      <c r="C10" s="6" t="s">
        <v>63</v>
      </c>
      <c r="D10" s="23">
        <v>6</v>
      </c>
      <c r="E10" s="23">
        <v>8</v>
      </c>
      <c r="F10" s="23">
        <f t="shared" si="0"/>
        <v>7</v>
      </c>
      <c r="G10" s="23">
        <f t="shared" si="3"/>
        <v>2</v>
      </c>
      <c r="H10" s="23">
        <f t="shared" si="4"/>
        <v>1</v>
      </c>
      <c r="I10" s="4">
        <f t="shared" si="5"/>
        <v>0.42211045302248701</v>
      </c>
      <c r="J10" s="23">
        <v>5.041776856798541</v>
      </c>
      <c r="K10" s="23">
        <v>1.3973331826090987</v>
      </c>
      <c r="L10" s="18">
        <f t="shared" si="6"/>
        <v>2.1281867130615228E-3</v>
      </c>
      <c r="M10" s="18">
        <f t="shared" si="7"/>
        <v>7.0450421013152032E-3</v>
      </c>
      <c r="N10" s="26">
        <v>37.667211022386525</v>
      </c>
      <c r="O10" s="26">
        <v>14.277434825149435</v>
      </c>
      <c r="P10" s="4">
        <f t="shared" si="8"/>
        <v>1.5899723508753193E-2</v>
      </c>
      <c r="Q10" s="4">
        <f t="shared" si="9"/>
        <v>6.0266544820428607E-3</v>
      </c>
      <c r="R10" s="4">
        <v>1979.6317576733238</v>
      </c>
      <c r="S10" s="4">
        <v>6.9817192301557114</v>
      </c>
      <c r="T10" s="4">
        <v>1986.6134769034795</v>
      </c>
      <c r="U10" s="4">
        <v>1972.6500384431681</v>
      </c>
      <c r="V10" s="4">
        <v>0.17574123565382849</v>
      </c>
      <c r="W10" s="4">
        <v>0.45468504880102584</v>
      </c>
      <c r="X10" s="4">
        <v>0.10892007724098117</v>
      </c>
      <c r="Y10" s="4">
        <v>7.4182212596569194E-2</v>
      </c>
      <c r="Z10" s="4">
        <v>0.19192731193195264</v>
      </c>
      <c r="AA10" s="4">
        <v>4.5976303147434838E-2</v>
      </c>
      <c r="AC10" s="4" t="s">
        <v>58</v>
      </c>
      <c r="AD10" s="4">
        <v>6</v>
      </c>
      <c r="AE10" s="4">
        <v>8</v>
      </c>
      <c r="AF10" s="4">
        <v>7</v>
      </c>
      <c r="AG10" s="4">
        <v>2</v>
      </c>
      <c r="AH10" s="4">
        <v>0.42211045302248701</v>
      </c>
      <c r="AI10" s="4">
        <v>3.1732300000000002</v>
      </c>
      <c r="AJ10" s="4">
        <f t="shared" si="10"/>
        <v>0.90663714285714292</v>
      </c>
      <c r="AK10" s="4">
        <v>37.667211022386525</v>
      </c>
      <c r="AL10" s="4">
        <v>14.277434825149435</v>
      </c>
      <c r="AM10" s="4">
        <f t="shared" si="11"/>
        <v>1.5899723508753193E-2</v>
      </c>
      <c r="AN10" s="4">
        <f t="shared" si="12"/>
        <v>6.0266544820428607E-3</v>
      </c>
      <c r="AO10" s="4">
        <f t="shared" si="13"/>
        <v>3.6320564245927303E-5</v>
      </c>
      <c r="AP10" s="4">
        <f t="shared" si="14"/>
        <v>3.1799447017506387E-2</v>
      </c>
      <c r="AQ10" s="7">
        <f>SUM(AP11:AP17)</f>
        <v>7.4533251644841772E-2</v>
      </c>
      <c r="AR10" s="4">
        <f t="shared" si="15"/>
        <v>41.28900735399867</v>
      </c>
      <c r="AS10" s="4">
        <f t="shared" si="1"/>
        <v>6.9817192301557114</v>
      </c>
      <c r="AT10" s="4">
        <f t="shared" si="16"/>
        <v>1979.6317576733238</v>
      </c>
      <c r="AU10" s="4">
        <f t="shared" si="17"/>
        <v>1986.6134769034795</v>
      </c>
      <c r="AV10" s="4">
        <f t="shared" si="18"/>
        <v>1972.6500384431681</v>
      </c>
      <c r="AW10" s="4">
        <f t="shared" si="19"/>
        <v>0.17574123565382849</v>
      </c>
      <c r="AX10" s="4">
        <f t="shared" si="20"/>
        <v>0.45468504880102584</v>
      </c>
      <c r="AY10" s="4">
        <f t="shared" si="21"/>
        <v>0.10892007724098117</v>
      </c>
      <c r="AZ10" s="4">
        <f t="shared" si="22"/>
        <v>7.4182212596569194E-2</v>
      </c>
      <c r="BA10" s="4">
        <f t="shared" si="2"/>
        <v>0.19192731193195264</v>
      </c>
      <c r="BB10" s="4">
        <f t="shared" si="2"/>
        <v>4.5976303147434838E-2</v>
      </c>
      <c r="BF10" s="6" t="s">
        <v>103</v>
      </c>
      <c r="BG10" s="6" t="s">
        <v>104</v>
      </c>
      <c r="BH10" s="6">
        <v>6</v>
      </c>
      <c r="BI10" s="6">
        <v>0.60558247839662505</v>
      </c>
      <c r="BJ10" s="6">
        <v>0.39492660343579111</v>
      </c>
    </row>
    <row r="11" spans="1:62" s="6" customFormat="1" x14ac:dyDescent="0.35">
      <c r="A11" s="4" t="s">
        <v>58</v>
      </c>
      <c r="B11" s="6" t="s">
        <v>64</v>
      </c>
      <c r="C11" s="6" t="s">
        <v>65</v>
      </c>
      <c r="D11" s="23">
        <v>8</v>
      </c>
      <c r="E11" s="23">
        <v>10</v>
      </c>
      <c r="F11" s="23">
        <f t="shared" si="0"/>
        <v>9</v>
      </c>
      <c r="G11" s="23">
        <f t="shared" si="3"/>
        <v>2</v>
      </c>
      <c r="H11" s="23">
        <f t="shared" si="4"/>
        <v>1</v>
      </c>
      <c r="I11" s="4">
        <f t="shared" si="5"/>
        <v>0.41485839846830858</v>
      </c>
      <c r="J11" s="23">
        <v>6.0783592103066075</v>
      </c>
      <c r="K11" s="23">
        <v>0.8153119324756678</v>
      </c>
      <c r="L11" s="18">
        <f t="shared" si="6"/>
        <v>2.5216583673028921E-3</v>
      </c>
      <c r="M11" s="18">
        <f t="shared" si="7"/>
        <v>4.9557587940363542E-3</v>
      </c>
      <c r="N11" s="26">
        <v>27.445026394002426</v>
      </c>
      <c r="O11" s="26">
        <v>9.6442592497709647</v>
      </c>
      <c r="P11" s="4">
        <f t="shared" si="8"/>
        <v>1.1385799695736304E-2</v>
      </c>
      <c r="Q11" s="4">
        <f t="shared" si="9"/>
        <v>4.0010019467731535E-3</v>
      </c>
      <c r="R11" s="4">
        <v>1967.954545870359</v>
      </c>
      <c r="S11" s="4">
        <v>9.6289972026932418</v>
      </c>
      <c r="T11" s="4">
        <v>1977.5835430730522</v>
      </c>
      <c r="U11" s="4">
        <v>1958.3255486676658</v>
      </c>
      <c r="V11" s="4">
        <v>0.17127376241408923</v>
      </c>
      <c r="W11" s="4">
        <v>0.97646018133780788</v>
      </c>
      <c r="X11" s="4">
        <v>9.3869350454080444E-2</v>
      </c>
      <c r="Y11" s="4">
        <v>7.1054358774750637E-2</v>
      </c>
      <c r="Z11" s="4">
        <v>0.40509270699787714</v>
      </c>
      <c r="AA11" s="4">
        <v>3.8942488394640207E-2</v>
      </c>
      <c r="AC11" s="4" t="s">
        <v>58</v>
      </c>
      <c r="AD11" s="4">
        <v>8</v>
      </c>
      <c r="AE11" s="4">
        <v>10</v>
      </c>
      <c r="AF11" s="4">
        <v>9</v>
      </c>
      <c r="AG11" s="4">
        <v>2</v>
      </c>
      <c r="AH11" s="4">
        <v>0.41485839846830858</v>
      </c>
      <c r="AI11" s="4">
        <v>3.1351499999999999</v>
      </c>
      <c r="AJ11" s="4">
        <f t="shared" si="10"/>
        <v>0.89575714285714281</v>
      </c>
      <c r="AK11" s="4">
        <v>27.445026394002426</v>
      </c>
      <c r="AL11" s="4">
        <v>9.6442592497709647</v>
      </c>
      <c r="AM11" s="4">
        <f t="shared" si="11"/>
        <v>1.1385799695736304E-2</v>
      </c>
      <c r="AN11" s="4">
        <f t="shared" si="12"/>
        <v>4.0010019467731535E-3</v>
      </c>
      <c r="AO11" s="4">
        <f t="shared" si="13"/>
        <v>1.6008016578082565E-5</v>
      </c>
      <c r="AP11" s="4">
        <f t="shared" si="14"/>
        <v>2.2771599391472608E-2</v>
      </c>
      <c r="AQ11" s="7">
        <f>SUM(AP12:AP17)</f>
        <v>5.1761652253369157E-2</v>
      </c>
      <c r="AR11" s="4">
        <f t="shared" si="15"/>
        <v>52.966219156963483</v>
      </c>
      <c r="AS11" s="4">
        <f t="shared" si="1"/>
        <v>9.6289972026932418</v>
      </c>
      <c r="AT11" s="4">
        <f t="shared" si="16"/>
        <v>1967.954545870359</v>
      </c>
      <c r="AU11" s="4">
        <f t="shared" si="17"/>
        <v>1977.5835430730522</v>
      </c>
      <c r="AV11" s="4">
        <f t="shared" si="18"/>
        <v>1958.3255486676658</v>
      </c>
      <c r="AW11" s="4">
        <f t="shared" si="19"/>
        <v>0.17127376241408923</v>
      </c>
      <c r="AX11" s="4">
        <f t="shared" si="20"/>
        <v>0.97646018133780788</v>
      </c>
      <c r="AY11" s="4">
        <f t="shared" si="21"/>
        <v>9.3869350454080444E-2</v>
      </c>
      <c r="AZ11" s="4">
        <f t="shared" si="22"/>
        <v>7.1054358774750637E-2</v>
      </c>
      <c r="BA11" s="4">
        <f t="shared" si="2"/>
        <v>0.40509270699787714</v>
      </c>
      <c r="BB11" s="4">
        <f t="shared" si="2"/>
        <v>3.8942488394640207E-2</v>
      </c>
      <c r="BF11" s="6" t="s">
        <v>103</v>
      </c>
      <c r="BG11" s="6" t="s">
        <v>104</v>
      </c>
      <c r="BH11" s="6">
        <v>8</v>
      </c>
      <c r="BI11" s="6">
        <v>0.60804422778857536</v>
      </c>
      <c r="BJ11" s="6">
        <v>0.42211045302248701</v>
      </c>
    </row>
    <row r="12" spans="1:62" s="6" customFormat="1" x14ac:dyDescent="0.35">
      <c r="A12" s="4" t="s">
        <v>58</v>
      </c>
      <c r="B12" s="6" t="s">
        <v>58</v>
      </c>
      <c r="C12" s="6" t="s">
        <v>66</v>
      </c>
      <c r="D12" s="23">
        <v>10</v>
      </c>
      <c r="E12" s="23">
        <v>12</v>
      </c>
      <c r="F12" s="23">
        <f t="shared" si="0"/>
        <v>11</v>
      </c>
      <c r="G12" s="23">
        <f t="shared" si="3"/>
        <v>2</v>
      </c>
      <c r="H12" s="23">
        <f t="shared" si="4"/>
        <v>1</v>
      </c>
      <c r="I12" s="4">
        <f t="shared" si="5"/>
        <v>0.51507376821307993</v>
      </c>
      <c r="J12" s="23">
        <v>6.8065201561995847</v>
      </c>
      <c r="K12" s="23">
        <v>1.4439849676377901</v>
      </c>
      <c r="L12" s="18">
        <f t="shared" si="6"/>
        <v>3.5058599852720012E-3</v>
      </c>
      <c r="M12" s="18">
        <f t="shared" si="7"/>
        <v>9.8285127874758235E-3</v>
      </c>
      <c r="N12" s="26">
        <v>22.371006580944282</v>
      </c>
      <c r="O12" s="26">
        <v>13.748707155476946</v>
      </c>
      <c r="P12" s="4">
        <f t="shared" si="8"/>
        <v>1.1522718658366581E-2</v>
      </c>
      <c r="Q12" s="4">
        <f t="shared" si="9"/>
        <v>7.0815984026296463E-3</v>
      </c>
      <c r="R12" s="4">
        <v>1949.084144752366</v>
      </c>
      <c r="S12" s="4">
        <v>15.691314470862118</v>
      </c>
      <c r="T12" s="4">
        <v>1964.7754592232282</v>
      </c>
      <c r="U12" s="4">
        <v>1933.3928302815038</v>
      </c>
      <c r="V12" s="4">
        <v>0.10598608834514893</v>
      </c>
      <c r="W12" s="4">
        <v>0.62911150968629193</v>
      </c>
      <c r="X12" s="4">
        <v>5.7867497776786465E-2</v>
      </c>
      <c r="Y12" s="4">
        <v>5.4590653902100252E-2</v>
      </c>
      <c r="Z12" s="4">
        <v>0.32403883592033794</v>
      </c>
      <c r="AA12" s="4">
        <v>2.980603013695143E-2</v>
      </c>
      <c r="AC12" s="4" t="s">
        <v>58</v>
      </c>
      <c r="AD12" s="4">
        <v>10</v>
      </c>
      <c r="AE12" s="4">
        <v>12</v>
      </c>
      <c r="AF12" s="4">
        <v>11</v>
      </c>
      <c r="AG12" s="4">
        <v>2</v>
      </c>
      <c r="AH12" s="4">
        <v>0.51507376821307993</v>
      </c>
      <c r="AI12" s="4">
        <v>3.1192000000000002</v>
      </c>
      <c r="AJ12" s="4">
        <f t="shared" si="10"/>
        <v>0.8912000000000001</v>
      </c>
      <c r="AK12" s="4">
        <v>22.371006580944282</v>
      </c>
      <c r="AL12" s="4">
        <v>13.748707155476946</v>
      </c>
      <c r="AM12" s="4">
        <f t="shared" si="11"/>
        <v>1.1522718658366581E-2</v>
      </c>
      <c r="AN12" s="4">
        <f t="shared" si="12"/>
        <v>7.0815984026296463E-3</v>
      </c>
      <c r="AO12" s="4">
        <f t="shared" si="13"/>
        <v>5.0149035936126759E-5</v>
      </c>
      <c r="AP12" s="4">
        <f t="shared" si="14"/>
        <v>2.3045437316733162E-2</v>
      </c>
      <c r="AQ12" s="7">
        <f>SUM(AP13:AP17)</f>
        <v>2.8716214936636002E-2</v>
      </c>
      <c r="AR12" s="4">
        <f t="shared" si="15"/>
        <v>71.836620274956431</v>
      </c>
      <c r="AS12" s="4">
        <f t="shared" si="1"/>
        <v>15.691314470862118</v>
      </c>
      <c r="AT12" s="4">
        <f t="shared" si="16"/>
        <v>1949.084144752366</v>
      </c>
      <c r="AU12" s="4">
        <f t="shared" si="17"/>
        <v>1964.7754592232282</v>
      </c>
      <c r="AV12" s="4">
        <f t="shared" si="18"/>
        <v>1933.3928302815038</v>
      </c>
      <c r="AW12" s="4">
        <f t="shared" si="19"/>
        <v>0.10598608834514893</v>
      </c>
      <c r="AX12" s="4">
        <f t="shared" si="20"/>
        <v>0.62911150968629193</v>
      </c>
      <c r="AY12" s="4">
        <f t="shared" si="21"/>
        <v>5.7867497776786465E-2</v>
      </c>
      <c r="AZ12" s="4">
        <f t="shared" si="22"/>
        <v>5.4590653902100252E-2</v>
      </c>
      <c r="BA12" s="4">
        <f t="shared" si="2"/>
        <v>0.32403883592033794</v>
      </c>
      <c r="BB12" s="4">
        <f t="shared" si="2"/>
        <v>2.980603013695143E-2</v>
      </c>
      <c r="BF12" s="6" t="s">
        <v>103</v>
      </c>
      <c r="BG12" s="6" t="s">
        <v>104</v>
      </c>
      <c r="BH12" s="6">
        <v>10</v>
      </c>
      <c r="BI12" s="6">
        <v>0.58317265823169917</v>
      </c>
      <c r="BJ12" s="6">
        <v>0.41485839846830858</v>
      </c>
    </row>
    <row r="13" spans="1:62" s="6" customFormat="1" x14ac:dyDescent="0.35">
      <c r="A13" s="4" t="s">
        <v>58</v>
      </c>
      <c r="B13" s="6" t="s">
        <v>67</v>
      </c>
      <c r="C13" s="6" t="s">
        <v>68</v>
      </c>
      <c r="D13" s="23">
        <v>12</v>
      </c>
      <c r="E13" s="23">
        <v>14</v>
      </c>
      <c r="F13" s="23">
        <f t="shared" si="0"/>
        <v>13</v>
      </c>
      <c r="G13" s="23">
        <f t="shared" si="3"/>
        <v>2</v>
      </c>
      <c r="H13" s="23">
        <f t="shared" si="4"/>
        <v>1</v>
      </c>
      <c r="I13" s="4">
        <f t="shared" si="5"/>
        <v>0.47751902641424998</v>
      </c>
      <c r="J13" s="23">
        <v>4.5081637823859806</v>
      </c>
      <c r="K13" s="23">
        <v>0.81318251069552205</v>
      </c>
      <c r="L13" s="18">
        <f t="shared" si="6"/>
        <v>2.1527339802809358E-3</v>
      </c>
      <c r="M13" s="18">
        <f t="shared" si="7"/>
        <v>3.6659599431872526E-3</v>
      </c>
      <c r="N13" s="26">
        <v>15.024180394399018</v>
      </c>
      <c r="O13" s="26">
        <v>8.9371145229829025</v>
      </c>
      <c r="P13" s="4">
        <f t="shared" si="8"/>
        <v>7.1743319946054812E-3</v>
      </c>
      <c r="Q13" s="4">
        <f t="shared" si="9"/>
        <v>4.2676422259674499E-3</v>
      </c>
      <c r="R13" s="4">
        <v>1926.9052028704496</v>
      </c>
      <c r="S13" s="4">
        <v>26.164843077864532</v>
      </c>
      <c r="T13" s="4">
        <v>1953.0700459483141</v>
      </c>
      <c r="U13" s="4">
        <v>1900.740359792585</v>
      </c>
      <c r="V13" s="4">
        <v>9.0175627432916267E-2</v>
      </c>
      <c r="W13" s="4">
        <v>-0.501768584237134</v>
      </c>
      <c r="X13" s="4">
        <v>4.1370364394593295E-2</v>
      </c>
      <c r="Y13" s="4">
        <v>4.306057781806031E-2</v>
      </c>
      <c r="Z13" s="4">
        <v>-0.23960404583017281</v>
      </c>
      <c r="AA13" s="4">
        <v>1.9755136128108943E-2</v>
      </c>
      <c r="AC13" s="4" t="s">
        <v>58</v>
      </c>
      <c r="AD13" s="4">
        <v>12</v>
      </c>
      <c r="AE13" s="4">
        <v>14</v>
      </c>
      <c r="AF13" s="4">
        <v>13</v>
      </c>
      <c r="AG13" s="4">
        <v>2</v>
      </c>
      <c r="AH13" s="4">
        <v>0.47751902641424998</v>
      </c>
      <c r="AI13" s="4">
        <v>3.1885099999999995</v>
      </c>
      <c r="AJ13" s="4">
        <f t="shared" si="10"/>
        <v>0.911002857142857</v>
      </c>
      <c r="AK13" s="4">
        <v>15.024180394399018</v>
      </c>
      <c r="AL13" s="4">
        <v>8.9371145229829025</v>
      </c>
      <c r="AM13" s="4">
        <f t="shared" si="11"/>
        <v>7.1743319946054812E-3</v>
      </c>
      <c r="AN13" s="4">
        <f t="shared" si="12"/>
        <v>4.2676422259674499E-3</v>
      </c>
      <c r="AO13" s="4">
        <f t="shared" si="13"/>
        <v>1.821277016886041E-5</v>
      </c>
      <c r="AP13" s="4">
        <f t="shared" si="14"/>
        <v>1.4348663989210962E-2</v>
      </c>
      <c r="AQ13" s="7">
        <f>SUM(AP14:AP17)</f>
        <v>1.4367550947425037E-2</v>
      </c>
      <c r="AR13" s="4">
        <f t="shared" si="15"/>
        <v>94.015562156872875</v>
      </c>
      <c r="AS13" s="4">
        <f t="shared" si="1"/>
        <v>26.164843077864532</v>
      </c>
      <c r="AT13" s="4">
        <f t="shared" si="16"/>
        <v>1926.9052028704496</v>
      </c>
      <c r="AU13" s="4">
        <f t="shared" si="17"/>
        <v>1953.0700459483141</v>
      </c>
      <c r="AV13" s="4">
        <f t="shared" si="18"/>
        <v>1900.740359792585</v>
      </c>
      <c r="AW13" s="4">
        <f t="shared" si="19"/>
        <v>9.0175627432916267E-2</v>
      </c>
      <c r="AX13" s="4">
        <f t="shared" si="20"/>
        <v>-0.501768584237134</v>
      </c>
      <c r="AY13" s="4">
        <f t="shared" si="21"/>
        <v>4.1370364394593295E-2</v>
      </c>
      <c r="AZ13" s="4">
        <f t="shared" si="22"/>
        <v>4.306057781806031E-2</v>
      </c>
      <c r="BA13" s="4">
        <f t="shared" si="2"/>
        <v>-0.23960404583017281</v>
      </c>
      <c r="BB13" s="4">
        <f t="shared" si="2"/>
        <v>1.9755136128108943E-2</v>
      </c>
      <c r="BF13" s="6" t="s">
        <v>103</v>
      </c>
      <c r="BG13" s="6" t="s">
        <v>104</v>
      </c>
      <c r="BH13" s="6">
        <v>12</v>
      </c>
      <c r="BI13" s="6">
        <v>0.57348774525167678</v>
      </c>
      <c r="BJ13" s="6">
        <v>0.51507376821307993</v>
      </c>
    </row>
    <row r="14" spans="1:62" s="6" customFormat="1" x14ac:dyDescent="0.35">
      <c r="A14" s="4" t="s">
        <v>58</v>
      </c>
      <c r="B14" s="6" t="s">
        <v>58</v>
      </c>
      <c r="C14" s="6" t="s">
        <v>69</v>
      </c>
      <c r="D14" s="23">
        <v>14</v>
      </c>
      <c r="E14" s="23">
        <v>16</v>
      </c>
      <c r="F14" s="23">
        <f t="shared" si="0"/>
        <v>15</v>
      </c>
      <c r="G14" s="23">
        <f t="shared" si="3"/>
        <v>2</v>
      </c>
      <c r="H14" s="23">
        <f t="shared" si="4"/>
        <v>1</v>
      </c>
      <c r="I14" s="4">
        <f t="shared" si="5"/>
        <v>0.54573224519055652</v>
      </c>
      <c r="J14" s="23">
        <v>4.1139955401527022</v>
      </c>
      <c r="K14" s="23">
        <v>1.1619324702246818</v>
      </c>
      <c r="L14" s="18">
        <f t="shared" si="6"/>
        <v>2.2451400228314707E-3</v>
      </c>
      <c r="M14" s="18">
        <f t="shared" si="7"/>
        <v>4.7801850004629536E-3</v>
      </c>
      <c r="N14" s="26">
        <v>0.21577222690595477</v>
      </c>
      <c r="O14" s="26">
        <v>11.141344259495092</v>
      </c>
      <c r="P14" s="4">
        <f t="shared" si="8"/>
        <v>1.177538618391529E-4</v>
      </c>
      <c r="Q14" s="4">
        <f t="shared" si="9"/>
        <v>6.0801908171751748E-3</v>
      </c>
      <c r="R14" s="4">
        <v>1926.3758638933814</v>
      </c>
      <c r="S14" s="4">
        <v>26.46140817096952</v>
      </c>
      <c r="T14" s="4">
        <v>1952.8372720643508</v>
      </c>
      <c r="U14" s="4">
        <v>1899.914455722412</v>
      </c>
      <c r="V14" s="4">
        <v>3.7782972474034446</v>
      </c>
      <c r="W14" s="4">
        <v>-7.7124582116662024E-2</v>
      </c>
      <c r="X14" s="4">
        <v>7.4099467829863791E-2</v>
      </c>
      <c r="Y14" s="4">
        <v>2.0619386398227815</v>
      </c>
      <c r="Z14" s="4">
        <v>-4.2089371357909411E-2</v>
      </c>
      <c r="AA14" s="4">
        <v>4.0438468946216978E-2</v>
      </c>
      <c r="AC14" s="4" t="s">
        <v>58</v>
      </c>
      <c r="AD14" s="4">
        <v>14</v>
      </c>
      <c r="AE14" s="4">
        <v>16</v>
      </c>
      <c r="AF14" s="4">
        <v>15</v>
      </c>
      <c r="AG14" s="4">
        <v>2</v>
      </c>
      <c r="AH14" s="4">
        <v>0.54573224519055652</v>
      </c>
      <c r="AI14" s="4">
        <v>3.3762999999999996</v>
      </c>
      <c r="AJ14" s="4">
        <f t="shared" si="10"/>
        <v>0.96465714285714277</v>
      </c>
      <c r="AK14" s="4">
        <v>0.21577222690595477</v>
      </c>
      <c r="AL14" s="4">
        <v>11.141344259495092</v>
      </c>
      <c r="AM14" s="4">
        <f t="shared" si="11"/>
        <v>1.177538618391529E-4</v>
      </c>
      <c r="AN14" s="4">
        <f t="shared" si="12"/>
        <v>6.0801908171751748E-3</v>
      </c>
      <c r="AO14" s="4">
        <f t="shared" si="13"/>
        <v>3.6968720373261323E-5</v>
      </c>
      <c r="AP14" s="4">
        <f t="shared" si="14"/>
        <v>2.3550772367830579E-4</v>
      </c>
      <c r="AQ14" s="7">
        <f>SUM(AP15:AP17)</f>
        <v>1.4132043223746732E-2</v>
      </c>
      <c r="AR14" s="4">
        <f t="shared" si="15"/>
        <v>94.544901133941025</v>
      </c>
      <c r="AS14" s="4">
        <f t="shared" si="1"/>
        <v>26.46140817096952</v>
      </c>
      <c r="AT14" s="4">
        <f t="shared" si="16"/>
        <v>1926.3758638933814</v>
      </c>
      <c r="AU14" s="4">
        <f t="shared" si="17"/>
        <v>1952.8372720643508</v>
      </c>
      <c r="AV14" s="4">
        <f t="shared" si="18"/>
        <v>1899.914455722412</v>
      </c>
      <c r="AW14" s="4">
        <f t="shared" si="19"/>
        <v>3.7782972474034446</v>
      </c>
      <c r="AX14" s="4">
        <f t="shared" si="20"/>
        <v>-7.7124582116662024E-2</v>
      </c>
      <c r="AY14" s="4">
        <f t="shared" si="21"/>
        <v>7.4099467829863791E-2</v>
      </c>
      <c r="AZ14" s="4">
        <f t="shared" si="22"/>
        <v>2.0619386398227815</v>
      </c>
      <c r="BA14" s="4">
        <f t="shared" si="2"/>
        <v>-4.2089371357909411E-2</v>
      </c>
      <c r="BB14" s="4">
        <f t="shared" si="2"/>
        <v>4.0438468946216978E-2</v>
      </c>
      <c r="BF14" s="6" t="s">
        <v>103</v>
      </c>
      <c r="BG14" s="6" t="s">
        <v>104</v>
      </c>
      <c r="BH14" s="6">
        <v>14</v>
      </c>
      <c r="BI14" s="6">
        <v>0.54948614116655592</v>
      </c>
      <c r="BJ14" s="6">
        <v>0.47751902641424998</v>
      </c>
    </row>
    <row r="15" spans="1:62" s="6" customFormat="1" x14ac:dyDescent="0.35">
      <c r="A15" s="4" t="s">
        <v>58</v>
      </c>
      <c r="B15" s="6" t="s">
        <v>70</v>
      </c>
      <c r="C15" s="6" t="s">
        <v>71</v>
      </c>
      <c r="D15" s="23">
        <v>16</v>
      </c>
      <c r="E15" s="23">
        <v>18</v>
      </c>
      <c r="F15" s="23">
        <f t="shared" si="0"/>
        <v>17</v>
      </c>
      <c r="G15" s="23">
        <f t="shared" si="3"/>
        <v>2</v>
      </c>
      <c r="H15" s="23">
        <f t="shared" si="4"/>
        <v>1</v>
      </c>
      <c r="I15" s="4">
        <f t="shared" si="5"/>
        <v>0.58239751265732387</v>
      </c>
      <c r="J15" s="23">
        <v>2.1637505079431736</v>
      </c>
      <c r="K15" s="23">
        <v>0.67613830451184287</v>
      </c>
      <c r="L15" s="18">
        <f t="shared" si="6"/>
        <v>1.2601629138371253E-3</v>
      </c>
      <c r="M15" s="18">
        <f t="shared" si="7"/>
        <v>1.4629945998273363E-3</v>
      </c>
      <c r="N15" s="26">
        <v>2.1035812251702524</v>
      </c>
      <c r="O15" s="26">
        <v>7.7060539979650589</v>
      </c>
      <c r="P15" s="4">
        <f t="shared" si="8"/>
        <v>1.2251204732118008E-3</v>
      </c>
      <c r="Q15" s="4">
        <f t="shared" si="9"/>
        <v>4.4879866808178771E-3</v>
      </c>
      <c r="R15" s="4">
        <v>1920.2773641544766</v>
      </c>
      <c r="S15" s="4">
        <v>30.032107974362759</v>
      </c>
      <c r="T15" s="4">
        <v>1950.3094721288394</v>
      </c>
      <c r="U15" s="4">
        <v>1890.2452561801138</v>
      </c>
      <c r="V15" s="4">
        <v>0.32794950981815796</v>
      </c>
      <c r="W15" s="4">
        <v>-8.3564499774713044E-2</v>
      </c>
      <c r="X15" s="4">
        <v>5.5354729039488966E-2</v>
      </c>
      <c r="Y15" s="4">
        <v>0.19099697879528379</v>
      </c>
      <c r="Z15" s="4">
        <v>-4.8667756815246377E-2</v>
      </c>
      <c r="AA15" s="4">
        <v>3.223845650641851E-2</v>
      </c>
      <c r="AC15" s="4" t="s">
        <v>58</v>
      </c>
      <c r="AD15" s="4">
        <v>16</v>
      </c>
      <c r="AE15" s="4">
        <v>18</v>
      </c>
      <c r="AF15" s="4">
        <v>17</v>
      </c>
      <c r="AG15" s="4">
        <v>2</v>
      </c>
      <c r="AH15" s="4">
        <v>0.58239751265732387</v>
      </c>
      <c r="AI15" s="4">
        <v>3.222020000000001</v>
      </c>
      <c r="AJ15" s="4">
        <f t="shared" si="10"/>
        <v>0.92057714285714309</v>
      </c>
      <c r="AK15" s="4">
        <v>2.1035812251702524</v>
      </c>
      <c r="AL15" s="4">
        <v>7.7060539979650589</v>
      </c>
      <c r="AM15" s="4">
        <f t="shared" si="11"/>
        <v>1.2251204732118008E-3</v>
      </c>
      <c r="AN15" s="4">
        <f t="shared" si="12"/>
        <v>4.4879866808178771E-3</v>
      </c>
      <c r="AO15" s="4">
        <f t="shared" si="13"/>
        <v>2.0142024447198665E-5</v>
      </c>
      <c r="AP15" s="4">
        <f t="shared" si="14"/>
        <v>2.4502409464236016E-3</v>
      </c>
      <c r="AQ15" s="7">
        <f>SUM(AP16:AP17)</f>
        <v>1.1681802277323131E-2</v>
      </c>
      <c r="AR15" s="4">
        <f t="shared" si="15"/>
        <v>100.6434008728459</v>
      </c>
      <c r="AS15" s="4">
        <f t="shared" si="1"/>
        <v>30.032107974362759</v>
      </c>
      <c r="AT15" s="4">
        <f t="shared" si="16"/>
        <v>1920.2773641544766</v>
      </c>
      <c r="AU15" s="4">
        <f t="shared" si="17"/>
        <v>1950.3094721288394</v>
      </c>
      <c r="AV15" s="4">
        <f t="shared" si="18"/>
        <v>1890.2452561801138</v>
      </c>
      <c r="AW15" s="4">
        <f t="shared" si="19"/>
        <v>0.32794950981815796</v>
      </c>
      <c r="AX15" s="4">
        <f t="shared" si="20"/>
        <v>-8.3564499774713044E-2</v>
      </c>
      <c r="AY15" s="4">
        <f t="shared" si="21"/>
        <v>5.5354729039488966E-2</v>
      </c>
      <c r="AZ15" s="4">
        <f t="shared" si="22"/>
        <v>0.19099697879528379</v>
      </c>
      <c r="BA15" s="4">
        <f t="shared" si="2"/>
        <v>-4.8667756815246377E-2</v>
      </c>
      <c r="BB15" s="4">
        <f t="shared" si="2"/>
        <v>3.223845650641851E-2</v>
      </c>
      <c r="BF15" s="6" t="s">
        <v>103</v>
      </c>
      <c r="BG15" s="6" t="s">
        <v>104</v>
      </c>
      <c r="BH15" s="6">
        <v>16</v>
      </c>
      <c r="BI15" s="6">
        <v>0.54122902752632207</v>
      </c>
      <c r="BJ15" s="6">
        <v>0.54573224519055652</v>
      </c>
    </row>
    <row r="16" spans="1:62" s="6" customFormat="1" x14ac:dyDescent="0.35">
      <c r="A16" s="4" t="s">
        <v>58</v>
      </c>
      <c r="B16" s="6" t="s">
        <v>58</v>
      </c>
      <c r="C16" s="6" t="s">
        <v>72</v>
      </c>
      <c r="D16" s="23">
        <v>18</v>
      </c>
      <c r="E16" s="23">
        <v>20</v>
      </c>
      <c r="F16" s="23">
        <f t="shared" si="0"/>
        <v>19</v>
      </c>
      <c r="G16" s="23">
        <f t="shared" si="3"/>
        <v>2</v>
      </c>
      <c r="H16" s="23">
        <f t="shared" si="4"/>
        <v>1</v>
      </c>
      <c r="I16" s="4">
        <f t="shared" si="5"/>
        <v>0.56576623514633229</v>
      </c>
      <c r="J16" s="23">
        <v>0.9439660567636341</v>
      </c>
      <c r="K16" s="23">
        <v>0.98536355125955188</v>
      </c>
      <c r="L16" s="18">
        <f t="shared" si="6"/>
        <v>5.3406412204109023E-4</v>
      </c>
      <c r="M16" s="18">
        <f t="shared" si="7"/>
        <v>9.3014974596109022E-4</v>
      </c>
      <c r="N16" s="26">
        <v>3.0490561175668986</v>
      </c>
      <c r="O16" s="26">
        <v>10.670555508620104</v>
      </c>
      <c r="P16" s="4">
        <f t="shared" si="8"/>
        <v>1.7250530003857169E-3</v>
      </c>
      <c r="Q16" s="4">
        <f t="shared" si="9"/>
        <v>6.0370400170319527E-3</v>
      </c>
      <c r="R16" s="4">
        <v>1909.0663372033637</v>
      </c>
      <c r="S16" s="4">
        <v>37.307376174730322</v>
      </c>
      <c r="T16" s="4">
        <v>1946.373713378094</v>
      </c>
      <c r="U16" s="4">
        <v>1871.7589610286334</v>
      </c>
      <c r="V16" s="4">
        <v>0.17839578913878745</v>
      </c>
      <c r="W16" s="4">
        <v>-7.6639072494860155E-2</v>
      </c>
      <c r="X16" s="4">
        <v>4.1221472083748489E-2</v>
      </c>
      <c r="Y16" s="4">
        <v>0.10093031398701073</v>
      </c>
      <c r="Z16" s="4">
        <v>-4.3359799510523857E-2</v>
      </c>
      <c r="AA16" s="4">
        <v>2.3321717068012018E-2</v>
      </c>
      <c r="AC16" s="4" t="s">
        <v>58</v>
      </c>
      <c r="AD16" s="4">
        <v>18</v>
      </c>
      <c r="AE16" s="4">
        <v>20</v>
      </c>
      <c r="AF16" s="4">
        <v>19</v>
      </c>
      <c r="AG16" s="4">
        <v>2</v>
      </c>
      <c r="AH16" s="4">
        <v>0.56576623514633229</v>
      </c>
      <c r="AI16" s="4">
        <v>3.4019499999999998</v>
      </c>
      <c r="AJ16" s="4">
        <f t="shared" si="10"/>
        <v>0.97198571428571423</v>
      </c>
      <c r="AK16" s="4">
        <v>3.0490561175668986</v>
      </c>
      <c r="AL16" s="4">
        <v>10.670555508620104</v>
      </c>
      <c r="AM16" s="4">
        <f t="shared" si="11"/>
        <v>1.7250530003857169E-3</v>
      </c>
      <c r="AN16" s="4">
        <f t="shared" si="12"/>
        <v>6.0370400170319527E-3</v>
      </c>
      <c r="AO16" s="4">
        <f t="shared" si="13"/>
        <v>3.6445852167245163E-5</v>
      </c>
      <c r="AP16" s="4">
        <f t="shared" si="14"/>
        <v>3.4501060007714338E-3</v>
      </c>
      <c r="AQ16" s="7">
        <f>SUM(AP17:AP17)</f>
        <v>8.2316962765516966E-3</v>
      </c>
      <c r="AR16" s="4">
        <f t="shared" si="15"/>
        <v>111.85442782395884</v>
      </c>
      <c r="AS16" s="4">
        <f t="shared" si="1"/>
        <v>37.307376174730322</v>
      </c>
      <c r="AT16" s="4">
        <f t="shared" si="16"/>
        <v>1909.0663372033637</v>
      </c>
      <c r="AU16" s="4">
        <f t="shared" si="17"/>
        <v>1946.373713378094</v>
      </c>
      <c r="AV16" s="4">
        <f t="shared" si="18"/>
        <v>1871.7589610286334</v>
      </c>
      <c r="AW16" s="4">
        <f t="shared" si="19"/>
        <v>0.17839578913878745</v>
      </c>
      <c r="AX16" s="4">
        <f t="shared" si="20"/>
        <v>-7.6639072494860155E-2</v>
      </c>
      <c r="AY16" s="4">
        <f t="shared" si="21"/>
        <v>4.1221472083748489E-2</v>
      </c>
      <c r="AZ16" s="4">
        <f t="shared" si="22"/>
        <v>0.10093031398701073</v>
      </c>
      <c r="BA16" s="4">
        <f t="shared" si="2"/>
        <v>-4.3359799510523857E-2</v>
      </c>
      <c r="BB16" s="4">
        <f t="shared" si="2"/>
        <v>2.3321717068012018E-2</v>
      </c>
      <c r="BF16" s="6" t="s">
        <v>103</v>
      </c>
      <c r="BG16" s="6" t="s">
        <v>104</v>
      </c>
      <c r="BH16" s="6">
        <v>18</v>
      </c>
      <c r="BI16" s="6">
        <v>0.53542648555133188</v>
      </c>
      <c r="BJ16" s="6">
        <v>0.58239751265732387</v>
      </c>
    </row>
    <row r="17" spans="1:62" s="6" customFormat="1" x14ac:dyDescent="0.35">
      <c r="A17" s="4" t="s">
        <v>58</v>
      </c>
      <c r="B17" s="6" t="s">
        <v>73</v>
      </c>
      <c r="C17" s="6" t="s">
        <v>74</v>
      </c>
      <c r="D17" s="23">
        <v>20</v>
      </c>
      <c r="E17" s="23">
        <v>22</v>
      </c>
      <c r="F17" s="23">
        <f t="shared" si="0"/>
        <v>21</v>
      </c>
      <c r="G17" s="23">
        <f t="shared" si="3"/>
        <v>2</v>
      </c>
      <c r="H17" s="23">
        <f t="shared" si="4"/>
        <v>1</v>
      </c>
      <c r="I17" s="4">
        <f t="shared" si="5"/>
        <v>0.63598171741906917</v>
      </c>
      <c r="J17" s="23">
        <v>0.24596317421431096</v>
      </c>
      <c r="K17" s="23">
        <v>0.5075872347903071</v>
      </c>
      <c r="L17" s="18">
        <f t="shared" si="6"/>
        <v>1.564280819586632E-4</v>
      </c>
      <c r="M17" s="18">
        <f t="shared" si="7"/>
        <v>1.2484776745968869E-4</v>
      </c>
      <c r="N17" s="26">
        <v>6.4716453721008165</v>
      </c>
      <c r="O17" s="26">
        <v>9.148872425252943</v>
      </c>
      <c r="P17" s="4">
        <f t="shared" si="8"/>
        <v>4.1158481382758483E-3</v>
      </c>
      <c r="Q17" s="4">
        <f t="shared" si="9"/>
        <v>5.8185155974603319E-3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C17" s="4" t="s">
        <v>58</v>
      </c>
      <c r="AD17" s="4">
        <v>20</v>
      </c>
      <c r="AE17" s="4">
        <v>22</v>
      </c>
      <c r="AF17" s="4">
        <v>21</v>
      </c>
      <c r="AG17" s="4">
        <v>2</v>
      </c>
      <c r="AH17" s="4">
        <v>0.63598171741906917</v>
      </c>
      <c r="AI17" s="4">
        <v>3.0177300000000002</v>
      </c>
      <c r="AJ17" s="4">
        <f t="shared" si="10"/>
        <v>0.86220857142857155</v>
      </c>
      <c r="AK17" s="4">
        <v>6.4716453721008165</v>
      </c>
      <c r="AL17" s="4">
        <v>9.148872425252943</v>
      </c>
      <c r="AM17" s="4">
        <f t="shared" si="11"/>
        <v>4.1158481382758483E-3</v>
      </c>
      <c r="AN17" s="4">
        <f t="shared" si="12"/>
        <v>5.8185155974603319E-3</v>
      </c>
      <c r="AO17" s="4">
        <f t="shared" si="13"/>
        <v>3.3855123757889164E-5</v>
      </c>
      <c r="AP17" s="4">
        <f>AM17*AG17</f>
        <v>8.2316962765516966E-3</v>
      </c>
      <c r="AQ17" s="7">
        <v>0</v>
      </c>
      <c r="AR17" s="4" t="e">
        <f>(1/$AN$2)*LN($AQ$2/AQ17)</f>
        <v>#DIV/0!</v>
      </c>
      <c r="AS17" s="4" t="e">
        <f t="shared" si="1"/>
        <v>#DIV/0!</v>
      </c>
      <c r="AT17" s="4" t="e">
        <f t="shared" si="16"/>
        <v>#DIV/0!</v>
      </c>
      <c r="AU17" s="4" t="e">
        <f t="shared" si="17"/>
        <v>#DIV/0!</v>
      </c>
      <c r="AV17" s="4" t="e">
        <f t="shared" si="18"/>
        <v>#DIV/0!</v>
      </c>
      <c r="AW17" s="4" t="e">
        <f t="shared" si="19"/>
        <v>#DIV/0!</v>
      </c>
      <c r="AX17" s="4" t="e">
        <f t="shared" si="20"/>
        <v>#DIV/0!</v>
      </c>
      <c r="AY17" s="4" t="e">
        <f t="shared" si="21"/>
        <v>#DIV/0!</v>
      </c>
      <c r="AZ17" s="4" t="e">
        <f t="shared" si="22"/>
        <v>#DIV/0!</v>
      </c>
      <c r="BA17" s="4" t="e">
        <f t="shared" si="2"/>
        <v>#DIV/0!</v>
      </c>
      <c r="BB17" s="4" t="e">
        <f t="shared" si="2"/>
        <v>#DIV/0!</v>
      </c>
      <c r="BF17" s="6" t="s">
        <v>103</v>
      </c>
      <c r="BG17" s="6" t="s">
        <v>104</v>
      </c>
      <c r="BH17" s="6">
        <v>20</v>
      </c>
      <c r="BI17" s="6">
        <v>0.50458375038943637</v>
      </c>
      <c r="BJ17" s="6">
        <v>0.56576623514633229</v>
      </c>
    </row>
    <row r="18" spans="1:62" s="6" customFormat="1" x14ac:dyDescent="0.35">
      <c r="A18" s="4" t="s">
        <v>58</v>
      </c>
      <c r="B18" s="6" t="s">
        <v>58</v>
      </c>
      <c r="C18" s="6" t="s">
        <v>75</v>
      </c>
      <c r="D18" s="23">
        <v>22</v>
      </c>
      <c r="E18" s="23">
        <v>24</v>
      </c>
      <c r="F18" s="23">
        <f t="shared" si="0"/>
        <v>23</v>
      </c>
      <c r="G18" s="23">
        <f t="shared" si="3"/>
        <v>2</v>
      </c>
      <c r="H18" s="23">
        <f t="shared" si="4"/>
        <v>1</v>
      </c>
      <c r="I18" s="4">
        <f t="shared" si="5"/>
        <v>0.5839380065005132</v>
      </c>
      <c r="J18" s="23">
        <v>0.9439660567636341</v>
      </c>
      <c r="K18" s="23">
        <v>0.98536355125955188</v>
      </c>
      <c r="L18" s="18">
        <f t="shared" si="6"/>
        <v>5.5121765739070687E-4</v>
      </c>
      <c r="M18" s="18">
        <f t="shared" si="7"/>
        <v>9.3014974596109022E-4</v>
      </c>
      <c r="N18" s="26">
        <v>-11.398505932430172</v>
      </c>
      <c r="O18" s="26">
        <v>10.89094824559996</v>
      </c>
      <c r="P18" s="4">
        <f t="shared" si="8"/>
        <v>-6.6560208312675482E-3</v>
      </c>
      <c r="Q18" s="4">
        <f t="shared" si="9"/>
        <v>6.3596386074359018E-3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C18" s="31" t="s">
        <v>58</v>
      </c>
      <c r="AD18" s="31">
        <v>22</v>
      </c>
      <c r="AE18" s="31">
        <v>24</v>
      </c>
      <c r="AF18" s="31">
        <v>23</v>
      </c>
      <c r="AG18" s="31">
        <v>2</v>
      </c>
      <c r="AH18" s="31">
        <v>0.5839380065005132</v>
      </c>
      <c r="AI18" s="31">
        <v>3.2829799999999998</v>
      </c>
      <c r="AJ18" s="31">
        <f t="shared" si="10"/>
        <v>0.93799428571428567</v>
      </c>
      <c r="AK18" s="31">
        <v>-11.398505932430172</v>
      </c>
      <c r="AL18" s="31">
        <v>10.89094824559996</v>
      </c>
      <c r="AM18" s="31">
        <v>0</v>
      </c>
      <c r="AN18" s="31">
        <v>0</v>
      </c>
      <c r="AO18" s="31">
        <f t="shared" si="13"/>
        <v>0</v>
      </c>
      <c r="AP18" s="31">
        <f t="shared" si="14"/>
        <v>0</v>
      </c>
      <c r="AQ18" s="32">
        <f t="shared" ref="AQ18" si="23">SUM(AP19:AP47)</f>
        <v>0</v>
      </c>
      <c r="AR18" s="31" t="e">
        <f t="shared" si="15"/>
        <v>#DIV/0!</v>
      </c>
      <c r="AS18" s="31" t="e">
        <f t="shared" si="1"/>
        <v>#DIV/0!</v>
      </c>
      <c r="AT18" s="31" t="e">
        <f t="shared" si="16"/>
        <v>#DIV/0!</v>
      </c>
      <c r="AU18" s="31" t="e">
        <f t="shared" si="17"/>
        <v>#DIV/0!</v>
      </c>
      <c r="AV18" s="31" t="e">
        <f t="shared" si="18"/>
        <v>#DIV/0!</v>
      </c>
      <c r="AW18" s="31" t="e">
        <f t="shared" si="19"/>
        <v>#DIV/0!</v>
      </c>
      <c r="AX18" s="31" t="e">
        <f t="shared" si="20"/>
        <v>#DIV/0!</v>
      </c>
      <c r="AY18" s="31" t="e">
        <f t="shared" si="21"/>
        <v>#DIV/0!</v>
      </c>
      <c r="AZ18" s="31" t="e">
        <f t="shared" si="22"/>
        <v>#DIV/0!</v>
      </c>
      <c r="BA18" s="31" t="e">
        <f t="shared" si="2"/>
        <v>#DIV/0!</v>
      </c>
      <c r="BB18" s="31" t="e">
        <f t="shared" si="2"/>
        <v>#DIV/0!</v>
      </c>
      <c r="BF18" s="6" t="s">
        <v>103</v>
      </c>
      <c r="BG18" s="6" t="s">
        <v>104</v>
      </c>
      <c r="BH18" s="6">
        <v>22</v>
      </c>
      <c r="BI18" s="6">
        <v>0.49544168783669346</v>
      </c>
      <c r="BJ18" s="6">
        <v>0.63598171741906917</v>
      </c>
    </row>
    <row r="19" spans="1:62" s="6" customFormat="1" x14ac:dyDescent="0.35">
      <c r="A19" s="4" t="s">
        <v>58</v>
      </c>
      <c r="B19" s="6" t="s">
        <v>76</v>
      </c>
      <c r="C19" s="6" t="s">
        <v>77</v>
      </c>
      <c r="D19" s="23">
        <v>24</v>
      </c>
      <c r="E19" s="23">
        <v>26</v>
      </c>
      <c r="F19" s="23">
        <f t="shared" si="0"/>
        <v>25</v>
      </c>
      <c r="G19" s="23">
        <f t="shared" si="3"/>
        <v>2</v>
      </c>
      <c r="H19" s="23">
        <f t="shared" si="4"/>
        <v>1</v>
      </c>
      <c r="I19" s="4">
        <f t="shared" si="5"/>
        <v>0.59039142665441413</v>
      </c>
      <c r="J19" s="23">
        <v>0.26307751796817902</v>
      </c>
      <c r="K19" s="23">
        <v>0.59016740748134333</v>
      </c>
      <c r="L19" s="18">
        <f t="shared" si="6"/>
        <v>1.5531871115393548E-4</v>
      </c>
      <c r="M19" s="18">
        <f t="shared" si="7"/>
        <v>1.5525977674590673E-4</v>
      </c>
      <c r="N19" s="26">
        <v>-4.5452217722468404</v>
      </c>
      <c r="O19" s="26">
        <v>9.5521899383045756</v>
      </c>
      <c r="P19" s="4">
        <f t="shared" si="8"/>
        <v>-2.6834599665775168E-3</v>
      </c>
      <c r="Q19" s="4">
        <f t="shared" si="9"/>
        <v>5.639531045349578E-3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C19" s="6" t="s">
        <v>58</v>
      </c>
      <c r="AD19" s="6">
        <v>24</v>
      </c>
      <c r="AE19" s="6">
        <v>26</v>
      </c>
      <c r="AF19" s="6">
        <v>25</v>
      </c>
      <c r="AG19" s="6">
        <v>2</v>
      </c>
      <c r="AH19" s="6">
        <v>0.59039142665441413</v>
      </c>
      <c r="AI19" s="6">
        <v>2.6534199999999997</v>
      </c>
      <c r="AJ19" s="6">
        <f t="shared" si="10"/>
        <v>0.75811999999999991</v>
      </c>
      <c r="AK19" s="6">
        <v>-4.5452217722468404</v>
      </c>
      <c r="AL19" s="6">
        <v>9.5521899383045756</v>
      </c>
      <c r="AQ19" s="7"/>
      <c r="BF19" s="6" t="s">
        <v>103</v>
      </c>
      <c r="BG19" s="6" t="s">
        <v>104</v>
      </c>
      <c r="BH19" s="6">
        <v>24</v>
      </c>
      <c r="BI19" s="6">
        <v>0.49847211115228818</v>
      </c>
      <c r="BJ19" s="6">
        <v>0.5839380065005132</v>
      </c>
    </row>
    <row r="20" spans="1:62" s="6" customFormat="1" x14ac:dyDescent="0.35">
      <c r="A20" s="4" t="s">
        <v>58</v>
      </c>
      <c r="B20" s="6" t="s">
        <v>58</v>
      </c>
      <c r="C20" s="6" t="s">
        <v>78</v>
      </c>
      <c r="D20" s="23">
        <v>26</v>
      </c>
      <c r="E20" s="23">
        <v>28</v>
      </c>
      <c r="F20" s="23">
        <f t="shared" si="0"/>
        <v>27</v>
      </c>
      <c r="G20" s="23">
        <f t="shared" si="3"/>
        <v>2</v>
      </c>
      <c r="H20" s="23">
        <f t="shared" si="4"/>
        <v>1</v>
      </c>
      <c r="I20" s="4">
        <f t="shared" si="5"/>
        <v>0.59367301919015136</v>
      </c>
      <c r="J20" s="23">
        <v>0</v>
      </c>
      <c r="K20" s="23">
        <v>0</v>
      </c>
      <c r="L20" s="18">
        <f t="shared" si="6"/>
        <v>0</v>
      </c>
      <c r="M20" s="18">
        <f t="shared" si="7"/>
        <v>0</v>
      </c>
      <c r="N20" s="26">
        <v>-5.3578624717688861</v>
      </c>
      <c r="O20" s="26">
        <v>12.124620180897702</v>
      </c>
      <c r="P20" s="4">
        <f t="shared" si="8"/>
        <v>-3.1808183900206418E-3</v>
      </c>
      <c r="Q20" s="4">
        <f t="shared" si="9"/>
        <v>7.198059869327378E-3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C20" s="6" t="s">
        <v>58</v>
      </c>
      <c r="AD20" s="6">
        <v>26</v>
      </c>
      <c r="AE20" s="6">
        <v>28</v>
      </c>
      <c r="AF20" s="6">
        <v>27</v>
      </c>
      <c r="AG20" s="6">
        <v>2</v>
      </c>
      <c r="AH20" s="6">
        <v>0.59367301919015136</v>
      </c>
      <c r="AI20" s="6">
        <v>3.2136400000000003</v>
      </c>
      <c r="AJ20" s="6">
        <f t="shared" si="10"/>
        <v>0.91818285714285719</v>
      </c>
      <c r="AK20" s="6">
        <v>-5.3578624717688861</v>
      </c>
      <c r="AL20" s="6">
        <v>12.124620180897702</v>
      </c>
      <c r="AQ20" s="7"/>
      <c r="BF20" s="6" t="s">
        <v>103</v>
      </c>
      <c r="BG20" s="6" t="s">
        <v>104</v>
      </c>
      <c r="BH20" s="6">
        <v>26</v>
      </c>
      <c r="BI20" s="6">
        <v>0.51782998454404949</v>
      </c>
      <c r="BJ20" s="6">
        <v>0.59039142665441413</v>
      </c>
    </row>
    <row r="21" spans="1:62" s="6" customFormat="1" x14ac:dyDescent="0.35">
      <c r="A21" s="4" t="s">
        <v>58</v>
      </c>
      <c r="B21" s="6" t="s">
        <v>79</v>
      </c>
      <c r="C21" s="6" t="s">
        <v>80</v>
      </c>
      <c r="D21" s="23">
        <v>28</v>
      </c>
      <c r="E21" s="23">
        <v>30</v>
      </c>
      <c r="F21" s="23">
        <f t="shared" si="0"/>
        <v>29</v>
      </c>
      <c r="G21" s="23">
        <f t="shared" si="3"/>
        <v>2</v>
      </c>
      <c r="H21" s="23">
        <f t="shared" si="4"/>
        <v>1</v>
      </c>
      <c r="I21" s="4">
        <f t="shared" si="5"/>
        <v>0.61738981138038196</v>
      </c>
      <c r="J21" s="23">
        <v>0.12792691367241321</v>
      </c>
      <c r="K21" s="23">
        <v>0.42112103435867082</v>
      </c>
      <c r="L21" s="18">
        <f t="shared" si="6"/>
        <v>7.8980773102685595E-5</v>
      </c>
      <c r="M21" s="18">
        <f t="shared" si="7"/>
        <v>5.3872714208039039E-5</v>
      </c>
      <c r="N21" s="26">
        <v>7.2462517415405081</v>
      </c>
      <c r="O21" s="26">
        <v>8.0501478558780448</v>
      </c>
      <c r="P21" s="4">
        <f t="shared" si="8"/>
        <v>4.4737619959244589E-3</v>
      </c>
      <c r="Q21" s="4">
        <f t="shared" si="9"/>
        <v>4.9700792663247319E-3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C21" s="6" t="s">
        <v>58</v>
      </c>
      <c r="AD21" s="6">
        <v>28</v>
      </c>
      <c r="AE21" s="6">
        <v>30</v>
      </c>
      <c r="AF21" s="6">
        <v>29</v>
      </c>
      <c r="AG21" s="6">
        <v>2</v>
      </c>
      <c r="AH21" s="6">
        <v>0.61738981138038196</v>
      </c>
      <c r="AI21" s="6">
        <v>3.3957599999999997</v>
      </c>
      <c r="AJ21" s="6">
        <f t="shared" si="10"/>
        <v>0.97021714285714278</v>
      </c>
      <c r="AK21" s="6">
        <v>7.2462517415405081</v>
      </c>
      <c r="AL21" s="6">
        <v>8.0501478558780448</v>
      </c>
      <c r="AQ21" s="7"/>
      <c r="BF21" s="6" t="s">
        <v>103</v>
      </c>
      <c r="BG21" s="6" t="s">
        <v>104</v>
      </c>
      <c r="BH21" s="6">
        <v>28</v>
      </c>
      <c r="BI21" s="6">
        <v>0.49512991193284239</v>
      </c>
      <c r="BJ21" s="6">
        <v>0.59367301919015136</v>
      </c>
    </row>
    <row r="22" spans="1:62" s="6" customFormat="1" x14ac:dyDescent="0.35">
      <c r="A22" s="4" t="s">
        <v>58</v>
      </c>
      <c r="B22" s="6" t="s">
        <v>58</v>
      </c>
      <c r="C22" s="6" t="s">
        <v>81</v>
      </c>
      <c r="D22" s="23">
        <v>30</v>
      </c>
      <c r="E22" s="23">
        <v>32</v>
      </c>
      <c r="F22" s="23">
        <f t="shared" si="0"/>
        <v>31</v>
      </c>
      <c r="G22" s="23">
        <f t="shared" si="3"/>
        <v>2</v>
      </c>
      <c r="H22" s="23">
        <f t="shared" si="4"/>
        <v>1</v>
      </c>
      <c r="I22" s="4">
        <f t="shared" si="5"/>
        <v>0.54251121260934254</v>
      </c>
      <c r="J22" s="23">
        <v>1.1594010774594024</v>
      </c>
      <c r="K22" s="23">
        <v>1.0035744585799704</v>
      </c>
      <c r="L22" s="18">
        <f t="shared" si="6"/>
        <v>6.2898808443307861E-4</v>
      </c>
      <c r="M22" s="18">
        <f t="shared" si="7"/>
        <v>1.1635453085883541E-3</v>
      </c>
      <c r="N22" s="26">
        <v>-5.2436033266290458</v>
      </c>
      <c r="O22" s="26">
        <v>10.309525103151437</v>
      </c>
      <c r="P22" s="4">
        <f t="shared" si="8"/>
        <v>-2.8447135991719061E-3</v>
      </c>
      <c r="Q22" s="4">
        <f t="shared" si="9"/>
        <v>5.5930329651371425E-3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C22" s="6" t="s">
        <v>58</v>
      </c>
      <c r="AD22" s="6">
        <v>30</v>
      </c>
      <c r="AE22" s="6">
        <v>32</v>
      </c>
      <c r="AF22" s="6">
        <v>31</v>
      </c>
      <c r="AG22" s="6">
        <v>2</v>
      </c>
      <c r="AH22" s="6">
        <v>0.54251121260934254</v>
      </c>
      <c r="AI22" s="6">
        <v>3.02311</v>
      </c>
      <c r="AJ22" s="6">
        <f t="shared" si="10"/>
        <v>0.86374571428571423</v>
      </c>
      <c r="AK22" s="6">
        <v>-5.2436033266290458</v>
      </c>
      <c r="AL22" s="6">
        <v>10.309525103151437</v>
      </c>
      <c r="AQ22" s="7"/>
      <c r="BF22" s="6" t="s">
        <v>103</v>
      </c>
      <c r="BG22" s="6" t="s">
        <v>104</v>
      </c>
      <c r="BH22" s="6">
        <v>30</v>
      </c>
      <c r="BI22" s="6">
        <v>0.51329585668164546</v>
      </c>
      <c r="BJ22" s="6">
        <v>0.61738981138038196</v>
      </c>
    </row>
    <row r="23" spans="1:62" s="6" customFormat="1" x14ac:dyDescent="0.35">
      <c r="A23" s="4" t="s">
        <v>58</v>
      </c>
      <c r="B23" s="6" t="s">
        <v>82</v>
      </c>
      <c r="C23" s="6" t="s">
        <v>83</v>
      </c>
      <c r="D23" s="23">
        <v>32</v>
      </c>
      <c r="E23" s="23">
        <v>34</v>
      </c>
      <c r="F23" s="23">
        <f t="shared" si="0"/>
        <v>33</v>
      </c>
      <c r="G23" s="23">
        <f t="shared" si="3"/>
        <v>2</v>
      </c>
      <c r="H23" s="23">
        <f t="shared" si="4"/>
        <v>1</v>
      </c>
      <c r="I23" s="4">
        <f t="shared" si="5"/>
        <v>0.57355197429974825</v>
      </c>
      <c r="J23" s="23">
        <v>-0.9</v>
      </c>
      <c r="K23" s="23">
        <v>0</v>
      </c>
      <c r="L23" s="18">
        <f t="shared" si="6"/>
        <v>-5.1619677686977339E-4</v>
      </c>
      <c r="M23" s="18">
        <f t="shared" si="7"/>
        <v>0</v>
      </c>
      <c r="N23" s="26">
        <v>-9.6388449563313259</v>
      </c>
      <c r="O23" s="26">
        <v>9.0616526307489167</v>
      </c>
      <c r="P23" s="4">
        <f t="shared" si="8"/>
        <v>-5.5283785546730024E-3</v>
      </c>
      <c r="Q23" s="4">
        <f t="shared" si="9"/>
        <v>5.1973287567845484E-3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C23" s="6" t="s">
        <v>58</v>
      </c>
      <c r="AD23" s="6">
        <v>32</v>
      </c>
      <c r="AE23" s="6">
        <v>34</v>
      </c>
      <c r="AF23" s="6">
        <v>33</v>
      </c>
      <c r="AG23" s="6">
        <v>2</v>
      </c>
      <c r="AH23" s="6">
        <v>0.57355197429974825</v>
      </c>
      <c r="AI23" s="6">
        <v>2.4442199999999996</v>
      </c>
      <c r="AJ23" s="6">
        <f t="shared" si="10"/>
        <v>0.69834857142857132</v>
      </c>
      <c r="AK23" s="6">
        <v>-9.6388449563313259</v>
      </c>
      <c r="AL23" s="6">
        <v>9.0616526307489167</v>
      </c>
      <c r="AQ23" s="7"/>
      <c r="BF23" s="6" t="s">
        <v>103</v>
      </c>
      <c r="BG23" s="6" t="s">
        <v>104</v>
      </c>
      <c r="BH23" s="6">
        <v>32</v>
      </c>
      <c r="BI23" s="6">
        <v>0.5129516424442806</v>
      </c>
      <c r="BJ23" s="6">
        <v>0.54251121260934254</v>
      </c>
    </row>
    <row r="24" spans="1:62" s="6" customFormat="1" x14ac:dyDescent="0.35">
      <c r="A24" s="4" t="s">
        <v>58</v>
      </c>
      <c r="B24" s="6" t="s">
        <v>58</v>
      </c>
      <c r="C24" s="6" t="s">
        <v>84</v>
      </c>
      <c r="D24" s="23">
        <v>34</v>
      </c>
      <c r="E24" s="23">
        <v>36</v>
      </c>
      <c r="F24" s="23">
        <f t="shared" si="0"/>
        <v>35</v>
      </c>
      <c r="G24" s="23">
        <f t="shared" si="3"/>
        <v>2</v>
      </c>
      <c r="H24" s="23">
        <f t="shared" si="4"/>
        <v>1</v>
      </c>
      <c r="I24" s="4">
        <f t="shared" si="5"/>
        <v>0.58224989776817304</v>
      </c>
      <c r="J24" s="23">
        <v>-1.4373329191678159</v>
      </c>
      <c r="K24" s="23">
        <v>0</v>
      </c>
      <c r="L24" s="18">
        <f t="shared" si="6"/>
        <v>-8.3688694524429051E-4</v>
      </c>
      <c r="M24" s="18">
        <f t="shared" si="7"/>
        <v>0</v>
      </c>
      <c r="N24" s="26">
        <v>-0.98138796423803143</v>
      </c>
      <c r="O24" s="26">
        <v>9.9647429378518524</v>
      </c>
      <c r="P24" s="4">
        <f t="shared" si="8"/>
        <v>-5.7141304184850925E-4</v>
      </c>
      <c r="Q24" s="4">
        <f t="shared" si="9"/>
        <v>5.8019705568503653E-3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C24" s="6" t="s">
        <v>58</v>
      </c>
      <c r="AD24" s="6">
        <v>34</v>
      </c>
      <c r="AE24" s="6">
        <v>36</v>
      </c>
      <c r="AF24" s="6">
        <v>35</v>
      </c>
      <c r="AG24" s="6">
        <v>2</v>
      </c>
      <c r="AH24" s="6">
        <v>0.58224989776817304</v>
      </c>
      <c r="AI24" s="6">
        <v>3.3466900000000002</v>
      </c>
      <c r="AJ24" s="6">
        <f t="shared" si="10"/>
        <v>0.95619714285714286</v>
      </c>
      <c r="AK24" s="6">
        <v>-0.98138796423803143</v>
      </c>
      <c r="AL24" s="6">
        <v>9.9647429378518524</v>
      </c>
      <c r="AQ24" s="7"/>
      <c r="BF24" s="6" t="s">
        <v>103</v>
      </c>
      <c r="BG24" s="6" t="s">
        <v>104</v>
      </c>
      <c r="BH24" s="6">
        <v>34</v>
      </c>
      <c r="BI24" s="6">
        <v>0.49887560932053732</v>
      </c>
      <c r="BJ24" s="6">
        <v>0.57355197429974825</v>
      </c>
    </row>
    <row r="25" spans="1:62" s="6" customFormat="1" x14ac:dyDescent="0.35">
      <c r="A25" s="4" t="s">
        <v>58</v>
      </c>
      <c r="B25" s="6" t="s">
        <v>85</v>
      </c>
      <c r="C25" s="6" t="s">
        <v>86</v>
      </c>
      <c r="D25" s="23">
        <v>36</v>
      </c>
      <c r="E25" s="23">
        <v>38</v>
      </c>
      <c r="F25" s="23">
        <f t="shared" si="0"/>
        <v>37</v>
      </c>
      <c r="G25" s="23">
        <f t="shared" si="3"/>
        <v>2</v>
      </c>
      <c r="H25" s="23">
        <f t="shared" si="4"/>
        <v>1</v>
      </c>
      <c r="I25" s="4">
        <f t="shared" si="5"/>
        <v>0.49989592961065016</v>
      </c>
      <c r="J25" s="23">
        <v>0</v>
      </c>
      <c r="K25" s="23">
        <v>0</v>
      </c>
      <c r="L25" s="18">
        <f t="shared" si="6"/>
        <v>0</v>
      </c>
      <c r="M25" s="18">
        <f t="shared" si="7"/>
        <v>0</v>
      </c>
      <c r="N25" s="26">
        <v>-6.4784629717632782</v>
      </c>
      <c r="O25" s="26">
        <v>10.816105971109666</v>
      </c>
      <c r="P25" s="4">
        <f t="shared" si="8"/>
        <v>-3.2385572697177793E-3</v>
      </c>
      <c r="Q25" s="4">
        <f t="shared" si="9"/>
        <v>5.4069273491951699E-3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C25" s="6" t="s">
        <v>58</v>
      </c>
      <c r="AD25" s="6">
        <v>36</v>
      </c>
      <c r="AE25" s="6">
        <v>38</v>
      </c>
      <c r="AF25" s="6">
        <v>37</v>
      </c>
      <c r="AG25" s="6">
        <v>2</v>
      </c>
      <c r="AH25" s="6">
        <v>0.49989592961065016</v>
      </c>
      <c r="AI25" s="6">
        <v>2.4304100000000006</v>
      </c>
      <c r="AJ25" s="6">
        <f t="shared" si="10"/>
        <v>0.69440285714285732</v>
      </c>
      <c r="AK25" s="6">
        <v>-6.4784629717632782</v>
      </c>
      <c r="AL25" s="6">
        <v>10.816105971109666</v>
      </c>
      <c r="AQ25" s="7"/>
      <c r="BF25" s="6" t="s">
        <v>103</v>
      </c>
      <c r="BG25" s="6" t="s">
        <v>104</v>
      </c>
      <c r="BH25" s="6">
        <v>36</v>
      </c>
      <c r="BI25" s="6">
        <v>0.50901657134102751</v>
      </c>
      <c r="BJ25" s="6">
        <v>0.58224989776817304</v>
      </c>
    </row>
    <row r="26" spans="1:62" s="6" customFormat="1" x14ac:dyDescent="0.35">
      <c r="A26" s="4" t="s">
        <v>58</v>
      </c>
      <c r="B26" s="6" t="s">
        <v>58</v>
      </c>
      <c r="C26" s="6" t="s">
        <v>87</v>
      </c>
      <c r="D26" s="23">
        <v>38</v>
      </c>
      <c r="E26" s="23">
        <v>40</v>
      </c>
      <c r="F26" s="23">
        <f t="shared" si="0"/>
        <v>39</v>
      </c>
      <c r="G26" s="23">
        <f t="shared" si="3"/>
        <v>2</v>
      </c>
      <c r="H26" s="23">
        <f t="shared" si="4"/>
        <v>1</v>
      </c>
      <c r="I26" s="4">
        <f t="shared" si="5"/>
        <v>0.5983399206856117</v>
      </c>
      <c r="J26" s="23">
        <v>1.4608606407940732</v>
      </c>
      <c r="K26" s="23">
        <v>0.90644772788789607</v>
      </c>
      <c r="L26" s="18">
        <f t="shared" si="6"/>
        <v>8.7409123994545773E-4</v>
      </c>
      <c r="M26" s="18">
        <f t="shared" si="7"/>
        <v>1.3241938086086436E-3</v>
      </c>
      <c r="N26" s="26">
        <v>-6.0259513904301798</v>
      </c>
      <c r="O26" s="26">
        <v>11.541587562806296</v>
      </c>
      <c r="P26" s="4">
        <f t="shared" si="8"/>
        <v>-3.6055672770053454E-3</v>
      </c>
      <c r="Q26" s="4">
        <f t="shared" si="9"/>
        <v>6.9057925869155613E-3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C26" s="6" t="s">
        <v>58</v>
      </c>
      <c r="AD26" s="6">
        <v>38</v>
      </c>
      <c r="AE26" s="6">
        <v>40</v>
      </c>
      <c r="AF26" s="6">
        <v>39</v>
      </c>
      <c r="AG26" s="6">
        <v>2</v>
      </c>
      <c r="AH26" s="6">
        <v>0.5983399206856117</v>
      </c>
      <c r="AI26" s="6">
        <v>3.1562000000000001</v>
      </c>
      <c r="AJ26" s="6">
        <f t="shared" si="10"/>
        <v>0.90177142857142856</v>
      </c>
      <c r="AK26" s="6">
        <v>-6.0259513904301798</v>
      </c>
      <c r="AL26" s="6">
        <v>11.541587562806296</v>
      </c>
      <c r="AQ26" s="7"/>
      <c r="BF26" s="6" t="s">
        <v>103</v>
      </c>
      <c r="BG26" s="6" t="s">
        <v>104</v>
      </c>
      <c r="BH26" s="6">
        <v>38</v>
      </c>
      <c r="BI26" s="6">
        <v>0.52347225579725565</v>
      </c>
      <c r="BJ26" s="6">
        <v>0.49989592961065016</v>
      </c>
    </row>
    <row r="27" spans="1:62" s="6" customFormat="1" x14ac:dyDescent="0.35">
      <c r="A27" s="4" t="s">
        <v>58</v>
      </c>
      <c r="B27" s="6" t="s">
        <v>88</v>
      </c>
      <c r="C27" s="6" t="s">
        <v>89</v>
      </c>
      <c r="D27" s="23">
        <v>40</v>
      </c>
      <c r="E27" s="23">
        <v>42</v>
      </c>
      <c r="F27" s="23">
        <f t="shared" si="0"/>
        <v>41</v>
      </c>
      <c r="G27" s="23">
        <f t="shared" si="3"/>
        <v>2</v>
      </c>
      <c r="H27" s="23">
        <f t="shared" si="4"/>
        <v>1</v>
      </c>
      <c r="I27" s="4">
        <f t="shared" si="5"/>
        <v>0.54796917851076499</v>
      </c>
      <c r="J27" s="23">
        <v>0</v>
      </c>
      <c r="K27" s="23">
        <v>0</v>
      </c>
      <c r="L27" s="18">
        <f t="shared" si="6"/>
        <v>0</v>
      </c>
      <c r="M27" s="18">
        <f t="shared" si="7"/>
        <v>0</v>
      </c>
      <c r="N27" s="26">
        <v>-11.050862097733649</v>
      </c>
      <c r="O27" s="26">
        <v>6.4016324490046195</v>
      </c>
      <c r="P27" s="4">
        <f t="shared" si="8"/>
        <v>-6.0555318255308575E-3</v>
      </c>
      <c r="Q27" s="4">
        <f t="shared" si="9"/>
        <v>3.507897274208918E-3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C27" s="6" t="s">
        <v>58</v>
      </c>
      <c r="AD27" s="6">
        <v>40</v>
      </c>
      <c r="AE27" s="6">
        <v>42</v>
      </c>
      <c r="AF27" s="6">
        <v>41</v>
      </c>
      <c r="AG27" s="6">
        <v>2</v>
      </c>
      <c r="AH27" s="6">
        <v>0.54796917851076499</v>
      </c>
      <c r="AI27" s="6">
        <v>2.8754299999999993</v>
      </c>
      <c r="AJ27" s="6">
        <f t="shared" si="10"/>
        <v>0.82155142857142838</v>
      </c>
      <c r="AK27" s="6">
        <v>-11.050862097733649</v>
      </c>
      <c r="AL27" s="6">
        <v>6.4016324490046195</v>
      </c>
      <c r="AQ27" s="7"/>
      <c r="BF27" s="6" t="s">
        <v>103</v>
      </c>
      <c r="BG27" s="6" t="s">
        <v>104</v>
      </c>
      <c r="BH27" s="6">
        <v>40</v>
      </c>
      <c r="BI27" s="6">
        <v>0.49407931793742643</v>
      </c>
      <c r="BJ27" s="6">
        <v>0.5983399206856117</v>
      </c>
    </row>
    <row r="28" spans="1:62" s="6" customFormat="1" x14ac:dyDescent="0.35">
      <c r="A28" s="4" t="s">
        <v>58</v>
      </c>
      <c r="B28" s="6" t="s">
        <v>58</v>
      </c>
      <c r="C28" s="6" t="s">
        <v>90</v>
      </c>
      <c r="D28" s="23">
        <v>42</v>
      </c>
      <c r="E28" s="23">
        <v>44</v>
      </c>
      <c r="F28" s="23">
        <f t="shared" si="0"/>
        <v>43</v>
      </c>
      <c r="G28" s="23">
        <f t="shared" si="3"/>
        <v>2</v>
      </c>
      <c r="H28" s="23">
        <f t="shared" si="4"/>
        <v>1</v>
      </c>
      <c r="I28" s="4">
        <f t="shared" si="5"/>
        <v>0.57274198490799755</v>
      </c>
      <c r="J28" s="23">
        <v>1.5661415349343909E-2</v>
      </c>
      <c r="K28" s="23">
        <v>0.20671122632879863</v>
      </c>
      <c r="L28" s="18">
        <f t="shared" si="6"/>
        <v>8.9699501136518116E-6</v>
      </c>
      <c r="M28" s="18">
        <f t="shared" si="7"/>
        <v>3.2373903729075496E-6</v>
      </c>
      <c r="N28" s="26">
        <v>-10.846778960876847</v>
      </c>
      <c r="O28" s="26">
        <v>11.000801796159484</v>
      </c>
      <c r="P28" s="4">
        <f t="shared" si="8"/>
        <v>-6.2124057119109129E-3</v>
      </c>
      <c r="Q28" s="4">
        <f t="shared" si="9"/>
        <v>6.3006210563118469E-3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C28" s="6" t="s">
        <v>58</v>
      </c>
      <c r="AD28" s="6">
        <v>42</v>
      </c>
      <c r="AE28" s="6">
        <v>44</v>
      </c>
      <c r="AF28" s="6">
        <v>43</v>
      </c>
      <c r="AG28" s="6">
        <v>2</v>
      </c>
      <c r="AH28" s="6">
        <v>0.57274198490799755</v>
      </c>
      <c r="AI28" s="6">
        <v>3.3078499999999997</v>
      </c>
      <c r="AJ28" s="6">
        <f t="shared" si="10"/>
        <v>0.94509999999999994</v>
      </c>
      <c r="AK28" s="6">
        <v>-10.846778960876847</v>
      </c>
      <c r="AL28" s="6">
        <v>11.000801796159484</v>
      </c>
      <c r="AQ28" s="7"/>
      <c r="BF28" s="6" t="s">
        <v>103</v>
      </c>
      <c r="BG28" s="6" t="s">
        <v>104</v>
      </c>
      <c r="BH28" s="6">
        <v>42</v>
      </c>
      <c r="BI28" s="6">
        <v>0.5086760718249107</v>
      </c>
      <c r="BJ28" s="6">
        <v>0.54796917851076499</v>
      </c>
    </row>
    <row r="29" spans="1:62" s="6" customFormat="1" x14ac:dyDescent="0.35">
      <c r="A29" s="4" t="s">
        <v>58</v>
      </c>
      <c r="B29" s="6" t="s">
        <v>91</v>
      </c>
      <c r="C29" s="6" t="s">
        <v>92</v>
      </c>
      <c r="D29" s="23">
        <v>44</v>
      </c>
      <c r="E29" s="23">
        <v>46</v>
      </c>
      <c r="F29" s="23">
        <f t="shared" si="0"/>
        <v>45</v>
      </c>
      <c r="G29" s="23">
        <f t="shared" si="3"/>
        <v>2</v>
      </c>
      <c r="H29" s="23">
        <f t="shared" si="4"/>
        <v>1</v>
      </c>
      <c r="I29" s="4">
        <f t="shared" si="5"/>
        <v>0.56748083885877632</v>
      </c>
      <c r="J29" s="23">
        <v>0</v>
      </c>
      <c r="K29" s="23">
        <v>0</v>
      </c>
      <c r="L29" s="18">
        <f t="shared" si="6"/>
        <v>0</v>
      </c>
      <c r="M29" s="18">
        <f t="shared" si="7"/>
        <v>0</v>
      </c>
      <c r="N29" s="26">
        <v>-0.67413058485241351</v>
      </c>
      <c r="O29" s="26">
        <v>9.2464180348378289</v>
      </c>
      <c r="P29" s="4">
        <f t="shared" si="8"/>
        <v>-3.8255618979240509E-4</v>
      </c>
      <c r="Q29" s="4">
        <f t="shared" si="9"/>
        <v>5.2471650628486887E-3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C29" s="6" t="s">
        <v>58</v>
      </c>
      <c r="AD29" s="6">
        <v>44</v>
      </c>
      <c r="AE29" s="6">
        <v>46</v>
      </c>
      <c r="AF29" s="6">
        <v>45</v>
      </c>
      <c r="AG29" s="6">
        <v>2</v>
      </c>
      <c r="AH29" s="6">
        <v>0.56748083885877632</v>
      </c>
      <c r="AI29" s="6">
        <v>2.8589900000000004</v>
      </c>
      <c r="AJ29" s="6">
        <f t="shared" si="10"/>
        <v>0.81685428571428587</v>
      </c>
      <c r="AK29" s="6">
        <v>-0.67413058485241351</v>
      </c>
      <c r="AL29" s="6">
        <v>9.2464180348378289</v>
      </c>
      <c r="AQ29" s="7"/>
      <c r="BF29" s="6" t="s">
        <v>103</v>
      </c>
      <c r="BG29" s="6" t="s">
        <v>104</v>
      </c>
      <c r="BH29" s="6">
        <v>44</v>
      </c>
      <c r="BI29" s="6">
        <v>0.50448299800901186</v>
      </c>
      <c r="BJ29" s="6">
        <v>0.57274198490799755</v>
      </c>
    </row>
    <row r="30" spans="1:62" s="6" customFormat="1" x14ac:dyDescent="0.35">
      <c r="A30" s="4" t="s">
        <v>58</v>
      </c>
      <c r="B30" s="6" t="s">
        <v>58</v>
      </c>
      <c r="C30" s="6" t="s">
        <v>93</v>
      </c>
      <c r="D30" s="23">
        <v>46</v>
      </c>
      <c r="E30" s="23">
        <v>48</v>
      </c>
      <c r="F30" s="23">
        <f t="shared" si="0"/>
        <v>47</v>
      </c>
      <c r="G30" s="23">
        <f t="shared" si="3"/>
        <v>2</v>
      </c>
      <c r="H30" s="23">
        <f t="shared" si="4"/>
        <v>1</v>
      </c>
      <c r="I30" s="4">
        <f t="shared" si="5"/>
        <v>0.53913499514466257</v>
      </c>
      <c r="J30" s="23">
        <v>-1.2587461385660972</v>
      </c>
      <c r="K30" s="23">
        <v>0</v>
      </c>
      <c r="L30" s="18">
        <f t="shared" si="6"/>
        <v>-6.7863409330419554E-4</v>
      </c>
      <c r="M30" s="18">
        <f t="shared" si="7"/>
        <v>0</v>
      </c>
      <c r="N30" s="26">
        <v>0.7583287550156399</v>
      </c>
      <c r="O30" s="26">
        <v>11.616657917582042</v>
      </c>
      <c r="P30" s="4">
        <f t="shared" si="8"/>
        <v>4.08841569653415E-4</v>
      </c>
      <c r="Q30" s="4">
        <f t="shared" si="9"/>
        <v>6.2629468099928004E-3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C30" s="6" t="s">
        <v>58</v>
      </c>
      <c r="AD30" s="6">
        <v>46</v>
      </c>
      <c r="AE30" s="6">
        <v>48</v>
      </c>
      <c r="AF30" s="6">
        <v>47</v>
      </c>
      <c r="AG30" s="6">
        <v>2</v>
      </c>
      <c r="AH30" s="6">
        <v>0.53913499514466257</v>
      </c>
      <c r="AI30" s="6">
        <v>3.41168</v>
      </c>
      <c r="AJ30" s="6">
        <f t="shared" si="10"/>
        <v>0.97476571428571435</v>
      </c>
      <c r="AK30" s="6">
        <v>0.7583287550156399</v>
      </c>
      <c r="AL30" s="6">
        <v>11.616657917582042</v>
      </c>
      <c r="AQ30" s="7"/>
      <c r="BF30" s="6" t="s">
        <v>103</v>
      </c>
      <c r="BG30" s="6" t="s">
        <v>104</v>
      </c>
      <c r="BH30" s="6">
        <v>46</v>
      </c>
      <c r="BI30" s="6">
        <v>0.49665452470078725</v>
      </c>
      <c r="BJ30" s="6">
        <v>0.56748083885877632</v>
      </c>
    </row>
    <row r="31" spans="1:62" s="6" customFormat="1" x14ac:dyDescent="0.35">
      <c r="A31" s="4" t="s">
        <v>58</v>
      </c>
      <c r="B31" s="6" t="s">
        <v>94</v>
      </c>
      <c r="C31" s="6" t="s">
        <v>95</v>
      </c>
      <c r="D31" s="23">
        <v>48</v>
      </c>
      <c r="E31" s="23">
        <v>50</v>
      </c>
      <c r="F31" s="23">
        <f t="shared" si="0"/>
        <v>49</v>
      </c>
      <c r="G31" s="23">
        <f t="shared" si="3"/>
        <v>2</v>
      </c>
      <c r="H31" s="23">
        <f t="shared" si="4"/>
        <v>1</v>
      </c>
      <c r="I31" s="4">
        <f t="shared" si="5"/>
        <v>0.53411987391069249</v>
      </c>
      <c r="J31" s="23">
        <v>0</v>
      </c>
      <c r="K31" s="23">
        <v>0</v>
      </c>
      <c r="L31" s="18">
        <f t="shared" si="6"/>
        <v>0</v>
      </c>
      <c r="M31" s="18">
        <f t="shared" si="7"/>
        <v>0</v>
      </c>
      <c r="N31" s="26">
        <v>0.65379860717521154</v>
      </c>
      <c r="O31" s="26">
        <v>8.6098319352995354</v>
      </c>
      <c r="P31" s="4">
        <f t="shared" si="8"/>
        <v>3.4920682962741035E-4</v>
      </c>
      <c r="Q31" s="4">
        <f t="shared" si="9"/>
        <v>4.5986823476744411E-3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C31" s="6" t="s">
        <v>58</v>
      </c>
      <c r="AD31" s="6">
        <v>48</v>
      </c>
      <c r="AE31" s="6">
        <v>50</v>
      </c>
      <c r="AF31" s="6">
        <v>49</v>
      </c>
      <c r="AG31" s="6">
        <v>2</v>
      </c>
      <c r="AH31" s="6">
        <v>0.53411987391069249</v>
      </c>
      <c r="AI31" s="6">
        <v>3.3442299999999996</v>
      </c>
      <c r="AJ31" s="6">
        <f t="shared" si="10"/>
        <v>0.95549428571428563</v>
      </c>
      <c r="AK31" s="6">
        <v>0.65379860717521154</v>
      </c>
      <c r="AL31" s="6">
        <v>8.6098319352995354</v>
      </c>
      <c r="AQ31" s="7"/>
      <c r="BF31" s="6" t="s">
        <v>103</v>
      </c>
      <c r="BG31" s="6" t="s">
        <v>104</v>
      </c>
      <c r="BH31" s="6">
        <v>48</v>
      </c>
      <c r="BI31" s="6">
        <v>0.48623614958448746</v>
      </c>
      <c r="BJ31" s="6">
        <v>0.53913499514466257</v>
      </c>
    </row>
    <row r="32" spans="1:62" s="6" customFormat="1" x14ac:dyDescent="0.35">
      <c r="A32" s="4" t="s">
        <v>58</v>
      </c>
      <c r="B32" s="6" t="s">
        <v>58</v>
      </c>
      <c r="C32" s="6" t="s">
        <v>96</v>
      </c>
      <c r="D32" s="23">
        <v>50</v>
      </c>
      <c r="E32" s="23">
        <v>52</v>
      </c>
      <c r="F32" s="23">
        <f t="shared" si="0"/>
        <v>51</v>
      </c>
      <c r="G32" s="23">
        <f t="shared" si="3"/>
        <v>2</v>
      </c>
      <c r="H32" s="23">
        <f t="shared" si="4"/>
        <v>1</v>
      </c>
      <c r="I32" s="4"/>
      <c r="J32" s="23">
        <v>0.1291354103179653</v>
      </c>
      <c r="K32" s="23">
        <v>0.60983575772990362</v>
      </c>
      <c r="L32" s="18">
        <f t="shared" si="6"/>
        <v>0</v>
      </c>
      <c r="M32" s="18">
        <f t="shared" si="7"/>
        <v>7.8751390801018383E-5</v>
      </c>
      <c r="N32" s="26">
        <v>1.0003043653301447</v>
      </c>
      <c r="O32" s="26">
        <v>14.605196964321681</v>
      </c>
      <c r="P32" s="4">
        <f t="shared" si="8"/>
        <v>0</v>
      </c>
      <c r="Q32" s="4">
        <f t="shared" si="9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C32" s="6" t="s">
        <v>58</v>
      </c>
      <c r="AD32" s="6">
        <v>50</v>
      </c>
      <c r="AE32" s="6">
        <v>52</v>
      </c>
      <c r="AF32" s="6">
        <v>51</v>
      </c>
      <c r="AG32" s="6">
        <v>2</v>
      </c>
      <c r="AI32" s="6">
        <v>3.3265100000000003</v>
      </c>
      <c r="AJ32" s="6">
        <f t="shared" si="10"/>
        <v>0.9504314285714287</v>
      </c>
      <c r="AK32" s="6">
        <v>1.0003043653301447</v>
      </c>
      <c r="AL32" s="6">
        <v>14.605196964321681</v>
      </c>
      <c r="AQ32" s="7"/>
      <c r="BF32" s="6" t="s">
        <v>103</v>
      </c>
      <c r="BG32" s="6" t="s">
        <v>104</v>
      </c>
      <c r="BH32" s="6">
        <v>50</v>
      </c>
      <c r="BI32" s="6">
        <v>0.49158740452514776</v>
      </c>
      <c r="BJ32" s="6">
        <v>0.53411987391069249</v>
      </c>
    </row>
    <row r="33" spans="1:61" s="6" customFormat="1" x14ac:dyDescent="0.35">
      <c r="A33" s="4" t="s">
        <v>58</v>
      </c>
      <c r="B33" s="6" t="s">
        <v>97</v>
      </c>
      <c r="C33" s="6" t="s">
        <v>98</v>
      </c>
      <c r="D33" s="23">
        <v>52</v>
      </c>
      <c r="E33" s="23">
        <v>54</v>
      </c>
      <c r="F33" s="23">
        <f t="shared" si="0"/>
        <v>53</v>
      </c>
      <c r="G33" s="23">
        <f t="shared" si="3"/>
        <v>2</v>
      </c>
      <c r="H33" s="23">
        <f t="shared" si="4"/>
        <v>1</v>
      </c>
      <c r="I33" s="4"/>
      <c r="J33" s="23">
        <v>0.90154141852590342</v>
      </c>
      <c r="K33" s="23">
        <v>0.50289565748021403</v>
      </c>
      <c r="L33" s="18">
        <f t="shared" si="6"/>
        <v>0</v>
      </c>
      <c r="M33" s="18">
        <f t="shared" si="7"/>
        <v>4.5338126441522901E-4</v>
      </c>
      <c r="N33" s="26">
        <v>2.7367193842746609</v>
      </c>
      <c r="O33" s="26">
        <v>7.921711725585757</v>
      </c>
      <c r="P33" s="4">
        <f t="shared" si="8"/>
        <v>0</v>
      </c>
      <c r="Q33" s="4">
        <f t="shared" si="9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C33" s="6" t="s">
        <v>58</v>
      </c>
      <c r="AD33" s="6">
        <v>52</v>
      </c>
      <c r="AE33" s="6">
        <v>54</v>
      </c>
      <c r="AF33" s="6">
        <v>53</v>
      </c>
      <c r="AG33" s="6">
        <v>2</v>
      </c>
      <c r="AI33" s="6">
        <v>3.53701</v>
      </c>
      <c r="AJ33" s="6">
        <f t="shared" si="10"/>
        <v>1.0105742857142856</v>
      </c>
      <c r="AK33" s="6">
        <v>2.7367193842746609</v>
      </c>
      <c r="AL33" s="6">
        <v>7.921711725585757</v>
      </c>
      <c r="AQ33" s="7"/>
      <c r="BF33" s="6" t="s">
        <v>103</v>
      </c>
      <c r="BG33" s="6" t="s">
        <v>104</v>
      </c>
      <c r="BH33" s="6">
        <v>52</v>
      </c>
      <c r="BI33" s="6">
        <v>0.49580280406043958</v>
      </c>
    </row>
    <row r="34" spans="1:61" s="6" customFormat="1" x14ac:dyDescent="0.35">
      <c r="A34" s="4" t="s">
        <v>58</v>
      </c>
      <c r="B34" s="6" t="s">
        <v>58</v>
      </c>
      <c r="C34" s="6" t="s">
        <v>99</v>
      </c>
      <c r="D34" s="23">
        <v>56</v>
      </c>
      <c r="E34" s="23">
        <v>58</v>
      </c>
      <c r="F34" s="23">
        <f t="shared" si="0"/>
        <v>57</v>
      </c>
      <c r="G34" s="23">
        <f t="shared" si="3"/>
        <v>2</v>
      </c>
      <c r="H34" s="23">
        <f t="shared" si="4"/>
        <v>1</v>
      </c>
      <c r="I34" s="4"/>
      <c r="J34" s="23">
        <v>0.62720194695661891</v>
      </c>
      <c r="K34" s="23">
        <v>0.64074378461438275</v>
      </c>
      <c r="L34" s="18">
        <f t="shared" si="6"/>
        <v>0</v>
      </c>
      <c r="M34" s="18">
        <f t="shared" si="7"/>
        <v>4.0187574921049334E-4</v>
      </c>
      <c r="N34" s="26">
        <v>-8.7695235117278472</v>
      </c>
      <c r="O34" s="26">
        <v>8.9318798269746651</v>
      </c>
      <c r="P34" s="4">
        <f t="shared" si="8"/>
        <v>0</v>
      </c>
      <c r="Q34" s="4">
        <f t="shared" si="9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C34" s="6" t="s">
        <v>58</v>
      </c>
      <c r="AD34" s="6">
        <v>56</v>
      </c>
      <c r="AE34" s="6">
        <v>58</v>
      </c>
      <c r="AF34" s="6">
        <v>57</v>
      </c>
      <c r="AG34" s="6">
        <v>2</v>
      </c>
      <c r="AI34" s="6">
        <v>5.2024500000000007</v>
      </c>
      <c r="AJ34" s="6">
        <f t="shared" si="10"/>
        <v>1.4864142857142859</v>
      </c>
      <c r="AK34" s="6">
        <v>-8.7695235117278472</v>
      </c>
      <c r="AL34" s="6">
        <v>8.9318798269746651</v>
      </c>
      <c r="AQ34" s="7"/>
    </row>
    <row r="35" spans="1:61" s="6" customFormat="1" ht="16.5" x14ac:dyDescent="0.35">
      <c r="D35" s="6" t="s">
        <v>17</v>
      </c>
      <c r="E35" s="6" t="s">
        <v>47</v>
      </c>
      <c r="F35" s="6" t="s">
        <v>48</v>
      </c>
      <c r="G35" s="6" t="s">
        <v>9</v>
      </c>
      <c r="H35" s="6" t="s">
        <v>106</v>
      </c>
      <c r="I35" s="6" t="s">
        <v>50</v>
      </c>
      <c r="J35" s="6" t="s">
        <v>107</v>
      </c>
      <c r="K35" s="6" t="s">
        <v>51</v>
      </c>
      <c r="W35"/>
      <c r="X35"/>
      <c r="AQ35" s="7"/>
    </row>
    <row r="36" spans="1:61" s="6" customFormat="1" x14ac:dyDescent="0.35">
      <c r="B36" s="19" t="s">
        <v>45</v>
      </c>
      <c r="C36" s="19" t="s">
        <v>46</v>
      </c>
      <c r="D36" s="6">
        <f>F12</f>
        <v>11</v>
      </c>
      <c r="E36" s="6">
        <v>1963</v>
      </c>
      <c r="F36" s="20">
        <f>R2-E36</f>
        <v>57.920765027322432</v>
      </c>
      <c r="G36" s="21">
        <f>D36/F36</f>
        <v>0.18991461861408548</v>
      </c>
      <c r="H36" s="11">
        <f>G36-((D36-1)/F36)</f>
        <v>1.7264965328553233E-2</v>
      </c>
      <c r="I36" s="6">
        <f>G36*K36</f>
        <v>7.2556169401537002E-2</v>
      </c>
      <c r="J36" s="6">
        <f>H36*K36</f>
        <v>6.5960154001397306E-3</v>
      </c>
      <c r="K36" s="6">
        <f>AVERAGE(AH6:AH12)</f>
        <v>0.38204625810809328</v>
      </c>
      <c r="W36"/>
      <c r="X36"/>
      <c r="AQ36" s="7"/>
    </row>
    <row r="37" spans="1:61" s="6" customFormat="1" x14ac:dyDescent="0.35">
      <c r="W37"/>
      <c r="X37"/>
      <c r="AQ37" s="7"/>
    </row>
    <row r="38" spans="1:61" s="6" customFormat="1" x14ac:dyDescent="0.35">
      <c r="W38"/>
      <c r="X38"/>
      <c r="AQ38" s="7"/>
    </row>
    <row r="39" spans="1:61" s="6" customFormat="1" x14ac:dyDescent="0.35">
      <c r="W39"/>
      <c r="X39"/>
      <c r="AQ39" s="7"/>
    </row>
    <row r="40" spans="1:61" s="6" customFormat="1" x14ac:dyDescent="0.35">
      <c r="R40"/>
      <c r="S40"/>
      <c r="T40"/>
      <c r="U40"/>
      <c r="V40"/>
      <c r="W40"/>
      <c r="X40"/>
      <c r="Y40"/>
      <c r="Z40"/>
      <c r="AA40"/>
      <c r="AB40"/>
      <c r="AQ40" s="7"/>
    </row>
    <row r="41" spans="1:61" s="6" customFormat="1" x14ac:dyDescent="0.35">
      <c r="R41"/>
      <c r="S41"/>
      <c r="T41"/>
      <c r="U41"/>
      <c r="V41"/>
      <c r="W41"/>
      <c r="X41"/>
      <c r="Y41"/>
      <c r="Z41"/>
      <c r="AA41"/>
      <c r="AB41"/>
      <c r="AQ41" s="7"/>
    </row>
    <row r="42" spans="1:61" s="6" customFormat="1" x14ac:dyDescent="0.35">
      <c r="R42"/>
      <c r="S42"/>
      <c r="T42"/>
      <c r="U42"/>
      <c r="V42"/>
      <c r="W42"/>
      <c r="X42"/>
      <c r="Y42"/>
      <c r="Z42"/>
      <c r="AA42"/>
      <c r="AB42"/>
      <c r="AQ42" s="7"/>
    </row>
    <row r="43" spans="1:61" s="6" customFormat="1" x14ac:dyDescent="0.35">
      <c r="R43"/>
      <c r="S43"/>
      <c r="T43"/>
      <c r="U43"/>
      <c r="V43"/>
      <c r="W43"/>
      <c r="X43"/>
      <c r="Y43"/>
      <c r="Z43"/>
      <c r="AA43"/>
      <c r="AB43"/>
      <c r="AQ43" s="7"/>
    </row>
    <row r="44" spans="1:61" s="6" customFormat="1" x14ac:dyDescent="0.35">
      <c r="R44"/>
      <c r="S44"/>
      <c r="T44"/>
      <c r="U44"/>
      <c r="V44"/>
      <c r="W44"/>
      <c r="X44"/>
      <c r="Y44"/>
      <c r="Z44"/>
      <c r="AA44"/>
      <c r="AB44"/>
      <c r="AQ44" s="7"/>
    </row>
    <row r="45" spans="1:61" s="6" customFormat="1" x14ac:dyDescent="0.35">
      <c r="R45"/>
      <c r="S45"/>
      <c r="T45"/>
      <c r="U45"/>
      <c r="V45"/>
      <c r="W45"/>
      <c r="X45"/>
      <c r="Y45"/>
      <c r="Z45"/>
      <c r="AA45"/>
      <c r="AB45"/>
      <c r="AQ45" s="7"/>
    </row>
    <row r="46" spans="1:61" s="6" customFormat="1" x14ac:dyDescent="0.35">
      <c r="R46"/>
      <c r="S46"/>
      <c r="T46"/>
      <c r="U46"/>
      <c r="V46"/>
      <c r="W46"/>
      <c r="X46"/>
      <c r="Y46"/>
      <c r="Z46"/>
      <c r="AA46"/>
      <c r="AB46"/>
    </row>
    <row r="47" spans="1:61" s="6" customFormat="1" x14ac:dyDescent="0.35">
      <c r="R47"/>
      <c r="S47"/>
      <c r="T47"/>
      <c r="U47"/>
      <c r="V47"/>
      <c r="W47"/>
      <c r="X47"/>
      <c r="Y47"/>
      <c r="Z47"/>
      <c r="AA47"/>
      <c r="AB47"/>
    </row>
    <row r="48" spans="1:61" s="6" customFormat="1" x14ac:dyDescent="0.35">
      <c r="R48"/>
      <c r="S48"/>
      <c r="T48"/>
      <c r="U48"/>
      <c r="V48"/>
      <c r="W48"/>
      <c r="X48"/>
      <c r="Y48"/>
      <c r="Z48"/>
      <c r="AA48"/>
      <c r="AB48"/>
      <c r="AG48" s="6" t="s">
        <v>49</v>
      </c>
    </row>
    <row r="49" spans="18:28" s="6" customFormat="1" x14ac:dyDescent="0.35">
      <c r="R49"/>
      <c r="S49"/>
      <c r="T49"/>
      <c r="U49"/>
      <c r="V49"/>
      <c r="W49"/>
      <c r="X49"/>
      <c r="Y49"/>
      <c r="Z49"/>
      <c r="AA49"/>
      <c r="AB49"/>
    </row>
    <row r="50" spans="18:28" s="6" customFormat="1" x14ac:dyDescent="0.35">
      <c r="R50"/>
      <c r="S50"/>
      <c r="T50"/>
      <c r="U50"/>
      <c r="V50"/>
      <c r="W50"/>
      <c r="X50"/>
      <c r="Y50"/>
      <c r="Z50"/>
      <c r="AA50"/>
      <c r="AB50"/>
    </row>
    <row r="51" spans="18:28" s="6" customFormat="1" x14ac:dyDescent="0.35">
      <c r="R51"/>
      <c r="S51"/>
      <c r="T51"/>
      <c r="U51"/>
      <c r="V51"/>
      <c r="W51"/>
      <c r="X51"/>
      <c r="Y51"/>
      <c r="Z51"/>
      <c r="AA51"/>
      <c r="AB51"/>
    </row>
  </sheetData>
  <mergeCells count="2">
    <mergeCell ref="R1:AA1"/>
    <mergeCell ref="AI2:AL2"/>
  </mergeCells>
  <phoneticPr fontId="8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2DD0-1AEC-4B5B-9866-2091EF8DD383}">
  <dimension ref="A1:BJ51"/>
  <sheetViews>
    <sheetView topLeftCell="P1" zoomScale="60" zoomScaleNormal="60" workbookViewId="0">
      <selection activeCell="AT6" sqref="AT6:AT25"/>
    </sheetView>
  </sheetViews>
  <sheetFormatPr defaultRowHeight="14.5" x14ac:dyDescent="0.35"/>
  <cols>
    <col min="2" max="2" width="21.36328125" style="6" bestFit="1" customWidth="1"/>
    <col min="3" max="3" width="14.08984375" style="6" customWidth="1"/>
    <col min="4" max="4" width="15.54296875" style="6" bestFit="1" customWidth="1"/>
    <col min="5" max="8" width="11.1796875" style="6" customWidth="1"/>
    <col min="9" max="9" width="10.6328125" style="6" customWidth="1"/>
    <col min="10" max="10" width="16.54296875" style="6" bestFit="1" customWidth="1"/>
    <col min="11" max="15" width="11.1796875" style="6" customWidth="1"/>
    <col min="16" max="16" width="10.453125" style="6" customWidth="1"/>
    <col min="17" max="17" width="10.36328125" style="6" customWidth="1"/>
    <col min="18" max="18" width="10" bestFit="1" customWidth="1"/>
    <col min="19" max="19" width="11.453125" customWidth="1"/>
    <col min="20" max="20" width="10" bestFit="1" customWidth="1"/>
    <col min="22" max="22" width="8" customWidth="1"/>
    <col min="23" max="23" width="7.81640625" customWidth="1"/>
    <col min="24" max="24" width="7.6328125" customWidth="1"/>
    <col min="25" max="25" width="11.08984375" customWidth="1"/>
    <col min="26" max="28" width="10.453125" customWidth="1"/>
    <col min="29" max="29" width="4.90625" bestFit="1" customWidth="1"/>
    <col min="33" max="33" width="8.36328125" customWidth="1"/>
    <col min="34" max="35" width="12.36328125" customWidth="1"/>
    <col min="36" max="36" width="10" style="6" bestFit="1" customWidth="1"/>
    <col min="37" max="38" width="8.90625" style="6"/>
    <col min="39" max="39" width="18.08984375" customWidth="1"/>
    <col min="40" max="41" width="13.81640625" customWidth="1"/>
    <col min="42" max="42" width="9.54296875" customWidth="1"/>
    <col min="43" max="43" width="12.90625" bestFit="1" customWidth="1"/>
    <col min="44" max="44" width="9.36328125" customWidth="1"/>
    <col min="45" max="45" width="11.54296875" customWidth="1"/>
    <col min="46" max="47" width="12" bestFit="1" customWidth="1"/>
    <col min="48" max="48" width="10" bestFit="1" customWidth="1"/>
    <col min="49" max="49" width="12" bestFit="1" customWidth="1"/>
    <col min="50" max="51" width="10" bestFit="1" customWidth="1"/>
    <col min="52" max="52" width="11" bestFit="1" customWidth="1"/>
    <col min="53" max="54" width="10.6328125" customWidth="1"/>
  </cols>
  <sheetData>
    <row r="1" spans="1:62" x14ac:dyDescent="0.35">
      <c r="A1" s="6" t="s">
        <v>140</v>
      </c>
      <c r="R1" s="41" t="s">
        <v>39</v>
      </c>
      <c r="S1" s="41"/>
      <c r="T1" s="41"/>
      <c r="U1" s="41"/>
      <c r="V1" s="41"/>
      <c r="W1" s="41"/>
      <c r="X1" s="41"/>
      <c r="Y1" s="41"/>
      <c r="Z1" s="41"/>
      <c r="AA1" s="41"/>
      <c r="AB1" s="22"/>
      <c r="AC1" s="4"/>
    </row>
    <row r="2" spans="1:62" x14ac:dyDescent="0.35">
      <c r="A2" t="s">
        <v>142</v>
      </c>
      <c r="B2" s="6" t="s">
        <v>143</v>
      </c>
      <c r="I2" s="38"/>
      <c r="P2" s="10"/>
      <c r="Q2" s="10"/>
      <c r="R2">
        <f>AT2</f>
        <v>2020.9207650273224</v>
      </c>
      <c r="T2" t="s">
        <v>31</v>
      </c>
      <c r="W2" t="s">
        <v>32</v>
      </c>
      <c r="Z2" t="s">
        <v>32</v>
      </c>
      <c r="AI2" s="42" t="s">
        <v>13</v>
      </c>
      <c r="AJ2" s="42"/>
      <c r="AK2" s="42"/>
      <c r="AL2" s="42"/>
      <c r="AM2" s="1" t="s">
        <v>0</v>
      </c>
      <c r="AN2" s="1">
        <f>LN(2)/22.2</f>
        <v>3.1222845971168707E-2</v>
      </c>
      <c r="AO2" s="1"/>
      <c r="AP2" s="2" t="s">
        <v>1</v>
      </c>
      <c r="AQ2" s="2">
        <f>AQ6</f>
        <v>0.43101939523611821</v>
      </c>
      <c r="AR2" s="3" t="s">
        <v>2</v>
      </c>
      <c r="AS2" s="3"/>
      <c r="AT2" s="6">
        <f>2020+337/366</f>
        <v>2020.9207650273224</v>
      </c>
      <c r="AU2" t="s">
        <v>31</v>
      </c>
      <c r="BF2" t="s">
        <v>20</v>
      </c>
      <c r="BG2" t="s">
        <v>100</v>
      </c>
      <c r="BH2" s="35" t="s">
        <v>4</v>
      </c>
      <c r="BI2" s="36" t="s">
        <v>101</v>
      </c>
      <c r="BJ2" s="36" t="s">
        <v>102</v>
      </c>
    </row>
    <row r="3" spans="1:62" x14ac:dyDescent="0.35">
      <c r="B3" s="6" t="s">
        <v>144</v>
      </c>
      <c r="I3" s="38"/>
      <c r="P3" s="10"/>
      <c r="Q3" s="10"/>
      <c r="AI3" s="27"/>
      <c r="AJ3" s="37"/>
      <c r="AK3" s="37"/>
      <c r="AL3" s="37"/>
      <c r="AM3" s="1"/>
      <c r="AN3" s="1"/>
      <c r="AO3" s="1"/>
      <c r="AP3" s="2"/>
      <c r="AQ3" s="2"/>
      <c r="AR3" s="3"/>
      <c r="AS3" s="3"/>
      <c r="AT3" s="6"/>
      <c r="BH3" s="35"/>
      <c r="BI3" s="36"/>
      <c r="BJ3" s="36"/>
    </row>
    <row r="4" spans="1:62" x14ac:dyDescent="0.35">
      <c r="B4" s="6" t="s">
        <v>146</v>
      </c>
      <c r="I4" s="38"/>
      <c r="P4" s="10"/>
      <c r="Q4" s="10"/>
      <c r="AI4" s="27"/>
      <c r="AJ4" s="37"/>
      <c r="AK4" s="37"/>
      <c r="AL4" s="37"/>
      <c r="AM4" s="1"/>
      <c r="AN4" s="1"/>
      <c r="AO4" s="1"/>
      <c r="AP4" s="2"/>
      <c r="AQ4" s="2"/>
      <c r="AR4" s="3"/>
      <c r="AS4" s="3"/>
      <c r="AT4" s="6"/>
      <c r="BH4" s="35"/>
      <c r="BI4" s="36"/>
      <c r="BJ4" s="36"/>
    </row>
    <row r="5" spans="1:62" s="5" customFormat="1" ht="86.4" customHeight="1" x14ac:dyDescent="0.35">
      <c r="A5" s="7" t="s">
        <v>20</v>
      </c>
      <c r="B5" s="5" t="s">
        <v>13</v>
      </c>
      <c r="D5" s="8" t="s">
        <v>15</v>
      </c>
      <c r="E5" s="8" t="s">
        <v>16</v>
      </c>
      <c r="F5" s="8" t="s">
        <v>17</v>
      </c>
      <c r="G5" s="34" t="s">
        <v>36</v>
      </c>
      <c r="H5" s="8" t="s">
        <v>42</v>
      </c>
      <c r="I5" s="13" t="s">
        <v>21</v>
      </c>
      <c r="J5" s="14" t="s">
        <v>37</v>
      </c>
      <c r="K5" s="14" t="s">
        <v>38</v>
      </c>
      <c r="L5" s="16" t="s">
        <v>40</v>
      </c>
      <c r="M5" s="16" t="s">
        <v>41</v>
      </c>
      <c r="N5" s="24" t="s">
        <v>43</v>
      </c>
      <c r="O5" s="24" t="s">
        <v>44</v>
      </c>
      <c r="P5" s="13" t="s">
        <v>18</v>
      </c>
      <c r="Q5" s="13" t="s">
        <v>19</v>
      </c>
      <c r="R5" s="5" t="s">
        <v>23</v>
      </c>
      <c r="S5" s="5" t="s">
        <v>33</v>
      </c>
      <c r="T5" s="5" t="s">
        <v>29</v>
      </c>
      <c r="U5" s="5" t="s">
        <v>30</v>
      </c>
      <c r="V5" s="5" t="s">
        <v>9</v>
      </c>
      <c r="W5" s="5" t="s">
        <v>34</v>
      </c>
      <c r="X5" s="5" t="s">
        <v>35</v>
      </c>
      <c r="Y5" s="5" t="s">
        <v>10</v>
      </c>
      <c r="Z5" s="5" t="s">
        <v>54</v>
      </c>
      <c r="AA5" s="5" t="s">
        <v>55</v>
      </c>
      <c r="AC5" s="5" t="s">
        <v>20</v>
      </c>
      <c r="AD5" s="5" t="s">
        <v>5</v>
      </c>
      <c r="AE5" s="5" t="s">
        <v>6</v>
      </c>
      <c r="AF5" s="5" t="s">
        <v>7</v>
      </c>
      <c r="AG5" s="5" t="s">
        <v>8</v>
      </c>
      <c r="AH5" s="5" t="s">
        <v>11</v>
      </c>
      <c r="AI5" s="30" t="s">
        <v>105</v>
      </c>
      <c r="AJ5" s="28" t="s">
        <v>12</v>
      </c>
      <c r="AK5" s="29" t="s">
        <v>22</v>
      </c>
      <c r="AL5" s="29" t="s">
        <v>14</v>
      </c>
      <c r="AM5" s="5" t="s">
        <v>25</v>
      </c>
      <c r="AN5" s="5" t="s">
        <v>24</v>
      </c>
      <c r="AO5" s="5" t="s">
        <v>53</v>
      </c>
      <c r="AP5" s="5" t="s">
        <v>52</v>
      </c>
      <c r="AQ5" s="5" t="s">
        <v>26</v>
      </c>
      <c r="AR5" s="5" t="s">
        <v>27</v>
      </c>
      <c r="AS5" s="5" t="s">
        <v>28</v>
      </c>
      <c r="AT5" s="5" t="s">
        <v>23</v>
      </c>
      <c r="AU5" s="5" t="s">
        <v>29</v>
      </c>
      <c r="AV5" s="5" t="s">
        <v>30</v>
      </c>
      <c r="AW5" s="5" t="s">
        <v>9</v>
      </c>
      <c r="AX5" s="5" t="s">
        <v>34</v>
      </c>
      <c r="AY5" s="5" t="s">
        <v>35</v>
      </c>
      <c r="AZ5" s="5" t="s">
        <v>10</v>
      </c>
      <c r="BA5" s="5" t="s">
        <v>54</v>
      </c>
      <c r="BB5" s="5" t="s">
        <v>55</v>
      </c>
      <c r="BF5" s="5" t="s">
        <v>110</v>
      </c>
      <c r="BG5" s="5" t="s">
        <v>123</v>
      </c>
      <c r="BH5" s="5">
        <v>0</v>
      </c>
      <c r="BI5" s="5">
        <v>0.66868631856037397</v>
      </c>
    </row>
    <row r="6" spans="1:62" s="6" customFormat="1" x14ac:dyDescent="0.35">
      <c r="A6" s="4" t="s">
        <v>112</v>
      </c>
      <c r="D6" s="12"/>
      <c r="E6" s="33">
        <v>0</v>
      </c>
      <c r="F6" s="12"/>
      <c r="G6" s="12">
        <v>0</v>
      </c>
      <c r="H6" s="12"/>
      <c r="I6" s="9"/>
      <c r="J6" s="15"/>
      <c r="K6" s="15"/>
      <c r="L6" s="17"/>
      <c r="M6" s="17"/>
      <c r="N6" s="25"/>
      <c r="O6" s="25"/>
      <c r="P6" s="9"/>
      <c r="Q6" s="9"/>
      <c r="R6" s="6">
        <v>2020.9207650273224</v>
      </c>
      <c r="S6" s="6">
        <f>(T6-U6)/2</f>
        <v>0</v>
      </c>
      <c r="T6" s="6">
        <v>2020.9207650273224</v>
      </c>
      <c r="U6" s="6">
        <v>2020.9207650273224</v>
      </c>
      <c r="AC6" s="6" t="s">
        <v>108</v>
      </c>
      <c r="AD6" s="7"/>
      <c r="AE6" s="7">
        <v>0</v>
      </c>
      <c r="AF6" s="7"/>
      <c r="AG6" s="6">
        <v>0</v>
      </c>
      <c r="AH6" s="7"/>
      <c r="AI6" s="7"/>
      <c r="AJ6" s="11"/>
      <c r="AK6" s="9"/>
      <c r="AL6" s="9"/>
      <c r="AM6" s="7">
        <v>0</v>
      </c>
      <c r="AN6" s="7">
        <v>0</v>
      </c>
      <c r="AO6" s="7">
        <v>0</v>
      </c>
      <c r="AP6" s="7">
        <v>0</v>
      </c>
      <c r="AQ6" s="7">
        <f>SUM(AP7:AP27)</f>
        <v>0.43101939523611821</v>
      </c>
      <c r="AR6" s="7">
        <v>0</v>
      </c>
      <c r="AS6" s="7">
        <v>0</v>
      </c>
      <c r="AT6" s="6">
        <f>AT2</f>
        <v>2020.9207650273224</v>
      </c>
      <c r="AU6" s="6">
        <f>AT2</f>
        <v>2020.9207650273224</v>
      </c>
      <c r="AV6" s="6">
        <f>AT2</f>
        <v>2020.9207650273224</v>
      </c>
      <c r="AW6" s="7"/>
      <c r="AX6" s="7"/>
      <c r="AY6" s="7"/>
      <c r="AZ6" s="7"/>
      <c r="BA6" s="7"/>
      <c r="BB6" s="7"/>
      <c r="BF6" s="6" t="s">
        <v>110</v>
      </c>
      <c r="BG6" s="6" t="s">
        <v>123</v>
      </c>
      <c r="BH6" s="6">
        <v>1</v>
      </c>
      <c r="BI6" s="6">
        <v>0.65141271676300583</v>
      </c>
      <c r="BJ6" s="6">
        <v>0.28532065574273341</v>
      </c>
    </row>
    <row r="7" spans="1:62" s="6" customFormat="1" x14ac:dyDescent="0.35">
      <c r="A7" s="4" t="s">
        <v>112</v>
      </c>
      <c r="B7" s="6" t="s">
        <v>109</v>
      </c>
      <c r="C7" s="6" t="s">
        <v>57</v>
      </c>
      <c r="D7" s="23">
        <v>0</v>
      </c>
      <c r="E7" s="23">
        <v>2</v>
      </c>
      <c r="F7" s="23">
        <f t="shared" ref="F7:F34" si="0">AVERAGE(D7:E7)</f>
        <v>1</v>
      </c>
      <c r="G7" s="23">
        <f>E7-D7</f>
        <v>2</v>
      </c>
      <c r="H7" s="23">
        <f>G7/2</f>
        <v>1</v>
      </c>
      <c r="I7" s="4">
        <f>AVERAGE(BJ6:BJ7)</f>
        <v>0.29858328578336035</v>
      </c>
      <c r="J7" s="23">
        <v>3.2391819851298944</v>
      </c>
      <c r="K7" s="23">
        <v>0.82547850423793956</v>
      </c>
      <c r="L7" s="18">
        <f>$J7*I7/1000</f>
        <v>9.6716560037035182E-4</v>
      </c>
      <c r="M7" s="18">
        <f>$J7*K7/1000</f>
        <v>2.6738751000395049E-3</v>
      </c>
      <c r="N7" s="26">
        <v>141.40922085911814</v>
      </c>
      <c r="O7" s="26">
        <v>13.876384996150833</v>
      </c>
      <c r="P7" s="4">
        <f>N7*$I7/1000</f>
        <v>4.2222429804180395E-2</v>
      </c>
      <c r="Q7" s="4">
        <f>O7*$I7/1000</f>
        <v>4.1432566269456374E-3</v>
      </c>
      <c r="R7" s="4">
        <v>2014.2817000113996</v>
      </c>
      <c r="S7" s="4">
        <f t="shared" ref="S7:S26" si="1">(T7-U7)/2</f>
        <v>2.5245076103633437</v>
      </c>
      <c r="T7" s="4">
        <v>2016.806207621763</v>
      </c>
      <c r="U7" s="4">
        <v>2011.7571924010363</v>
      </c>
      <c r="V7" s="4">
        <v>0.30124723815827881</v>
      </c>
      <c r="W7" s="4">
        <v>0.48607901236173134</v>
      </c>
      <c r="X7" s="4">
        <v>0.21825548632232145</v>
      </c>
      <c r="Y7" s="4">
        <v>8.5952059532007491E-2</v>
      </c>
      <c r="Z7" s="4">
        <v>0.1386883825498294</v>
      </c>
      <c r="AA7" s="4">
        <v>6.2272798476933934E-2</v>
      </c>
      <c r="AC7" s="4" t="s">
        <v>108</v>
      </c>
      <c r="AD7" s="4">
        <v>0</v>
      </c>
      <c r="AE7" s="4">
        <v>2</v>
      </c>
      <c r="AF7" s="4">
        <v>1</v>
      </c>
      <c r="AG7" s="4">
        <v>2</v>
      </c>
      <c r="AH7" s="4">
        <v>0.28532065574273341</v>
      </c>
      <c r="AI7" s="4">
        <v>2.5867</v>
      </c>
      <c r="AJ7" s="4">
        <f>AI7/3.5</f>
        <v>0.73905714285714286</v>
      </c>
      <c r="AK7" s="4">
        <v>141.40922085911814</v>
      </c>
      <c r="AL7" s="4">
        <v>13.876384996150833</v>
      </c>
      <c r="AM7" s="4">
        <f>AK7*AH7/1000</f>
        <v>4.0346971623592603E-2</v>
      </c>
      <c r="AN7" s="4">
        <f>AL7*AH7/1000</f>
        <v>3.9592192664403827E-3</v>
      </c>
      <c r="AO7" s="4">
        <f>AN7^2</f>
        <v>1.5675417199752723E-5</v>
      </c>
      <c r="AP7" s="4">
        <f>AM7*AG7</f>
        <v>8.0693943247185207E-2</v>
      </c>
      <c r="AQ7" s="7">
        <f>SUM(AP8:$AP$27)</f>
        <v>0.350325451988933</v>
      </c>
      <c r="AR7" s="4">
        <f>(1/$AN$2)*LN($AQ$2/AQ7)</f>
        <v>6.6390650159228164</v>
      </c>
      <c r="AS7" s="4">
        <f t="shared" ref="AS7:AS26" si="2">ABS((1/$AN$2)*LN($AQ$2/(AQ7+SQRT(SUM($AO$7:$AO$46))))-AR7)</f>
        <v>2.5245076103634307</v>
      </c>
      <c r="AT7" s="4">
        <f>$AT$2-AR7</f>
        <v>2014.2817000113996</v>
      </c>
      <c r="AU7" s="4">
        <f>AT7+AS7</f>
        <v>2016.806207621763</v>
      </c>
      <c r="AV7" s="4">
        <f>AT7-AS7</f>
        <v>2011.7571924010363</v>
      </c>
      <c r="AW7" s="4">
        <f>AG7/(AT6-AT7)</f>
        <v>0.30124723815827881</v>
      </c>
      <c r="AX7" s="4">
        <f>AG7/(AT6-AU7)</f>
        <v>0.48607901236173134</v>
      </c>
      <c r="AY7" s="4">
        <f>AG7/(AT6-AV7)</f>
        <v>0.21825548632232145</v>
      </c>
      <c r="AZ7" s="4">
        <f>AW7*$AH7</f>
        <v>8.5952059532007491E-2</v>
      </c>
      <c r="BA7" s="4">
        <f t="shared" ref="BA7:BB22" si="3">AX7*$AH7</f>
        <v>0.1386883825498294</v>
      </c>
      <c r="BB7" s="4">
        <f t="shared" si="3"/>
        <v>6.2272798476933934E-2</v>
      </c>
      <c r="BF7" s="6" t="s">
        <v>110</v>
      </c>
      <c r="BG7" s="6" t="s">
        <v>123</v>
      </c>
      <c r="BH7" s="6">
        <v>2</v>
      </c>
      <c r="BI7" s="6">
        <v>0.65010107530534933</v>
      </c>
      <c r="BJ7" s="6">
        <v>0.31184591582398724</v>
      </c>
    </row>
    <row r="8" spans="1:62" s="6" customFormat="1" x14ac:dyDescent="0.35">
      <c r="A8" s="4" t="s">
        <v>112</v>
      </c>
      <c r="B8" s="6" t="s">
        <v>110</v>
      </c>
      <c r="C8" s="6" t="s">
        <v>59</v>
      </c>
      <c r="D8" s="23">
        <v>2</v>
      </c>
      <c r="E8" s="23">
        <v>3</v>
      </c>
      <c r="F8" s="23">
        <f t="shared" si="0"/>
        <v>2.5</v>
      </c>
      <c r="G8" s="23">
        <f t="shared" ref="G8:G34" si="4">E8-D8</f>
        <v>1</v>
      </c>
      <c r="H8" s="23">
        <f t="shared" ref="H8:H34" si="5">G8/2</f>
        <v>0.5</v>
      </c>
      <c r="I8" s="4">
        <f>BJ8</f>
        <v>0.29191412079146967</v>
      </c>
      <c r="J8" s="23">
        <v>4.3444130210170888</v>
      </c>
      <c r="K8" s="23">
        <v>1.2620514625582657</v>
      </c>
      <c r="L8" s="18">
        <f t="shared" ref="L8:L34" si="6">$J8*I8/1000</f>
        <v>1.268195507385216E-3</v>
      </c>
      <c r="M8" s="18">
        <f t="shared" ref="M8:M34" si="7">$J8*K8/1000</f>
        <v>5.48287280713179E-3</v>
      </c>
      <c r="N8" s="26">
        <v>105.61492733539936</v>
      </c>
      <c r="O8" s="26">
        <v>16.547874870564829</v>
      </c>
      <c r="P8" s="4">
        <f t="shared" ref="P8:Q34" si="8">N8*$I8/1000</f>
        <v>3.0830488655568061E-2</v>
      </c>
      <c r="Q8" s="4">
        <f t="shared" si="8"/>
        <v>4.8305583438081872E-3</v>
      </c>
      <c r="R8" s="4">
        <v>2011.1195379572971</v>
      </c>
      <c r="S8" s="4">
        <f t="shared" si="1"/>
        <v>2.7754320695937622</v>
      </c>
      <c r="T8" s="4">
        <v>2013.8949700268909</v>
      </c>
      <c r="U8" s="4">
        <v>2008.3441058877033</v>
      </c>
      <c r="V8" s="4">
        <v>0.31623932704607127</v>
      </c>
      <c r="W8" s="4">
        <v>2.585783466648631</v>
      </c>
      <c r="X8" s="4">
        <v>0.16841838279398591</v>
      </c>
      <c r="Y8" s="4">
        <v>9.8617942562243516E-2</v>
      </c>
      <c r="Z8" s="4">
        <v>0.80636601327956692</v>
      </c>
      <c r="AA8" s="4">
        <v>5.2520584823985389E-2</v>
      </c>
      <c r="AC8" s="4" t="s">
        <v>108</v>
      </c>
      <c r="AD8" s="4">
        <v>2</v>
      </c>
      <c r="AE8" s="4">
        <v>3</v>
      </c>
      <c r="AF8" s="4">
        <v>2.5</v>
      </c>
      <c r="AG8" s="4">
        <v>1</v>
      </c>
      <c r="AH8" s="4">
        <v>0.31184591582398724</v>
      </c>
      <c r="AI8" s="4">
        <v>2.8995200000000003</v>
      </c>
      <c r="AJ8" s="4">
        <f t="shared" ref="AJ8:AJ34" si="9">AI8/3.5</f>
        <v>0.82843428571428579</v>
      </c>
      <c r="AK8" s="4">
        <v>105.61492733539936</v>
      </c>
      <c r="AL8" s="4">
        <v>16.547874870564829</v>
      </c>
      <c r="AM8" s="4">
        <f t="shared" ref="AM8:AM27" si="10">AK8*AH8/1000</f>
        <v>3.2935583739591476E-2</v>
      </c>
      <c r="AN8" s="4">
        <f t="shared" ref="AN8:AN27" si="11">AL8*AH8/1000</f>
        <v>5.160387193952033E-3</v>
      </c>
      <c r="AO8" s="4">
        <f t="shared" ref="AO8:AO27" si="12">AN8^2</f>
        <v>2.6629595991504137E-5</v>
      </c>
      <c r="AP8" s="4">
        <f t="shared" ref="AP8:AP27" si="13">AM8*AG8</f>
        <v>3.2935583739591476E-2</v>
      </c>
      <c r="AQ8" s="7">
        <f>SUM(AP9:$AP$27)</f>
        <v>0.31738986824934151</v>
      </c>
      <c r="AR8" s="4">
        <f t="shared" ref="AR8:AR26" si="14">(1/$AN$2)*LN($AQ$2/AQ8)</f>
        <v>9.8012270700253517</v>
      </c>
      <c r="AS8" s="4">
        <f t="shared" si="2"/>
        <v>2.775432069593692</v>
      </c>
      <c r="AT8" s="4">
        <f t="shared" ref="AT8:AT26" si="15">$AT$2-AR8</f>
        <v>2011.1195379572971</v>
      </c>
      <c r="AU8" s="4">
        <f t="shared" ref="AU8:AU26" si="16">AT8+AS8</f>
        <v>2013.8949700268909</v>
      </c>
      <c r="AV8" s="4">
        <f t="shared" ref="AV8:AV26" si="17">AT8-AS8</f>
        <v>2008.3441058877033</v>
      </c>
      <c r="AW8" s="4">
        <f t="shared" ref="AW8:AW26" si="18">AG8/(AT7-AT8)</f>
        <v>0.31623932704607127</v>
      </c>
      <c r="AX8" s="4">
        <f t="shared" ref="AX8:AX26" si="19">AG8/(AT7-AU8)</f>
        <v>2.585783466648631</v>
      </c>
      <c r="AY8" s="4">
        <f t="shared" ref="AY8:AY26" si="20">AG8/(AT7-AV8)</f>
        <v>0.16841838279398591</v>
      </c>
      <c r="AZ8" s="4">
        <f t="shared" ref="AZ8:BB26" si="21">AW8*$AH8</f>
        <v>9.8617942562243516E-2</v>
      </c>
      <c r="BA8" s="4">
        <f t="shared" si="3"/>
        <v>0.80636601327956692</v>
      </c>
      <c r="BB8" s="4">
        <f t="shared" si="3"/>
        <v>5.2520584823985389E-2</v>
      </c>
      <c r="BF8" s="6" t="s">
        <v>110</v>
      </c>
      <c r="BG8" s="6" t="s">
        <v>123</v>
      </c>
      <c r="BH8" s="6">
        <v>3</v>
      </c>
      <c r="BI8" s="6">
        <v>0.63896976903127956</v>
      </c>
      <c r="BJ8" s="6">
        <v>0.29191412079146967</v>
      </c>
    </row>
    <row r="9" spans="1:62" s="6" customFormat="1" x14ac:dyDescent="0.35">
      <c r="A9" s="4" t="s">
        <v>112</v>
      </c>
      <c r="B9" s="6" t="s">
        <v>110</v>
      </c>
      <c r="C9" s="6" t="s">
        <v>60</v>
      </c>
      <c r="D9" s="23">
        <v>3</v>
      </c>
      <c r="E9" s="23">
        <v>4</v>
      </c>
      <c r="F9" s="23">
        <f t="shared" si="0"/>
        <v>3.5</v>
      </c>
      <c r="G9" s="23">
        <f t="shared" si="4"/>
        <v>1</v>
      </c>
      <c r="H9" s="23">
        <f t="shared" si="5"/>
        <v>0.5</v>
      </c>
      <c r="I9" s="4">
        <f>BJ9</f>
        <v>0.28606630018280288</v>
      </c>
      <c r="J9" s="23">
        <v>3.6624889190987817</v>
      </c>
      <c r="K9" s="23">
        <v>1.2920099078857019</v>
      </c>
      <c r="L9" s="18">
        <f t="shared" si="6"/>
        <v>1.0477146545471014E-3</v>
      </c>
      <c r="M9" s="18">
        <f t="shared" si="7"/>
        <v>4.7319719709972207E-3</v>
      </c>
      <c r="N9" s="26">
        <v>88.180600465007956</v>
      </c>
      <c r="O9" s="26">
        <v>16.893016662531032</v>
      </c>
      <c r="P9" s="4">
        <f t="shared" si="8"/>
        <v>2.5225498122922772E-2</v>
      </c>
      <c r="Q9" s="4">
        <f t="shared" si="8"/>
        <v>4.8325227755766928E-3</v>
      </c>
      <c r="R9" s="4">
        <v>2008.4105962124049</v>
      </c>
      <c r="S9" s="4">
        <f t="shared" si="1"/>
        <v>3.0092249112872196</v>
      </c>
      <c r="T9" s="4">
        <v>2011.4198211236921</v>
      </c>
      <c r="U9" s="4">
        <v>2005.4013713011177</v>
      </c>
      <c r="V9" s="4">
        <v>0.36914784228400022</v>
      </c>
      <c r="W9" s="4">
        <v>-3.3301900070029804</v>
      </c>
      <c r="X9" s="4">
        <v>0.17488122682107216</v>
      </c>
      <c r="Y9" s="4">
        <v>0.10775946782240203</v>
      </c>
      <c r="Z9" s="4">
        <v>-0.97212948796281329</v>
      </c>
      <c r="AA9" s="4">
        <v>5.1050299570406861E-2</v>
      </c>
      <c r="AC9" s="4" t="s">
        <v>108</v>
      </c>
      <c r="AD9" s="4">
        <v>3</v>
      </c>
      <c r="AE9" s="4">
        <v>4</v>
      </c>
      <c r="AF9" s="4">
        <v>3.5</v>
      </c>
      <c r="AG9" s="4">
        <v>1</v>
      </c>
      <c r="AH9" s="4">
        <v>0.29191412079146967</v>
      </c>
      <c r="AI9" s="4">
        <v>2.8683599999999996</v>
      </c>
      <c r="AJ9" s="4">
        <f t="shared" si="9"/>
        <v>0.81953142857142847</v>
      </c>
      <c r="AK9" s="4">
        <v>88.180600465007956</v>
      </c>
      <c r="AL9" s="4">
        <v>16.893016662531032</v>
      </c>
      <c r="AM9" s="4">
        <f t="shared" si="10"/>
        <v>2.5741162455606658E-2</v>
      </c>
      <c r="AN9" s="4">
        <f t="shared" si="11"/>
        <v>4.9313101065583927E-3</v>
      </c>
      <c r="AO9" s="4">
        <f t="shared" si="12"/>
        <v>2.4317819367044948E-5</v>
      </c>
      <c r="AP9" s="4">
        <f t="shared" si="13"/>
        <v>2.5741162455606658E-2</v>
      </c>
      <c r="AQ9" s="7">
        <f>SUM(AP10:$AP$27)</f>
        <v>0.29164870579373486</v>
      </c>
      <c r="AR9" s="4">
        <f t="shared" si="14"/>
        <v>12.510168814917504</v>
      </c>
      <c r="AS9" s="4">
        <f t="shared" si="2"/>
        <v>3.0092249112873084</v>
      </c>
      <c r="AT9" s="4">
        <f t="shared" si="15"/>
        <v>2008.4105962124049</v>
      </c>
      <c r="AU9" s="4">
        <f t="shared" si="16"/>
        <v>2011.4198211236921</v>
      </c>
      <c r="AV9" s="4">
        <f t="shared" si="17"/>
        <v>2005.4013713011177</v>
      </c>
      <c r="AW9" s="4">
        <f t="shared" si="18"/>
        <v>0.36914784228400022</v>
      </c>
      <c r="AX9" s="4">
        <f t="shared" si="19"/>
        <v>-3.3301900070029804</v>
      </c>
      <c r="AY9" s="4">
        <f t="shared" si="20"/>
        <v>0.17488122682107216</v>
      </c>
      <c r="AZ9" s="4">
        <f t="shared" si="21"/>
        <v>0.10775946782240203</v>
      </c>
      <c r="BA9" s="4">
        <f t="shared" si="3"/>
        <v>-0.97212948796281329</v>
      </c>
      <c r="BB9" s="4">
        <f t="shared" si="3"/>
        <v>5.1050299570406861E-2</v>
      </c>
      <c r="BF9" s="6" t="s">
        <v>110</v>
      </c>
      <c r="BG9" s="6" t="s">
        <v>123</v>
      </c>
      <c r="BH9" s="6">
        <v>4</v>
      </c>
      <c r="BI9" s="6">
        <v>0.64140800698404865</v>
      </c>
      <c r="BJ9" s="6">
        <v>0.28606630018280288</v>
      </c>
    </row>
    <row r="10" spans="1:62" s="6" customFormat="1" x14ac:dyDescent="0.35">
      <c r="A10" s="4" t="s">
        <v>112</v>
      </c>
      <c r="B10" s="6" t="s">
        <v>111</v>
      </c>
      <c r="C10" s="6" t="s">
        <v>62</v>
      </c>
      <c r="D10" s="23">
        <v>4</v>
      </c>
      <c r="E10" s="23">
        <v>6</v>
      </c>
      <c r="F10" s="23">
        <f t="shared" si="0"/>
        <v>5</v>
      </c>
      <c r="G10" s="23">
        <f t="shared" si="4"/>
        <v>2</v>
      </c>
      <c r="H10" s="23">
        <f t="shared" si="5"/>
        <v>1</v>
      </c>
      <c r="I10" s="4">
        <f t="shared" ref="I10:I34" si="22">BJ10</f>
        <v>0.29998373473171419</v>
      </c>
      <c r="J10" s="23">
        <v>3.1209546362870322</v>
      </c>
      <c r="K10" s="23">
        <v>0.7652987272362971</v>
      </c>
      <c r="L10" s="18">
        <f t="shared" si="6"/>
        <v>9.3623562772164257E-4</v>
      </c>
      <c r="M10" s="18">
        <f t="shared" si="7"/>
        <v>2.3884626109126864E-3</v>
      </c>
      <c r="N10" s="26">
        <v>68.949687839303948</v>
      </c>
      <c r="O10" s="26">
        <v>10.592463794817853</v>
      </c>
      <c r="P10" s="4">
        <f t="shared" si="8"/>
        <v>2.0683784866620255E-2</v>
      </c>
      <c r="Q10" s="4">
        <f t="shared" si="8"/>
        <v>3.1775668491799258E-3</v>
      </c>
      <c r="R10" s="4">
        <v>2003.756112191383</v>
      </c>
      <c r="S10" s="4">
        <f t="shared" si="1"/>
        <v>3.4553606449862855</v>
      </c>
      <c r="T10" s="4">
        <v>2007.2114728363692</v>
      </c>
      <c r="U10" s="4">
        <v>2000.3007515463967</v>
      </c>
      <c r="V10" s="4">
        <v>0.42969317135196988</v>
      </c>
      <c r="W10" s="4">
        <v>1.6678850900330371</v>
      </c>
      <c r="X10" s="4">
        <v>0.24661384802878339</v>
      </c>
      <c r="Y10" s="4">
        <v>0.12292073574247317</v>
      </c>
      <c r="Z10" s="4">
        <v>0.47712571683581201</v>
      </c>
      <c r="AA10" s="4">
        <v>7.0547911079438086E-2</v>
      </c>
      <c r="AC10" s="4" t="s">
        <v>108</v>
      </c>
      <c r="AD10" s="4">
        <v>4</v>
      </c>
      <c r="AE10" s="4">
        <v>6</v>
      </c>
      <c r="AF10" s="4">
        <v>5</v>
      </c>
      <c r="AG10" s="4">
        <v>2</v>
      </c>
      <c r="AH10" s="4">
        <v>0.28606630018280288</v>
      </c>
      <c r="AI10" s="4">
        <v>2.9299799999999996</v>
      </c>
      <c r="AJ10" s="4">
        <f t="shared" si="9"/>
        <v>0.83713714285714269</v>
      </c>
      <c r="AK10" s="4">
        <v>68.949687839303948</v>
      </c>
      <c r="AL10" s="4">
        <v>10.592463794817853</v>
      </c>
      <c r="AM10" s="4">
        <f t="shared" si="10"/>
        <v>1.9724182098948877E-2</v>
      </c>
      <c r="AN10" s="4">
        <f t="shared" si="11"/>
        <v>3.0301469276038354E-3</v>
      </c>
      <c r="AO10" s="4">
        <f t="shared" si="12"/>
        <v>9.1817904028669624E-6</v>
      </c>
      <c r="AP10" s="4">
        <f t="shared" si="13"/>
        <v>3.9448364197897753E-2</v>
      </c>
      <c r="AQ10" s="7">
        <f>SUM(AP11:$AP$27)</f>
        <v>0.2522003415958371</v>
      </c>
      <c r="AR10" s="4">
        <f t="shared" si="14"/>
        <v>17.164652835939563</v>
      </c>
      <c r="AS10" s="4">
        <f t="shared" si="2"/>
        <v>3.4553606449862908</v>
      </c>
      <c r="AT10" s="4">
        <f t="shared" si="15"/>
        <v>2003.756112191383</v>
      </c>
      <c r="AU10" s="4">
        <f t="shared" si="16"/>
        <v>2007.2114728363692</v>
      </c>
      <c r="AV10" s="4">
        <f t="shared" si="17"/>
        <v>2000.3007515463967</v>
      </c>
      <c r="AW10" s="4">
        <f t="shared" si="18"/>
        <v>0.42969317135196988</v>
      </c>
      <c r="AX10" s="4">
        <f t="shared" si="19"/>
        <v>1.6678850900330371</v>
      </c>
      <c r="AY10" s="4">
        <f t="shared" si="20"/>
        <v>0.24661384802878339</v>
      </c>
      <c r="AZ10" s="4">
        <f t="shared" si="21"/>
        <v>0.12292073574247317</v>
      </c>
      <c r="BA10" s="4">
        <f t="shared" si="3"/>
        <v>0.47712571683581201</v>
      </c>
      <c r="BB10" s="4">
        <f t="shared" si="3"/>
        <v>7.0547911079438086E-2</v>
      </c>
      <c r="BF10" s="6" t="s">
        <v>110</v>
      </c>
      <c r="BG10" s="6" t="s">
        <v>123</v>
      </c>
      <c r="BH10" s="6">
        <v>6</v>
      </c>
      <c r="BI10" s="6">
        <v>0.63350673972856131</v>
      </c>
      <c r="BJ10" s="6">
        <v>0.29998373473171419</v>
      </c>
    </row>
    <row r="11" spans="1:62" s="6" customFormat="1" x14ac:dyDescent="0.35">
      <c r="A11" s="4" t="s">
        <v>112</v>
      </c>
      <c r="B11" s="6" t="s">
        <v>110</v>
      </c>
      <c r="C11" s="6" t="s">
        <v>63</v>
      </c>
      <c r="D11" s="23">
        <v>6</v>
      </c>
      <c r="E11" s="23">
        <v>8</v>
      </c>
      <c r="F11" s="23">
        <f t="shared" si="0"/>
        <v>7</v>
      </c>
      <c r="G11" s="23">
        <f t="shared" si="4"/>
        <v>2</v>
      </c>
      <c r="H11" s="23">
        <f t="shared" si="5"/>
        <v>1</v>
      </c>
      <c r="I11" s="4">
        <f t="shared" si="22"/>
        <v>0.33511607834960772</v>
      </c>
      <c r="J11" s="23">
        <v>4.2131828563686486</v>
      </c>
      <c r="K11" s="23">
        <v>1.2446364007979773</v>
      </c>
      <c r="L11" s="18">
        <f t="shared" si="6"/>
        <v>1.4119053161960602E-3</v>
      </c>
      <c r="M11" s="18">
        <f t="shared" si="7"/>
        <v>5.2438807462544161E-3</v>
      </c>
      <c r="N11" s="26">
        <v>74.12479471431277</v>
      </c>
      <c r="O11" s="26">
        <v>14.047667526302291</v>
      </c>
      <c r="P11" s="4">
        <f t="shared" si="8"/>
        <v>2.4840410513130226E-2</v>
      </c>
      <c r="Q11" s="4">
        <f t="shared" si="8"/>
        <v>4.7075992513735589E-3</v>
      </c>
      <c r="R11" s="4">
        <v>1997.5428783602015</v>
      </c>
      <c r="S11" s="4">
        <f t="shared" si="1"/>
        <v>4.1490445017279853</v>
      </c>
      <c r="T11" s="4">
        <v>2001.6919228619295</v>
      </c>
      <c r="U11" s="4">
        <v>1993.3938338584735</v>
      </c>
      <c r="V11" s="4">
        <v>0.32189356691565119</v>
      </c>
      <c r="W11" s="4">
        <v>0.96890337115032044</v>
      </c>
      <c r="X11" s="4">
        <v>0.19300774749971927</v>
      </c>
      <c r="Y11" s="4">
        <v>9.6562834389469998E-2</v>
      </c>
      <c r="Z11" s="4">
        <v>0.29065525187182134</v>
      </c>
      <c r="AA11" s="4">
        <v>5.7899184927121462E-2</v>
      </c>
      <c r="AC11" s="4" t="s">
        <v>108</v>
      </c>
      <c r="AD11" s="4">
        <v>6</v>
      </c>
      <c r="AE11" s="4">
        <v>8</v>
      </c>
      <c r="AF11" s="4">
        <v>7</v>
      </c>
      <c r="AG11" s="4">
        <v>2</v>
      </c>
      <c r="AH11" s="4">
        <v>0.29998373473171419</v>
      </c>
      <c r="AI11" s="4">
        <v>2.9969300000000003</v>
      </c>
      <c r="AJ11" s="4">
        <f t="shared" si="9"/>
        <v>0.85626571428571441</v>
      </c>
      <c r="AK11" s="4">
        <v>74.12479471431277</v>
      </c>
      <c r="AL11" s="4">
        <v>14.047667526302291</v>
      </c>
      <c r="AM11" s="4">
        <f t="shared" si="10"/>
        <v>2.2236232754621173E-2</v>
      </c>
      <c r="AN11" s="4">
        <f t="shared" si="11"/>
        <v>4.2140717688095818E-3</v>
      </c>
      <c r="AO11" s="4">
        <f t="shared" si="12"/>
        <v>1.7758400872677916E-5</v>
      </c>
      <c r="AP11" s="4">
        <f t="shared" si="13"/>
        <v>4.4472465509242345E-2</v>
      </c>
      <c r="AQ11" s="7">
        <f>SUM(AP12:$AP$27)</f>
        <v>0.20772787608659476</v>
      </c>
      <c r="AR11" s="4">
        <f t="shared" si="14"/>
        <v>23.377886667121029</v>
      </c>
      <c r="AS11" s="4">
        <f t="shared" si="2"/>
        <v>4.1490445017280351</v>
      </c>
      <c r="AT11" s="4">
        <f t="shared" si="15"/>
        <v>1997.5428783602015</v>
      </c>
      <c r="AU11" s="4">
        <f t="shared" si="16"/>
        <v>2001.6919228619295</v>
      </c>
      <c r="AV11" s="4">
        <f t="shared" si="17"/>
        <v>1993.3938338584735</v>
      </c>
      <c r="AW11" s="4">
        <f t="shared" si="18"/>
        <v>0.32189356691565119</v>
      </c>
      <c r="AX11" s="4">
        <f t="shared" si="19"/>
        <v>0.96890337115032044</v>
      </c>
      <c r="AY11" s="4">
        <f t="shared" si="20"/>
        <v>0.19300774749971927</v>
      </c>
      <c r="AZ11" s="4">
        <f t="shared" si="21"/>
        <v>9.6562834389469998E-2</v>
      </c>
      <c r="BA11" s="4">
        <f t="shared" si="3"/>
        <v>0.29065525187182134</v>
      </c>
      <c r="BB11" s="4">
        <f t="shared" si="3"/>
        <v>5.7899184927121462E-2</v>
      </c>
      <c r="BF11" s="6" t="s">
        <v>110</v>
      </c>
      <c r="BG11" s="6" t="s">
        <v>123</v>
      </c>
      <c r="BH11" s="6">
        <v>8</v>
      </c>
      <c r="BI11" s="6">
        <v>0.61904884838627783</v>
      </c>
      <c r="BJ11" s="6">
        <v>0.33511607834960772</v>
      </c>
    </row>
    <row r="12" spans="1:62" s="6" customFormat="1" x14ac:dyDescent="0.35">
      <c r="A12" s="4" t="s">
        <v>112</v>
      </c>
      <c r="B12" s="6" t="s">
        <v>112</v>
      </c>
      <c r="C12" s="6" t="s">
        <v>65</v>
      </c>
      <c r="D12" s="23">
        <v>8</v>
      </c>
      <c r="E12" s="23">
        <v>10</v>
      </c>
      <c r="F12" s="23">
        <f t="shared" si="0"/>
        <v>9</v>
      </c>
      <c r="G12" s="23">
        <f t="shared" si="4"/>
        <v>2</v>
      </c>
      <c r="H12" s="23">
        <f t="shared" si="5"/>
        <v>1</v>
      </c>
      <c r="I12" s="4">
        <f t="shared" si="22"/>
        <v>0.35413568906711634</v>
      </c>
      <c r="J12" s="23">
        <v>3.7268488736190708</v>
      </c>
      <c r="K12" s="23">
        <v>0.84202901629151028</v>
      </c>
      <c r="L12" s="18">
        <f t="shared" si="6"/>
        <v>1.319810193908096E-3</v>
      </c>
      <c r="M12" s="18">
        <f t="shared" si="7"/>
        <v>3.138114890920589E-3</v>
      </c>
      <c r="N12" s="26">
        <v>61.839998491731528</v>
      </c>
      <c r="O12" s="26">
        <v>12.290509243749032</v>
      </c>
      <c r="P12" s="4">
        <f t="shared" si="8"/>
        <v>2.1899750477778781E-2</v>
      </c>
      <c r="Q12" s="4">
        <f t="shared" si="8"/>
        <v>4.3525079600208261E-3</v>
      </c>
      <c r="R12" s="4">
        <v>1990.4150371725564</v>
      </c>
      <c r="S12" s="4">
        <f t="shared" si="1"/>
        <v>5.1046511206993728</v>
      </c>
      <c r="T12" s="4">
        <v>1995.5196882932557</v>
      </c>
      <c r="U12" s="4">
        <v>1985.310386051857</v>
      </c>
      <c r="V12" s="4">
        <v>0.28058986547941822</v>
      </c>
      <c r="W12" s="4">
        <v>0.98853787030461615</v>
      </c>
      <c r="X12" s="4">
        <v>0.16349897875150793</v>
      </c>
      <c r="Y12" s="4">
        <v>9.4030175344106612E-2</v>
      </c>
      <c r="Z12" s="4">
        <v>0.33127493439655609</v>
      </c>
      <c r="AA12" s="4">
        <v>5.4791136573371181E-2</v>
      </c>
      <c r="AC12" s="4" t="s">
        <v>108</v>
      </c>
      <c r="AD12" s="4">
        <v>8</v>
      </c>
      <c r="AE12" s="4">
        <v>10</v>
      </c>
      <c r="AF12" s="4">
        <v>9</v>
      </c>
      <c r="AG12" s="4">
        <v>2</v>
      </c>
      <c r="AH12" s="4">
        <v>0.33511607834960772</v>
      </c>
      <c r="AI12" s="4">
        <v>2.4573800000000001</v>
      </c>
      <c r="AJ12" s="4">
        <f t="shared" si="9"/>
        <v>0.70210857142857142</v>
      </c>
      <c r="AK12" s="4">
        <v>61.839998491731528</v>
      </c>
      <c r="AL12" s="4">
        <v>12.290509243749032</v>
      </c>
      <c r="AM12" s="4">
        <f t="shared" si="10"/>
        <v>2.0723577779694725E-2</v>
      </c>
      <c r="AN12" s="4">
        <f t="shared" si="11"/>
        <v>4.1187472586847783E-3</v>
      </c>
      <c r="AO12" s="4">
        <f t="shared" si="12"/>
        <v>1.6964078980923376E-5</v>
      </c>
      <c r="AP12" s="4">
        <f t="shared" si="13"/>
        <v>4.1447155559389451E-2</v>
      </c>
      <c r="AQ12" s="7">
        <f>SUM(AP13:$AP$27)</f>
        <v>0.16628072052720533</v>
      </c>
      <c r="AR12" s="4">
        <f t="shared" si="14"/>
        <v>30.505727854765997</v>
      </c>
      <c r="AS12" s="4">
        <f t="shared" si="2"/>
        <v>5.1046511206993976</v>
      </c>
      <c r="AT12" s="4">
        <f t="shared" si="15"/>
        <v>1990.4150371725564</v>
      </c>
      <c r="AU12" s="4">
        <f t="shared" si="16"/>
        <v>1995.5196882932557</v>
      </c>
      <c r="AV12" s="4">
        <f t="shared" si="17"/>
        <v>1985.310386051857</v>
      </c>
      <c r="AW12" s="4">
        <f t="shared" si="18"/>
        <v>0.28058986547941822</v>
      </c>
      <c r="AX12" s="4">
        <f t="shared" si="19"/>
        <v>0.98853787030461615</v>
      </c>
      <c r="AY12" s="4">
        <f t="shared" si="20"/>
        <v>0.16349897875150793</v>
      </c>
      <c r="AZ12" s="4">
        <f t="shared" si="21"/>
        <v>9.4030175344106612E-2</v>
      </c>
      <c r="BA12" s="4">
        <f t="shared" si="3"/>
        <v>0.33127493439655609</v>
      </c>
      <c r="BB12" s="4">
        <f t="shared" si="3"/>
        <v>5.4791136573371181E-2</v>
      </c>
      <c r="BF12" s="6" t="s">
        <v>110</v>
      </c>
      <c r="BG12" s="6" t="s">
        <v>123</v>
      </c>
      <c r="BH12" s="6">
        <v>10</v>
      </c>
      <c r="BI12" s="6">
        <v>0.60748341842620834</v>
      </c>
      <c r="BJ12" s="6">
        <v>0.35413568906711634</v>
      </c>
    </row>
    <row r="13" spans="1:62" s="6" customFormat="1" x14ac:dyDescent="0.35">
      <c r="A13" s="4" t="s">
        <v>112</v>
      </c>
      <c r="B13" s="6" t="s">
        <v>110</v>
      </c>
      <c r="C13" s="6" t="s">
        <v>66</v>
      </c>
      <c r="D13" s="23">
        <v>10</v>
      </c>
      <c r="E13" s="23">
        <v>12</v>
      </c>
      <c r="F13" s="23">
        <f t="shared" si="0"/>
        <v>11</v>
      </c>
      <c r="G13" s="23">
        <f t="shared" si="4"/>
        <v>2</v>
      </c>
      <c r="H13" s="23">
        <f t="shared" si="5"/>
        <v>1</v>
      </c>
      <c r="I13" s="4">
        <f t="shared" si="22"/>
        <v>0.33771258639979895</v>
      </c>
      <c r="J13" s="23">
        <v>5.0997359506118425</v>
      </c>
      <c r="K13" s="23">
        <v>1.353488428682891</v>
      </c>
      <c r="L13" s="18">
        <f t="shared" si="6"/>
        <v>1.7222450178371626E-3</v>
      </c>
      <c r="M13" s="18">
        <f t="shared" si="7"/>
        <v>6.9024335984912717E-3</v>
      </c>
      <c r="N13" s="26">
        <v>68.438482113930789</v>
      </c>
      <c r="O13" s="26">
        <v>15.675487344881377</v>
      </c>
      <c r="P13" s="4">
        <f t="shared" si="8"/>
        <v>2.3112536803971944E-2</v>
      </c>
      <c r="Q13" s="4">
        <f t="shared" si="8"/>
        <v>5.2938093743172066E-3</v>
      </c>
      <c r="R13" s="4">
        <v>1979.3774849671468</v>
      </c>
      <c r="S13" s="4">
        <f t="shared" si="1"/>
        <v>6.989602492844142</v>
      </c>
      <c r="T13" s="4">
        <v>1986.3670874599909</v>
      </c>
      <c r="U13" s="4">
        <v>1972.3878824743026</v>
      </c>
      <c r="V13" s="4">
        <v>0.18119959595930887</v>
      </c>
      <c r="W13" s="4">
        <v>0.49407728406103646</v>
      </c>
      <c r="X13" s="4">
        <v>0.11094374200903347</v>
      </c>
      <c r="Y13" s="4">
        <v>6.4169243773732912E-2</v>
      </c>
      <c r="Z13" s="4">
        <v>0.17497039944336454</v>
      </c>
      <c r="AA13" s="4">
        <v>3.9289138524053448E-2</v>
      </c>
      <c r="AC13" s="4" t="s">
        <v>108</v>
      </c>
      <c r="AD13" s="4">
        <v>10</v>
      </c>
      <c r="AE13" s="4">
        <v>12</v>
      </c>
      <c r="AF13" s="4">
        <v>11</v>
      </c>
      <c r="AG13" s="4">
        <v>2</v>
      </c>
      <c r="AH13" s="4">
        <v>0.35413568906711634</v>
      </c>
      <c r="AI13" s="4">
        <v>3.1320900000000003</v>
      </c>
      <c r="AJ13" s="4">
        <f t="shared" si="9"/>
        <v>0.8948828571428572</v>
      </c>
      <c r="AK13" s="4">
        <v>68.438482113930789</v>
      </c>
      <c r="AL13" s="4">
        <v>15.675487344881377</v>
      </c>
      <c r="AM13" s="4">
        <f t="shared" si="10"/>
        <v>2.4236509022124399E-2</v>
      </c>
      <c r="AN13" s="4">
        <f t="shared" si="11"/>
        <v>5.5512495123424283E-3</v>
      </c>
      <c r="AO13" s="4">
        <f t="shared" si="12"/>
        <v>3.0816371148282048E-5</v>
      </c>
      <c r="AP13" s="4">
        <f t="shared" si="13"/>
        <v>4.8473018044248799E-2</v>
      </c>
      <c r="AQ13" s="7">
        <f>SUM(AP14:$AP$27)</f>
        <v>0.11780770248295652</v>
      </c>
      <c r="AR13" s="4">
        <f t="shared" si="14"/>
        <v>41.543280060175597</v>
      </c>
      <c r="AS13" s="4">
        <f t="shared" si="2"/>
        <v>6.9896024928442415</v>
      </c>
      <c r="AT13" s="4">
        <f t="shared" si="15"/>
        <v>1979.3774849671468</v>
      </c>
      <c r="AU13" s="4">
        <f t="shared" si="16"/>
        <v>1986.3670874599909</v>
      </c>
      <c r="AV13" s="4">
        <f t="shared" si="17"/>
        <v>1972.3878824743026</v>
      </c>
      <c r="AW13" s="4">
        <f t="shared" si="18"/>
        <v>0.18119959595930887</v>
      </c>
      <c r="AX13" s="4">
        <f t="shared" si="19"/>
        <v>0.49407728406103646</v>
      </c>
      <c r="AY13" s="4">
        <f t="shared" si="20"/>
        <v>0.11094374200903347</v>
      </c>
      <c r="AZ13" s="4">
        <f t="shared" si="21"/>
        <v>6.4169243773732912E-2</v>
      </c>
      <c r="BA13" s="4">
        <f t="shared" si="3"/>
        <v>0.17497039944336454</v>
      </c>
      <c r="BB13" s="4">
        <f t="shared" si="3"/>
        <v>3.9289138524053448E-2</v>
      </c>
      <c r="BF13" s="6" t="s">
        <v>110</v>
      </c>
      <c r="BG13" s="6" t="s">
        <v>123</v>
      </c>
      <c r="BH13" s="6">
        <v>12</v>
      </c>
      <c r="BI13" s="6">
        <v>0.5964376659384597</v>
      </c>
      <c r="BJ13" s="6">
        <v>0.33771258639979895</v>
      </c>
    </row>
    <row r="14" spans="1:62" s="6" customFormat="1" x14ac:dyDescent="0.35">
      <c r="A14" s="4" t="s">
        <v>112</v>
      </c>
      <c r="B14" s="6" t="s">
        <v>113</v>
      </c>
      <c r="C14" s="6" t="s">
        <v>68</v>
      </c>
      <c r="D14" s="23">
        <v>12</v>
      </c>
      <c r="E14" s="23">
        <v>14</v>
      </c>
      <c r="F14" s="23">
        <f t="shared" si="0"/>
        <v>13</v>
      </c>
      <c r="G14" s="23">
        <f t="shared" si="4"/>
        <v>2</v>
      </c>
      <c r="H14" s="23">
        <f t="shared" si="5"/>
        <v>1</v>
      </c>
      <c r="I14" s="4">
        <f t="shared" si="22"/>
        <v>0.36675865458808976</v>
      </c>
      <c r="J14" s="23">
        <v>3.4415786688341305</v>
      </c>
      <c r="K14" s="23">
        <v>0.98794388994121296</v>
      </c>
      <c r="L14" s="18">
        <f t="shared" si="6"/>
        <v>1.2622287622406747E-3</v>
      </c>
      <c r="M14" s="18">
        <f t="shared" si="7"/>
        <v>3.4000866176266925E-3</v>
      </c>
      <c r="N14" s="26">
        <v>37.358069703965036</v>
      </c>
      <c r="O14" s="26">
        <v>14.375641941252468</v>
      </c>
      <c r="P14" s="4">
        <f t="shared" si="8"/>
        <v>1.3701395382634294E-2</v>
      </c>
      <c r="Q14" s="4">
        <f t="shared" si="8"/>
        <v>5.2723910972138693E-3</v>
      </c>
      <c r="R14" s="4">
        <v>1971.6577142280616</v>
      </c>
      <c r="S14" s="4">
        <f t="shared" si="1"/>
        <v>8.6569965805140328</v>
      </c>
      <c r="T14" s="4">
        <v>1980.3147108085757</v>
      </c>
      <c r="U14" s="4">
        <v>1963.0007176475476</v>
      </c>
      <c r="V14" s="4">
        <v>0.25907505126726421</v>
      </c>
      <c r="W14" s="4">
        <v>-2.1339573788861093</v>
      </c>
      <c r="X14" s="4">
        <v>0.12212422396735589</v>
      </c>
      <c r="Y14" s="4">
        <v>8.7492905635128307E-2</v>
      </c>
      <c r="Z14" s="4">
        <v>-0.72066426569056363</v>
      </c>
      <c r="AA14" s="4">
        <v>4.1242887538084076E-2</v>
      </c>
      <c r="AC14" s="4" t="s">
        <v>108</v>
      </c>
      <c r="AD14" s="4">
        <v>12</v>
      </c>
      <c r="AE14" s="4">
        <v>14</v>
      </c>
      <c r="AF14" s="4">
        <v>13</v>
      </c>
      <c r="AG14" s="4">
        <v>2</v>
      </c>
      <c r="AH14" s="4">
        <v>0.33771258639979895</v>
      </c>
      <c r="AI14" s="4">
        <v>2.3564999999999996</v>
      </c>
      <c r="AJ14" s="4">
        <f t="shared" si="9"/>
        <v>0.67328571428571415</v>
      </c>
      <c r="AK14" s="4">
        <v>37.358069703965036</v>
      </c>
      <c r="AL14" s="4">
        <v>14.375641941252468</v>
      </c>
      <c r="AM14" s="4">
        <f t="shared" si="10"/>
        <v>1.2616290342630003E-2</v>
      </c>
      <c r="AN14" s="4">
        <f t="shared" si="11"/>
        <v>4.8548352211377974E-3</v>
      </c>
      <c r="AO14" s="4">
        <f t="shared" si="12"/>
        <v>2.3569425024400085E-5</v>
      </c>
      <c r="AP14" s="4">
        <f t="shared" si="13"/>
        <v>2.5232580685260006E-2</v>
      </c>
      <c r="AQ14" s="7">
        <f>SUM(AP15:$AP$27)</f>
        <v>9.2575121797696502E-2</v>
      </c>
      <c r="AR14" s="4">
        <f t="shared" si="14"/>
        <v>49.263050799260888</v>
      </c>
      <c r="AS14" s="4">
        <f t="shared" si="2"/>
        <v>8.6569965805141251</v>
      </c>
      <c r="AT14" s="4">
        <f t="shared" si="15"/>
        <v>1971.6577142280616</v>
      </c>
      <c r="AU14" s="4">
        <f t="shared" si="16"/>
        <v>1980.3147108085757</v>
      </c>
      <c r="AV14" s="4">
        <f t="shared" si="17"/>
        <v>1963.0007176475476</v>
      </c>
      <c r="AW14" s="4">
        <f t="shared" si="18"/>
        <v>0.25907505126726421</v>
      </c>
      <c r="AX14" s="4">
        <f t="shared" si="19"/>
        <v>-2.1339573788861093</v>
      </c>
      <c r="AY14" s="4">
        <f t="shared" si="20"/>
        <v>0.12212422396735589</v>
      </c>
      <c r="AZ14" s="4">
        <f t="shared" si="21"/>
        <v>8.7492905635128307E-2</v>
      </c>
      <c r="BA14" s="4">
        <f t="shared" si="3"/>
        <v>-0.72066426569056363</v>
      </c>
      <c r="BB14" s="4">
        <f t="shared" si="3"/>
        <v>4.1242887538084076E-2</v>
      </c>
      <c r="BF14" s="6" t="s">
        <v>110</v>
      </c>
      <c r="BG14" s="6" t="s">
        <v>123</v>
      </c>
      <c r="BH14" s="6">
        <v>14</v>
      </c>
      <c r="BI14" s="6">
        <v>0.5813762593533448</v>
      </c>
      <c r="BJ14" s="6">
        <v>0.36675865458808976</v>
      </c>
    </row>
    <row r="15" spans="1:62" s="6" customFormat="1" x14ac:dyDescent="0.35">
      <c r="A15" s="4" t="s">
        <v>112</v>
      </c>
      <c r="B15" s="6" t="s">
        <v>110</v>
      </c>
      <c r="C15" s="6" t="s">
        <v>69</v>
      </c>
      <c r="D15" s="23">
        <v>14</v>
      </c>
      <c r="E15" s="23">
        <v>16</v>
      </c>
      <c r="F15" s="23">
        <f t="shared" si="0"/>
        <v>15</v>
      </c>
      <c r="G15" s="23">
        <f t="shared" si="4"/>
        <v>2</v>
      </c>
      <c r="H15" s="23">
        <f t="shared" si="5"/>
        <v>1</v>
      </c>
      <c r="I15" s="4">
        <f t="shared" si="22"/>
        <v>0.40008176956459646</v>
      </c>
      <c r="J15" s="23">
        <v>6.7581273719540995</v>
      </c>
      <c r="K15" s="23">
        <v>1.3454239418187171</v>
      </c>
      <c r="L15" s="18">
        <f t="shared" si="6"/>
        <v>2.7038035579143318E-3</v>
      </c>
      <c r="M15" s="18">
        <f t="shared" si="7"/>
        <v>9.0925463680874511E-3</v>
      </c>
      <c r="N15" s="26">
        <v>26.748361136041844</v>
      </c>
      <c r="O15" s="26">
        <v>12.719349978194357</v>
      </c>
      <c r="P15" s="4">
        <f t="shared" si="8"/>
        <v>1.0701531656260501E-2</v>
      </c>
      <c r="Q15" s="4">
        <f t="shared" si="8"/>
        <v>5.088780046987409E-3</v>
      </c>
      <c r="R15" s="4">
        <v>1964.0292856778465</v>
      </c>
      <c r="S15" s="4">
        <f t="shared" si="1"/>
        <v>10.634742458049686</v>
      </c>
      <c r="T15" s="4">
        <v>1974.6640281358962</v>
      </c>
      <c r="U15" s="4">
        <v>1953.3945432197968</v>
      </c>
      <c r="V15" s="4">
        <v>0.26217719505855314</v>
      </c>
      <c r="W15" s="4">
        <v>-0.66526652282982246</v>
      </c>
      <c r="X15" s="4">
        <v>0.10951000782366407</v>
      </c>
      <c r="Y15" s="4">
        <v>9.6155755323354117E-2</v>
      </c>
      <c r="Z15" s="4">
        <v>-0.24399225485556239</v>
      </c>
      <c r="AA15" s="4">
        <v>4.0163743133338217E-2</v>
      </c>
      <c r="AC15" s="4" t="s">
        <v>108</v>
      </c>
      <c r="AD15" s="4">
        <v>14</v>
      </c>
      <c r="AE15" s="4">
        <v>16</v>
      </c>
      <c r="AF15" s="4">
        <v>15</v>
      </c>
      <c r="AG15" s="4">
        <v>2</v>
      </c>
      <c r="AH15" s="4">
        <v>0.36675865458808976</v>
      </c>
      <c r="AI15" s="4">
        <v>3.2653400000000006</v>
      </c>
      <c r="AJ15" s="4">
        <f t="shared" si="9"/>
        <v>0.93295428571428585</v>
      </c>
      <c r="AK15" s="4">
        <v>26.748361136041844</v>
      </c>
      <c r="AL15" s="4">
        <v>12.719349978194357</v>
      </c>
      <c r="AM15" s="4">
        <f t="shared" si="10"/>
        <v>9.8101929426910543E-3</v>
      </c>
      <c r="AN15" s="4">
        <f t="shared" si="11"/>
        <v>4.6649316852376112E-3</v>
      </c>
      <c r="AO15" s="4">
        <f t="shared" si="12"/>
        <v>2.1761587627933818E-5</v>
      </c>
      <c r="AP15" s="4">
        <f t="shared" si="13"/>
        <v>1.9620385885382109E-2</v>
      </c>
      <c r="AQ15" s="7">
        <f>SUM(AP16:$AP$27)</f>
        <v>7.2954735912314411E-2</v>
      </c>
      <c r="AR15" s="4">
        <f t="shared" si="14"/>
        <v>56.891479349475972</v>
      </c>
      <c r="AS15" s="4">
        <f t="shared" si="2"/>
        <v>10.634742458049672</v>
      </c>
      <c r="AT15" s="4">
        <f t="shared" si="15"/>
        <v>1964.0292856778465</v>
      </c>
      <c r="AU15" s="4">
        <f t="shared" si="16"/>
        <v>1974.6640281358962</v>
      </c>
      <c r="AV15" s="4">
        <f t="shared" si="17"/>
        <v>1953.3945432197968</v>
      </c>
      <c r="AW15" s="4">
        <f>AG15/(AT14-AT15)</f>
        <v>0.26217719505855314</v>
      </c>
      <c r="AX15" s="4">
        <f t="shared" si="19"/>
        <v>-0.66526652282982246</v>
      </c>
      <c r="AY15" s="4">
        <f t="shared" si="20"/>
        <v>0.10951000782366407</v>
      </c>
      <c r="AZ15" s="4">
        <f t="shared" si="21"/>
        <v>9.6155755323354117E-2</v>
      </c>
      <c r="BA15" s="4">
        <f t="shared" si="3"/>
        <v>-0.24399225485556239</v>
      </c>
      <c r="BB15" s="4">
        <f t="shared" si="3"/>
        <v>4.0163743133338217E-2</v>
      </c>
      <c r="BF15" s="6" t="s">
        <v>110</v>
      </c>
      <c r="BG15" s="6" t="s">
        <v>123</v>
      </c>
      <c r="BH15" s="6">
        <v>16</v>
      </c>
      <c r="BI15" s="6">
        <v>0.57579381641891669</v>
      </c>
      <c r="BJ15" s="6">
        <v>0.40008176956459646</v>
      </c>
    </row>
    <row r="16" spans="1:62" s="6" customFormat="1" x14ac:dyDescent="0.35">
      <c r="A16" s="4" t="s">
        <v>112</v>
      </c>
      <c r="B16" s="6" t="s">
        <v>114</v>
      </c>
      <c r="C16" s="6" t="s">
        <v>71</v>
      </c>
      <c r="D16" s="23">
        <v>16</v>
      </c>
      <c r="E16" s="23">
        <v>18</v>
      </c>
      <c r="F16" s="23">
        <f t="shared" si="0"/>
        <v>17</v>
      </c>
      <c r="G16" s="23">
        <f t="shared" si="4"/>
        <v>2</v>
      </c>
      <c r="H16" s="23">
        <f t="shared" si="5"/>
        <v>1</v>
      </c>
      <c r="I16" s="4">
        <f t="shared" si="22"/>
        <v>0.43263653011808723</v>
      </c>
      <c r="J16" s="23">
        <v>0</v>
      </c>
      <c r="K16" s="23">
        <v>0</v>
      </c>
      <c r="L16" s="18">
        <f t="shared" si="6"/>
        <v>0</v>
      </c>
      <c r="M16" s="18">
        <f t="shared" si="7"/>
        <v>0</v>
      </c>
      <c r="N16" s="26">
        <v>-1.7767414252378018</v>
      </c>
      <c r="O16" s="26">
        <v>8.906300448818719</v>
      </c>
      <c r="P16" s="4">
        <f t="shared" si="8"/>
        <v>-7.6868324513194744E-4</v>
      </c>
      <c r="Q16" s="4">
        <f t="shared" si="8"/>
        <v>3.8531909223660935E-3</v>
      </c>
      <c r="R16" s="4">
        <v>1964.0292856778465</v>
      </c>
      <c r="S16" s="4">
        <f t="shared" si="1"/>
        <v>10.634742458049686</v>
      </c>
      <c r="T16" s="4">
        <v>1974.6640281358962</v>
      </c>
      <c r="U16" s="4">
        <v>1953.3945432197968</v>
      </c>
      <c r="V16" s="4" t="e">
        <v>#DIV/0!</v>
      </c>
      <c r="W16" s="4">
        <v>-0.18806285228714242</v>
      </c>
      <c r="X16" s="4">
        <v>0.18806285228714242</v>
      </c>
      <c r="Y16" s="4" t="e">
        <v>#DIV/0!</v>
      </c>
      <c r="Z16" s="4">
        <v>-7.5240518732405254E-2</v>
      </c>
      <c r="AA16" s="4">
        <v>7.5240518732405254E-2</v>
      </c>
      <c r="AC16" s="4" t="s">
        <v>108</v>
      </c>
      <c r="AD16" s="4">
        <v>16</v>
      </c>
      <c r="AE16" s="4">
        <v>18</v>
      </c>
      <c r="AF16" s="4">
        <v>17</v>
      </c>
      <c r="AG16" s="4">
        <v>2</v>
      </c>
      <c r="AH16" s="4">
        <v>0.40008176956459646</v>
      </c>
      <c r="AI16" s="4">
        <v>3.1963400000000006</v>
      </c>
      <c r="AJ16" s="4">
        <f t="shared" si="9"/>
        <v>0.91324000000000016</v>
      </c>
      <c r="AK16" s="4">
        <v>0</v>
      </c>
      <c r="AL16" s="4">
        <v>8.906300448818719</v>
      </c>
      <c r="AM16" s="4">
        <f t="shared" si="10"/>
        <v>0</v>
      </c>
      <c r="AN16" s="4">
        <f t="shared" si="11"/>
        <v>3.5632484438373529E-3</v>
      </c>
      <c r="AO16" s="4">
        <f t="shared" si="12"/>
        <v>1.2696739472509317E-5</v>
      </c>
      <c r="AP16" s="4">
        <f t="shared" si="13"/>
        <v>0</v>
      </c>
      <c r="AQ16" s="7">
        <f>SUM(AP17:$AP$27)</f>
        <v>7.2954735912314411E-2</v>
      </c>
      <c r="AR16" s="4">
        <f t="shared" si="14"/>
        <v>56.891479349475972</v>
      </c>
      <c r="AS16" s="4">
        <f t="shared" si="2"/>
        <v>10.634742458049672</v>
      </c>
      <c r="AT16" s="4">
        <f t="shared" si="15"/>
        <v>1964.0292856778465</v>
      </c>
      <c r="AU16" s="4">
        <f t="shared" si="16"/>
        <v>1974.6640281358962</v>
      </c>
      <c r="AV16" s="4">
        <f t="shared" si="17"/>
        <v>1953.3945432197968</v>
      </c>
      <c r="AW16" s="4" t="e">
        <f>AG16/(AT15-AT16)</f>
        <v>#DIV/0!</v>
      </c>
      <c r="AX16" s="4">
        <f t="shared" si="19"/>
        <v>-0.18806285228714242</v>
      </c>
      <c r="AY16" s="4">
        <f t="shared" si="20"/>
        <v>0.18806285228714242</v>
      </c>
      <c r="AZ16" s="4" t="e">
        <f t="shared" si="21"/>
        <v>#DIV/0!</v>
      </c>
      <c r="BA16" s="4">
        <f t="shared" si="3"/>
        <v>-7.5240518732405254E-2</v>
      </c>
      <c r="BB16" s="4">
        <f t="shared" si="3"/>
        <v>7.5240518732405254E-2</v>
      </c>
      <c r="BF16" s="6" t="s">
        <v>110</v>
      </c>
      <c r="BG16" s="6" t="s">
        <v>123</v>
      </c>
      <c r="BH16" s="6">
        <v>18</v>
      </c>
      <c r="BI16" s="6">
        <v>0.56309198908332003</v>
      </c>
      <c r="BJ16" s="6">
        <v>0.43263653011808723</v>
      </c>
    </row>
    <row r="17" spans="1:62" s="6" customFormat="1" x14ac:dyDescent="0.35">
      <c r="A17" s="4" t="s">
        <v>112</v>
      </c>
      <c r="B17" s="6" t="s">
        <v>110</v>
      </c>
      <c r="C17" s="6" t="s">
        <v>72</v>
      </c>
      <c r="D17" s="23">
        <v>18</v>
      </c>
      <c r="E17" s="23">
        <v>20</v>
      </c>
      <c r="F17" s="23">
        <f t="shared" si="0"/>
        <v>19</v>
      </c>
      <c r="G17" s="23">
        <f t="shared" si="4"/>
        <v>2</v>
      </c>
      <c r="H17" s="23">
        <f t="shared" si="5"/>
        <v>1</v>
      </c>
      <c r="I17" s="4">
        <f t="shared" si="22"/>
        <v>0.48652731964960727</v>
      </c>
      <c r="J17" s="23">
        <v>4.1333606202585162</v>
      </c>
      <c r="K17" s="23">
        <v>1.1250475500369179</v>
      </c>
      <c r="L17" s="18">
        <f t="shared" si="6"/>
        <v>2.0109928637196141E-3</v>
      </c>
      <c r="M17" s="18">
        <f t="shared" si="7"/>
        <v>4.6502272392409186E-3</v>
      </c>
      <c r="N17" s="26">
        <v>19.483164368759809</v>
      </c>
      <c r="O17" s="26">
        <v>12.5726516955531</v>
      </c>
      <c r="P17" s="4">
        <f t="shared" si="8"/>
        <v>9.4790917386254423E-3</v>
      </c>
      <c r="Q17" s="4">
        <f t="shared" si="8"/>
        <v>6.1169385303255401E-3</v>
      </c>
      <c r="R17" s="4">
        <v>1955.6134560773019</v>
      </c>
      <c r="S17" s="4">
        <f t="shared" si="1"/>
        <v>13.244961376032279</v>
      </c>
      <c r="T17" s="4">
        <v>1968.8584174533341</v>
      </c>
      <c r="U17" s="4">
        <v>1942.3684947012696</v>
      </c>
      <c r="V17" s="4">
        <v>0.23764739721804426</v>
      </c>
      <c r="W17" s="4">
        <v>-0.41415312171679786</v>
      </c>
      <c r="X17" s="4">
        <v>9.2332731623822953E-2</v>
      </c>
      <c r="Y17" s="4">
        <v>0.10281494532400945</v>
      </c>
      <c r="Z17" s="4">
        <v>-0.17917776951712927</v>
      </c>
      <c r="AA17" s="4">
        <v>3.9946512626055343E-2</v>
      </c>
      <c r="AC17" s="4" t="s">
        <v>108</v>
      </c>
      <c r="AD17" s="4">
        <v>18</v>
      </c>
      <c r="AE17" s="4">
        <v>20</v>
      </c>
      <c r="AF17" s="4">
        <v>19</v>
      </c>
      <c r="AG17" s="4">
        <v>2</v>
      </c>
      <c r="AH17" s="4">
        <v>0.43263653011808723</v>
      </c>
      <c r="AI17" s="4">
        <v>3.3307600000000002</v>
      </c>
      <c r="AJ17" s="4">
        <f t="shared" si="9"/>
        <v>0.95164571428571432</v>
      </c>
      <c r="AK17" s="4">
        <v>19.483164368759809</v>
      </c>
      <c r="AL17" s="4">
        <v>12.5726516955531</v>
      </c>
      <c r="AM17" s="4">
        <f t="shared" si="10"/>
        <v>8.4291286282205981E-3</v>
      </c>
      <c r="AN17" s="4">
        <f t="shared" si="11"/>
        <v>5.4393884039473789E-3</v>
      </c>
      <c r="AO17" s="4">
        <f t="shared" si="12"/>
        <v>2.9586946208997213E-5</v>
      </c>
      <c r="AP17" s="4">
        <f t="shared" si="13"/>
        <v>1.6858257256441196E-2</v>
      </c>
      <c r="AQ17" s="7">
        <f>SUM(AP18:$AP$27)</f>
        <v>5.6096478655873208E-2</v>
      </c>
      <c r="AR17" s="4">
        <f t="shared" si="14"/>
        <v>65.307308950020555</v>
      </c>
      <c r="AS17" s="4">
        <f t="shared" si="2"/>
        <v>13.244961376032364</v>
      </c>
      <c r="AT17" s="4">
        <f t="shared" si="15"/>
        <v>1955.6134560773019</v>
      </c>
      <c r="AU17" s="4">
        <f t="shared" si="16"/>
        <v>1968.8584174533341</v>
      </c>
      <c r="AV17" s="4">
        <f t="shared" si="17"/>
        <v>1942.3684947012696</v>
      </c>
      <c r="AW17" s="4">
        <f>AG17/(AT16-AT17)</f>
        <v>0.23764739721804426</v>
      </c>
      <c r="AX17" s="4">
        <f t="shared" si="19"/>
        <v>-0.41415312171679786</v>
      </c>
      <c r="AY17" s="4">
        <f t="shared" si="20"/>
        <v>9.2332731623822953E-2</v>
      </c>
      <c r="AZ17" s="4">
        <f t="shared" si="21"/>
        <v>0.10281494532400945</v>
      </c>
      <c r="BA17" s="4">
        <f t="shared" si="3"/>
        <v>-0.17917776951712927</v>
      </c>
      <c r="BB17" s="4">
        <f t="shared" si="3"/>
        <v>3.9946512626055343E-2</v>
      </c>
      <c r="BF17" s="6" t="s">
        <v>110</v>
      </c>
      <c r="BG17" s="6" t="s">
        <v>123</v>
      </c>
      <c r="BH17" s="6">
        <v>20</v>
      </c>
      <c r="BI17" s="6">
        <v>0.52586442203418582</v>
      </c>
      <c r="BJ17" s="6">
        <v>0.48652731964960727</v>
      </c>
    </row>
    <row r="18" spans="1:62" s="6" customFormat="1" x14ac:dyDescent="0.35">
      <c r="A18" s="4" t="s">
        <v>112</v>
      </c>
      <c r="B18" s="6" t="s">
        <v>110</v>
      </c>
      <c r="C18" s="6" t="s">
        <v>74</v>
      </c>
      <c r="D18" s="23">
        <v>20</v>
      </c>
      <c r="E18" s="23">
        <v>22</v>
      </c>
      <c r="F18" s="23">
        <f t="shared" si="0"/>
        <v>21</v>
      </c>
      <c r="G18" s="23">
        <f t="shared" si="4"/>
        <v>2</v>
      </c>
      <c r="H18" s="23">
        <f t="shared" si="5"/>
        <v>1</v>
      </c>
      <c r="I18" s="4">
        <f t="shared" si="22"/>
        <v>0.53371866421197489</v>
      </c>
      <c r="J18" s="23">
        <v>2.0166149450777398</v>
      </c>
      <c r="K18" s="23">
        <v>0.73923923369371458</v>
      </c>
      <c r="L18" s="18">
        <f t="shared" si="6"/>
        <v>1.0763050347167963E-3</v>
      </c>
      <c r="M18" s="18">
        <f t="shared" si="7"/>
        <v>1.4907608866545608E-3</v>
      </c>
      <c r="N18" s="26">
        <v>-6.0553741327056798</v>
      </c>
      <c r="O18" s="26">
        <v>8.9176611995380668</v>
      </c>
      <c r="P18" s="4">
        <f t="shared" si="8"/>
        <v>-3.2318661934114213E-3</v>
      </c>
      <c r="Q18" s="4">
        <f t="shared" si="8"/>
        <v>4.7595222233124141E-3</v>
      </c>
      <c r="R18" s="4">
        <v>1955.6134560773019</v>
      </c>
      <c r="S18" s="4">
        <f t="shared" si="1"/>
        <v>13.244961376032279</v>
      </c>
      <c r="T18" s="4">
        <v>1968.8584174533341</v>
      </c>
      <c r="U18" s="4">
        <v>1942.3684947012696</v>
      </c>
      <c r="V18" s="4" t="e">
        <v>#DIV/0!</v>
      </c>
      <c r="W18" s="4">
        <v>-0.1510008178369735</v>
      </c>
      <c r="X18" s="4">
        <v>0.1510008178369735</v>
      </c>
      <c r="Y18" s="4" t="e">
        <v>#DIV/0!</v>
      </c>
      <c r="Z18" s="4">
        <v>-7.3466023167121322E-2</v>
      </c>
      <c r="AA18" s="4">
        <v>7.3466023167121322E-2</v>
      </c>
      <c r="AC18" s="4" t="s">
        <v>108</v>
      </c>
      <c r="AD18" s="4">
        <v>20</v>
      </c>
      <c r="AE18" s="4">
        <v>22</v>
      </c>
      <c r="AF18" s="4">
        <v>21</v>
      </c>
      <c r="AG18" s="4">
        <v>2</v>
      </c>
      <c r="AH18" s="4">
        <v>0.48652731964960727</v>
      </c>
      <c r="AI18" s="4">
        <v>2.8707100000000003</v>
      </c>
      <c r="AJ18" s="4">
        <f t="shared" si="9"/>
        <v>0.82020285714285723</v>
      </c>
      <c r="AK18" s="4">
        <v>0</v>
      </c>
      <c r="AL18" s="4">
        <v>8.9176611995380668</v>
      </c>
      <c r="AM18" s="4">
        <f t="shared" si="10"/>
        <v>0</v>
      </c>
      <c r="AN18" s="4">
        <f t="shared" si="11"/>
        <v>4.3386858009545571E-3</v>
      </c>
      <c r="AO18" s="4">
        <f t="shared" si="12"/>
        <v>1.8824194479404685E-5</v>
      </c>
      <c r="AP18" s="4">
        <f>AM18*AG18</f>
        <v>0</v>
      </c>
      <c r="AQ18" s="7">
        <f>SUM(AP19:$AP$27)</f>
        <v>5.6096478655873208E-2</v>
      </c>
      <c r="AR18" s="4">
        <f t="shared" si="14"/>
        <v>65.307308950020555</v>
      </c>
      <c r="AS18" s="4">
        <f t="shared" si="2"/>
        <v>13.244961376032364</v>
      </c>
      <c r="AT18" s="4">
        <f t="shared" si="15"/>
        <v>1955.6134560773019</v>
      </c>
      <c r="AU18" s="4">
        <f t="shared" si="16"/>
        <v>1968.8584174533341</v>
      </c>
      <c r="AV18" s="4">
        <f t="shared" si="17"/>
        <v>1942.3684947012696</v>
      </c>
      <c r="AW18" s="4" t="e">
        <f t="shared" si="18"/>
        <v>#DIV/0!</v>
      </c>
      <c r="AX18" s="4">
        <f t="shared" si="19"/>
        <v>-0.1510008178369735</v>
      </c>
      <c r="AY18" s="4">
        <f t="shared" si="20"/>
        <v>0.1510008178369735</v>
      </c>
      <c r="AZ18" s="4" t="e">
        <f t="shared" si="21"/>
        <v>#DIV/0!</v>
      </c>
      <c r="BA18" s="4">
        <f t="shared" si="3"/>
        <v>-7.3466023167121322E-2</v>
      </c>
      <c r="BB18" s="4">
        <f t="shared" si="3"/>
        <v>7.3466023167121322E-2</v>
      </c>
      <c r="BF18" s="6" t="s">
        <v>110</v>
      </c>
      <c r="BG18" s="6" t="s">
        <v>123</v>
      </c>
      <c r="BH18" s="6">
        <v>22</v>
      </c>
      <c r="BI18" s="6">
        <v>0.46173607664999816</v>
      </c>
      <c r="BJ18" s="6">
        <v>0.53371866421197489</v>
      </c>
    </row>
    <row r="19" spans="1:62" s="6" customFormat="1" x14ac:dyDescent="0.35">
      <c r="A19" s="4" t="s">
        <v>112</v>
      </c>
      <c r="B19" s="6" t="s">
        <v>110</v>
      </c>
      <c r="C19" s="6" t="s">
        <v>75</v>
      </c>
      <c r="D19" s="23">
        <v>22</v>
      </c>
      <c r="E19" s="23">
        <v>24</v>
      </c>
      <c r="F19" s="23">
        <f t="shared" si="0"/>
        <v>23</v>
      </c>
      <c r="G19" s="23">
        <f t="shared" si="4"/>
        <v>2</v>
      </c>
      <c r="H19" s="23">
        <f t="shared" si="5"/>
        <v>1</v>
      </c>
      <c r="I19" s="4">
        <f t="shared" si="22"/>
        <v>0.64159865320111542</v>
      </c>
      <c r="J19" s="23">
        <v>0</v>
      </c>
      <c r="K19" s="23">
        <v>0</v>
      </c>
      <c r="L19" s="18">
        <f t="shared" si="6"/>
        <v>0</v>
      </c>
      <c r="M19" s="18">
        <f t="shared" si="7"/>
        <v>0</v>
      </c>
      <c r="N19" s="26">
        <v>1.2104691205800009</v>
      </c>
      <c r="O19" s="26">
        <v>11.280742116966234</v>
      </c>
      <c r="P19" s="4">
        <f t="shared" si="8"/>
        <v>7.7663535750566713E-4</v>
      </c>
      <c r="Q19" s="4">
        <f t="shared" si="8"/>
        <v>7.2377089493546355E-3</v>
      </c>
      <c r="R19" s="4">
        <v>1954.8671132583825</v>
      </c>
      <c r="S19" s="4">
        <f t="shared" si="1"/>
        <v>13.499699150622973</v>
      </c>
      <c r="T19" s="4">
        <v>1968.3668124090054</v>
      </c>
      <c r="U19" s="4">
        <v>1941.3674141077595</v>
      </c>
      <c r="V19" s="4">
        <v>2.6797336951613135</v>
      </c>
      <c r="W19" s="4">
        <v>-0.15682146314913192</v>
      </c>
      <c r="X19" s="4">
        <v>0.14038987139557374</v>
      </c>
      <c r="Y19" s="4">
        <v>1.4302238882253158</v>
      </c>
      <c r="Z19" s="4">
        <v>-8.3698541831722137E-2</v>
      </c>
      <c r="AA19" s="4">
        <v>7.4928694630136558E-2</v>
      </c>
      <c r="AC19" s="4" t="s">
        <v>108</v>
      </c>
      <c r="AD19" s="4">
        <v>22</v>
      </c>
      <c r="AE19" s="4">
        <v>24</v>
      </c>
      <c r="AF19" s="4">
        <v>23</v>
      </c>
      <c r="AG19" s="4">
        <v>2</v>
      </c>
      <c r="AH19" s="4">
        <v>0.53371866421197489</v>
      </c>
      <c r="AI19" s="4">
        <v>3.7970200000000003</v>
      </c>
      <c r="AJ19" s="4">
        <f t="shared" si="9"/>
        <v>1.0848628571428571</v>
      </c>
      <c r="AK19" s="4">
        <v>1.2104691205800009</v>
      </c>
      <c r="AL19" s="4">
        <v>11.280742116966234</v>
      </c>
      <c r="AM19" s="4">
        <f t="shared" si="10"/>
        <v>6.4604996210580203E-4</v>
      </c>
      <c r="AN19" s="4">
        <f t="shared" si="11"/>
        <v>6.0207426139869845E-3</v>
      </c>
      <c r="AO19" s="4">
        <f t="shared" si="12"/>
        <v>3.6249341623878828E-5</v>
      </c>
      <c r="AP19" s="4">
        <f t="shared" si="13"/>
        <v>1.2920999242116041E-3</v>
      </c>
      <c r="AQ19" s="7">
        <f>SUM(AP20:$AP$27)</f>
        <v>5.48043787316616E-2</v>
      </c>
      <c r="AR19" s="4">
        <f t="shared" si="14"/>
        <v>66.053651768939957</v>
      </c>
      <c r="AS19" s="4">
        <f t="shared" si="2"/>
        <v>13.499699150623023</v>
      </c>
      <c r="AT19" s="4">
        <f t="shared" si="15"/>
        <v>1954.8671132583825</v>
      </c>
      <c r="AU19" s="4">
        <f t="shared" si="16"/>
        <v>1968.3668124090054</v>
      </c>
      <c r="AV19" s="4">
        <f t="shared" si="17"/>
        <v>1941.3674141077595</v>
      </c>
      <c r="AW19" s="4">
        <f t="shared" si="18"/>
        <v>2.6797336951613135</v>
      </c>
      <c r="AX19" s="4">
        <f t="shared" si="19"/>
        <v>-0.15682146314913192</v>
      </c>
      <c r="AY19" s="4">
        <f t="shared" si="20"/>
        <v>0.14038987139557374</v>
      </c>
      <c r="AZ19" s="4">
        <f t="shared" si="21"/>
        <v>1.4302238882253158</v>
      </c>
      <c r="BA19" s="4">
        <f t="shared" si="3"/>
        <v>-8.3698541831722137E-2</v>
      </c>
      <c r="BB19" s="4">
        <f t="shared" si="3"/>
        <v>7.4928694630136558E-2</v>
      </c>
      <c r="BF19" s="6" t="s">
        <v>110</v>
      </c>
      <c r="BG19" s="6" t="s">
        <v>123</v>
      </c>
      <c r="BH19" s="6">
        <v>24</v>
      </c>
      <c r="BI19" s="6">
        <v>0.46491219763187719</v>
      </c>
      <c r="BJ19" s="6">
        <v>0.64159865320111542</v>
      </c>
    </row>
    <row r="20" spans="1:62" s="6" customFormat="1" x14ac:dyDescent="0.35">
      <c r="A20" s="4" t="s">
        <v>112</v>
      </c>
      <c r="B20" s="6" t="s">
        <v>115</v>
      </c>
      <c r="C20" s="6" t="s">
        <v>77</v>
      </c>
      <c r="D20" s="23">
        <v>24</v>
      </c>
      <c r="E20" s="23">
        <v>26</v>
      </c>
      <c r="F20" s="23">
        <f t="shared" si="0"/>
        <v>25</v>
      </c>
      <c r="G20" s="23">
        <f t="shared" si="4"/>
        <v>2</v>
      </c>
      <c r="H20" s="23">
        <f t="shared" si="5"/>
        <v>1</v>
      </c>
      <c r="I20" s="4">
        <f t="shared" si="22"/>
        <v>0.63066379641248216</v>
      </c>
      <c r="J20" s="23">
        <v>0.682914280763814</v>
      </c>
      <c r="K20" s="23">
        <v>0.65651206938558138</v>
      </c>
      <c r="L20" s="18">
        <f t="shared" si="6"/>
        <v>4.3068931293080664E-4</v>
      </c>
      <c r="M20" s="18">
        <f t="shared" si="7"/>
        <v>4.4834146767721742E-4</v>
      </c>
      <c r="N20" s="26">
        <v>-7.7918290588641455</v>
      </c>
      <c r="O20" s="26">
        <v>6.6379951067656142</v>
      </c>
      <c r="P20" s="4">
        <f t="shared" si="8"/>
        <v>-4.91402449526036E-3</v>
      </c>
      <c r="Q20" s="4">
        <f t="shared" si="8"/>
        <v>4.1863431946002824E-3</v>
      </c>
      <c r="R20" s="4">
        <v>1954.8671132583825</v>
      </c>
      <c r="S20" s="4">
        <f t="shared" si="1"/>
        <v>13.499699150622973</v>
      </c>
      <c r="T20" s="4">
        <v>1968.3668124090054</v>
      </c>
      <c r="U20" s="4">
        <v>1941.3674141077595</v>
      </c>
      <c r="V20" s="4" t="e">
        <v>#DIV/0!</v>
      </c>
      <c r="W20" s="4">
        <v>-0.14815144972380406</v>
      </c>
      <c r="X20" s="4">
        <v>0.14815144972380406</v>
      </c>
      <c r="Y20" s="4" t="e">
        <v>#DIV/0!</v>
      </c>
      <c r="Z20" s="4">
        <v>-9.505377061258545E-2</v>
      </c>
      <c r="AA20" s="4">
        <v>9.505377061258545E-2</v>
      </c>
      <c r="AC20" s="4" t="s">
        <v>108</v>
      </c>
      <c r="AD20" s="4">
        <v>24</v>
      </c>
      <c r="AE20" s="4">
        <v>26</v>
      </c>
      <c r="AF20" s="4">
        <v>25</v>
      </c>
      <c r="AG20" s="4">
        <v>2</v>
      </c>
      <c r="AH20" s="4">
        <v>0.64159865320111542</v>
      </c>
      <c r="AI20" s="4">
        <v>3.13165</v>
      </c>
      <c r="AJ20" s="4">
        <f t="shared" si="9"/>
        <v>0.89475714285714292</v>
      </c>
      <c r="AK20" s="4">
        <v>0</v>
      </c>
      <c r="AL20" s="4">
        <v>6.6379951067656142</v>
      </c>
      <c r="AM20" s="4">
        <f t="shared" si="10"/>
        <v>0</v>
      </c>
      <c r="AN20" s="4">
        <f t="shared" si="11"/>
        <v>4.2589287204564128E-3</v>
      </c>
      <c r="AO20" s="4">
        <f t="shared" si="12"/>
        <v>1.8138473845928496E-5</v>
      </c>
      <c r="AP20" s="4">
        <f t="shared" si="13"/>
        <v>0</v>
      </c>
      <c r="AQ20" s="7">
        <f>SUM(AP21:$AP$27)</f>
        <v>5.48043787316616E-2</v>
      </c>
      <c r="AR20" s="4">
        <f t="shared" si="14"/>
        <v>66.053651768939957</v>
      </c>
      <c r="AS20" s="4">
        <f t="shared" si="2"/>
        <v>13.499699150623023</v>
      </c>
      <c r="AT20" s="4">
        <f t="shared" si="15"/>
        <v>1954.8671132583825</v>
      </c>
      <c r="AU20" s="4">
        <f t="shared" si="16"/>
        <v>1968.3668124090054</v>
      </c>
      <c r="AV20" s="4">
        <f t="shared" si="17"/>
        <v>1941.3674141077595</v>
      </c>
      <c r="AW20" s="4" t="e">
        <f t="shared" si="18"/>
        <v>#DIV/0!</v>
      </c>
      <c r="AX20" s="4">
        <f t="shared" si="19"/>
        <v>-0.14815144972380406</v>
      </c>
      <c r="AY20" s="4">
        <f t="shared" si="20"/>
        <v>0.14815144972380406</v>
      </c>
      <c r="AZ20" s="4" t="e">
        <f t="shared" si="21"/>
        <v>#DIV/0!</v>
      </c>
      <c r="BA20" s="4">
        <f t="shared" si="3"/>
        <v>-9.505377061258545E-2</v>
      </c>
      <c r="BB20" s="4">
        <f t="shared" si="3"/>
        <v>9.505377061258545E-2</v>
      </c>
      <c r="BF20" s="6" t="s">
        <v>110</v>
      </c>
      <c r="BG20" s="6" t="s">
        <v>123</v>
      </c>
      <c r="BH20" s="6">
        <v>26</v>
      </c>
      <c r="BI20" s="6">
        <v>0.44811619164334326</v>
      </c>
      <c r="BJ20" s="6">
        <v>0.63066379641248216</v>
      </c>
    </row>
    <row r="21" spans="1:62" s="6" customFormat="1" x14ac:dyDescent="0.35">
      <c r="A21" s="4" t="s">
        <v>112</v>
      </c>
      <c r="B21" s="6" t="s">
        <v>110</v>
      </c>
      <c r="C21" s="6" t="s">
        <v>78</v>
      </c>
      <c r="D21" s="23">
        <v>26</v>
      </c>
      <c r="E21" s="23">
        <v>28</v>
      </c>
      <c r="F21" s="23">
        <f t="shared" si="0"/>
        <v>27</v>
      </c>
      <c r="G21" s="23">
        <f t="shared" si="4"/>
        <v>2</v>
      </c>
      <c r="H21" s="23">
        <f t="shared" si="5"/>
        <v>1</v>
      </c>
      <c r="I21" s="4">
        <f t="shared" si="22"/>
        <v>0.62303324214253231</v>
      </c>
      <c r="J21" s="23">
        <v>1.0109464991222992</v>
      </c>
      <c r="K21" s="23">
        <v>0.76845997249538378</v>
      </c>
      <c r="L21" s="18">
        <f t="shared" si="6"/>
        <v>6.2985327498080884E-4</v>
      </c>
      <c r="M21" s="18">
        <f t="shared" si="7"/>
        <v>7.7687191890982654E-4</v>
      </c>
      <c r="N21" s="26">
        <v>-13.074019293457908</v>
      </c>
      <c r="O21" s="26">
        <v>10.066768993968621</v>
      </c>
      <c r="P21" s="4">
        <f t="shared" si="8"/>
        <v>-8.1455486282371002E-3</v>
      </c>
      <c r="Q21" s="4">
        <f t="shared" si="8"/>
        <v>6.2719317242121882E-3</v>
      </c>
      <c r="R21" s="4">
        <v>1954.8671132583825</v>
      </c>
      <c r="S21" s="4">
        <f t="shared" si="1"/>
        <v>13.499699150622973</v>
      </c>
      <c r="T21" s="4">
        <v>1968.3668124090054</v>
      </c>
      <c r="U21" s="4">
        <v>1941.3674141077595</v>
      </c>
      <c r="V21" s="4" t="e">
        <v>#DIV/0!</v>
      </c>
      <c r="W21" s="4">
        <v>-0.14815144972380406</v>
      </c>
      <c r="X21" s="4">
        <v>0.14815144972380406</v>
      </c>
      <c r="Y21" s="4" t="e">
        <v>#DIV/0!</v>
      </c>
      <c r="Z21" s="4">
        <v>-9.3433755726827258E-2</v>
      </c>
      <c r="AA21" s="4">
        <v>9.3433755726827258E-2</v>
      </c>
      <c r="AC21" s="4" t="s">
        <v>108</v>
      </c>
      <c r="AD21" s="4">
        <v>26</v>
      </c>
      <c r="AE21" s="4">
        <v>28</v>
      </c>
      <c r="AF21" s="4">
        <v>27</v>
      </c>
      <c r="AG21" s="4">
        <v>2</v>
      </c>
      <c r="AH21" s="4">
        <v>0.63066379641248216</v>
      </c>
      <c r="AI21" s="4">
        <v>3.8693099999999996</v>
      </c>
      <c r="AJ21" s="4">
        <f t="shared" si="9"/>
        <v>1.1055171428571426</v>
      </c>
      <c r="AK21" s="4">
        <v>0</v>
      </c>
      <c r="AL21" s="4">
        <v>10.066768993968621</v>
      </c>
      <c r="AM21" s="4">
        <f t="shared" si="10"/>
        <v>0</v>
      </c>
      <c r="AN21" s="4">
        <f t="shared" si="11"/>
        <v>6.3487467513437144E-3</v>
      </c>
      <c r="AO21" s="4">
        <f t="shared" si="12"/>
        <v>4.0306585312697368E-5</v>
      </c>
      <c r="AP21" s="4">
        <f t="shared" si="13"/>
        <v>0</v>
      </c>
      <c r="AQ21" s="7">
        <f>SUM(AP22:$AP$27)</f>
        <v>5.48043787316616E-2</v>
      </c>
      <c r="AR21" s="4">
        <f t="shared" si="14"/>
        <v>66.053651768939957</v>
      </c>
      <c r="AS21" s="4">
        <f t="shared" si="2"/>
        <v>13.499699150623023</v>
      </c>
      <c r="AT21" s="4">
        <f t="shared" si="15"/>
        <v>1954.8671132583825</v>
      </c>
      <c r="AU21" s="4">
        <f t="shared" si="16"/>
        <v>1968.3668124090054</v>
      </c>
      <c r="AV21" s="4">
        <f t="shared" si="17"/>
        <v>1941.3674141077595</v>
      </c>
      <c r="AW21" s="4" t="e">
        <f t="shared" si="18"/>
        <v>#DIV/0!</v>
      </c>
      <c r="AX21" s="4">
        <f t="shared" si="19"/>
        <v>-0.14815144972380406</v>
      </c>
      <c r="AY21" s="4">
        <f t="shared" si="20"/>
        <v>0.14815144972380406</v>
      </c>
      <c r="AZ21" s="4" t="e">
        <f t="shared" si="21"/>
        <v>#DIV/0!</v>
      </c>
      <c r="BA21" s="4">
        <f t="shared" si="3"/>
        <v>-9.3433755726827258E-2</v>
      </c>
      <c r="BB21" s="4">
        <f t="shared" si="3"/>
        <v>9.3433755726827258E-2</v>
      </c>
      <c r="BF21" s="6" t="s">
        <v>110</v>
      </c>
      <c r="BG21" s="6" t="s">
        <v>123</v>
      </c>
      <c r="BH21" s="6">
        <v>28</v>
      </c>
      <c r="BI21" s="6">
        <v>0.47236931519495345</v>
      </c>
      <c r="BJ21" s="6">
        <v>0.62303324214253231</v>
      </c>
    </row>
    <row r="22" spans="1:62" s="6" customFormat="1" x14ac:dyDescent="0.35">
      <c r="A22" s="4" t="s">
        <v>112</v>
      </c>
      <c r="B22" s="6" t="s">
        <v>116</v>
      </c>
      <c r="C22" s="6" t="s">
        <v>80</v>
      </c>
      <c r="D22" s="23">
        <v>28</v>
      </c>
      <c r="E22" s="23">
        <v>30</v>
      </c>
      <c r="F22" s="23">
        <f t="shared" si="0"/>
        <v>29</v>
      </c>
      <c r="G22" s="23">
        <f t="shared" si="4"/>
        <v>2</v>
      </c>
      <c r="H22" s="23">
        <f t="shared" si="5"/>
        <v>1</v>
      </c>
      <c r="I22" s="4">
        <f t="shared" si="22"/>
        <v>0.70565216010109522</v>
      </c>
      <c r="J22" s="23">
        <v>0.46579923242356314</v>
      </c>
      <c r="K22" s="23">
        <v>0.60564006209913612</v>
      </c>
      <c r="L22" s="18">
        <f t="shared" si="6"/>
        <v>3.2869223453311938E-4</v>
      </c>
      <c r="M22" s="18">
        <f t="shared" si="7"/>
        <v>2.8210667605073667E-4</v>
      </c>
      <c r="N22" s="26">
        <v>8.6659574787051952</v>
      </c>
      <c r="O22" s="26">
        <v>11.786275414631829</v>
      </c>
      <c r="P22" s="4">
        <f t="shared" si="8"/>
        <v>6.1151516141925615E-3</v>
      </c>
      <c r="Q22" s="4">
        <f t="shared" si="8"/>
        <v>8.3170107058813808E-3</v>
      </c>
      <c r="R22" s="4">
        <v>1947.8388089836435</v>
      </c>
      <c r="S22" s="4">
        <f t="shared" si="1"/>
        <v>16.094713113690204</v>
      </c>
      <c r="T22" s="4">
        <v>1963.9335220973337</v>
      </c>
      <c r="U22" s="4">
        <v>1931.7440958699533</v>
      </c>
      <c r="V22" s="4">
        <v>0.28456366170548064</v>
      </c>
      <c r="W22" s="4">
        <v>-0.22059450831376243</v>
      </c>
      <c r="X22" s="4">
        <v>8.6493902002634265E-2</v>
      </c>
      <c r="Y22" s="4">
        <v>0.17729262074831637</v>
      </c>
      <c r="Z22" s="4">
        <v>-0.1374377117135612</v>
      </c>
      <c r="AA22" s="4">
        <v>5.3888576190259697E-2</v>
      </c>
      <c r="AC22" s="4" t="s">
        <v>108</v>
      </c>
      <c r="AD22" s="4">
        <v>28</v>
      </c>
      <c r="AE22" s="4">
        <v>30</v>
      </c>
      <c r="AF22" s="4">
        <v>29</v>
      </c>
      <c r="AG22" s="4">
        <v>2</v>
      </c>
      <c r="AH22" s="4">
        <v>0.62303324214253231</v>
      </c>
      <c r="AI22" s="4">
        <v>2.5385</v>
      </c>
      <c r="AJ22" s="4">
        <f t="shared" si="9"/>
        <v>0.72528571428571431</v>
      </c>
      <c r="AK22" s="4">
        <v>8.6659574787051952</v>
      </c>
      <c r="AL22" s="4">
        <v>11.786275414631829</v>
      </c>
      <c r="AM22" s="4">
        <f t="shared" si="10"/>
        <v>5.3991795842270223E-3</v>
      </c>
      <c r="AN22" s="4">
        <f t="shared" si="11"/>
        <v>7.3432413843628882E-3</v>
      </c>
      <c r="AO22" s="4">
        <f t="shared" si="12"/>
        <v>5.3923194029019785E-5</v>
      </c>
      <c r="AP22" s="4">
        <f t="shared" si="13"/>
        <v>1.0798359168454045E-2</v>
      </c>
      <c r="AQ22" s="7">
        <f>SUM(AP23:$AP$27)</f>
        <v>4.4006019563207557E-2</v>
      </c>
      <c r="AR22" s="4">
        <f t="shared" si="14"/>
        <v>73.081956043678929</v>
      </c>
      <c r="AS22" s="4">
        <f t="shared" si="2"/>
        <v>16.094713113690283</v>
      </c>
      <c r="AT22" s="4">
        <f t="shared" si="15"/>
        <v>1947.8388089836435</v>
      </c>
      <c r="AU22" s="4">
        <f t="shared" si="16"/>
        <v>1963.9335220973337</v>
      </c>
      <c r="AV22" s="4">
        <f t="shared" si="17"/>
        <v>1931.7440958699533</v>
      </c>
      <c r="AW22" s="4">
        <f t="shared" si="18"/>
        <v>0.28456366170548064</v>
      </c>
      <c r="AX22" s="4">
        <f t="shared" si="19"/>
        <v>-0.22059450831376243</v>
      </c>
      <c r="AY22" s="4">
        <f t="shared" si="20"/>
        <v>8.6493902002634265E-2</v>
      </c>
      <c r="AZ22" s="4">
        <f t="shared" si="21"/>
        <v>0.17729262074831637</v>
      </c>
      <c r="BA22" s="4">
        <f t="shared" si="3"/>
        <v>-0.1374377117135612</v>
      </c>
      <c r="BB22" s="4">
        <f t="shared" si="3"/>
        <v>5.3888576190259697E-2</v>
      </c>
      <c r="BF22" s="6" t="s">
        <v>110</v>
      </c>
      <c r="BG22" s="6" t="s">
        <v>123</v>
      </c>
      <c r="BH22" s="6">
        <v>30</v>
      </c>
      <c r="BI22" s="6">
        <v>0.46919531132110393</v>
      </c>
      <c r="BJ22" s="6">
        <v>0.70565216010109522</v>
      </c>
    </row>
    <row r="23" spans="1:62" s="6" customFormat="1" x14ac:dyDescent="0.35">
      <c r="A23" s="4" t="s">
        <v>112</v>
      </c>
      <c r="B23" s="6" t="s">
        <v>110</v>
      </c>
      <c r="C23" s="6" t="s">
        <v>81</v>
      </c>
      <c r="D23" s="23">
        <v>30</v>
      </c>
      <c r="E23" s="23">
        <v>32</v>
      </c>
      <c r="F23" s="23">
        <f t="shared" si="0"/>
        <v>31</v>
      </c>
      <c r="G23" s="23">
        <f t="shared" si="4"/>
        <v>2</v>
      </c>
      <c r="H23" s="23">
        <f t="shared" si="5"/>
        <v>1</v>
      </c>
      <c r="I23" s="4">
        <f t="shared" si="22"/>
        <v>0.67403986383987491</v>
      </c>
      <c r="J23" s="23">
        <v>2.3515401871753765</v>
      </c>
      <c r="K23" s="23">
        <v>0.88856470376956442</v>
      </c>
      <c r="L23" s="18">
        <f t="shared" si="6"/>
        <v>1.5850318275776847E-3</v>
      </c>
      <c r="M23" s="18">
        <f t="shared" si="7"/>
        <v>2.0894956098197145E-3</v>
      </c>
      <c r="N23" s="26">
        <v>-11.06192984520996</v>
      </c>
      <c r="O23" s="26">
        <v>9.5774566634013407</v>
      </c>
      <c r="P23" s="4">
        <f t="shared" si="8"/>
        <v>-7.4561816866715704E-3</v>
      </c>
      <c r="Q23" s="4">
        <f t="shared" si="8"/>
        <v>6.455587585331342E-3</v>
      </c>
      <c r="R23" s="4">
        <v>1947.8388089836435</v>
      </c>
      <c r="S23" s="4">
        <f t="shared" si="1"/>
        <v>16.094713113690204</v>
      </c>
      <c r="T23" s="4">
        <v>1963.9335220973337</v>
      </c>
      <c r="U23" s="4">
        <v>1931.7440958699533</v>
      </c>
      <c r="V23" s="4" t="e">
        <v>#DIV/0!</v>
      </c>
      <c r="W23" s="4">
        <v>-0.12426440818623818</v>
      </c>
      <c r="X23" s="4">
        <v>0.12426440818623818</v>
      </c>
      <c r="Y23" s="4" t="e">
        <v>#DIV/0!</v>
      </c>
      <c r="Z23" s="4">
        <v>-8.7687448060303194E-2</v>
      </c>
      <c r="AA23" s="4">
        <v>8.7687448060303194E-2</v>
      </c>
      <c r="AC23" s="4" t="s">
        <v>108</v>
      </c>
      <c r="AD23" s="4">
        <v>30</v>
      </c>
      <c r="AE23" s="4">
        <v>32</v>
      </c>
      <c r="AF23" s="4">
        <v>31</v>
      </c>
      <c r="AG23" s="4">
        <v>2</v>
      </c>
      <c r="AH23" s="4">
        <v>0.70565216010109522</v>
      </c>
      <c r="AI23" s="4">
        <v>3.8449300000000002</v>
      </c>
      <c r="AJ23" s="4">
        <f t="shared" si="9"/>
        <v>1.0985514285714286</v>
      </c>
      <c r="AK23" s="4">
        <v>0</v>
      </c>
      <c r="AL23" s="4">
        <v>9.5774566634013407</v>
      </c>
      <c r="AM23" s="4">
        <f t="shared" si="10"/>
        <v>0</v>
      </c>
      <c r="AN23" s="4">
        <f t="shared" si="11"/>
        <v>6.7583529828037841E-3</v>
      </c>
      <c r="AO23" s="4">
        <f t="shared" si="12"/>
        <v>4.5675335040172803E-5</v>
      </c>
      <c r="AP23" s="4">
        <f t="shared" si="13"/>
        <v>0</v>
      </c>
      <c r="AQ23" s="7">
        <f>SUM(AP24:$AP$27)</f>
        <v>4.4006019563207557E-2</v>
      </c>
      <c r="AR23" s="4">
        <f t="shared" si="14"/>
        <v>73.081956043678929</v>
      </c>
      <c r="AS23" s="4">
        <f t="shared" si="2"/>
        <v>16.094713113690283</v>
      </c>
      <c r="AT23" s="4">
        <f t="shared" si="15"/>
        <v>1947.8388089836435</v>
      </c>
      <c r="AU23" s="4">
        <f t="shared" si="16"/>
        <v>1963.9335220973337</v>
      </c>
      <c r="AV23" s="4">
        <f t="shared" si="17"/>
        <v>1931.7440958699533</v>
      </c>
      <c r="AW23" s="4" t="e">
        <f t="shared" si="18"/>
        <v>#DIV/0!</v>
      </c>
      <c r="AX23" s="4">
        <f t="shared" si="19"/>
        <v>-0.12426440818623818</v>
      </c>
      <c r="AY23" s="4">
        <f t="shared" si="20"/>
        <v>0.12426440818623818</v>
      </c>
      <c r="AZ23" s="4" t="e">
        <f t="shared" si="21"/>
        <v>#DIV/0!</v>
      </c>
      <c r="BA23" s="4">
        <f t="shared" si="21"/>
        <v>-8.7687448060303194E-2</v>
      </c>
      <c r="BB23" s="4">
        <f t="shared" si="21"/>
        <v>8.7687448060303194E-2</v>
      </c>
      <c r="BF23" s="6" t="s">
        <v>110</v>
      </c>
      <c r="BG23" s="6" t="s">
        <v>123</v>
      </c>
      <c r="BH23" s="6">
        <v>32</v>
      </c>
      <c r="BI23" s="6">
        <v>0.4444694006151696</v>
      </c>
      <c r="BJ23" s="6">
        <v>0.67403986383987491</v>
      </c>
    </row>
    <row r="24" spans="1:62" s="6" customFormat="1" x14ac:dyDescent="0.35">
      <c r="A24" s="4" t="s">
        <v>112</v>
      </c>
      <c r="B24" s="6" t="s">
        <v>117</v>
      </c>
      <c r="C24" s="6" t="s">
        <v>83</v>
      </c>
      <c r="D24" s="23">
        <v>32</v>
      </c>
      <c r="E24" s="23">
        <v>34</v>
      </c>
      <c r="F24" s="23">
        <f t="shared" si="0"/>
        <v>33</v>
      </c>
      <c r="G24" s="23">
        <f t="shared" si="4"/>
        <v>2</v>
      </c>
      <c r="H24" s="23">
        <f t="shared" si="5"/>
        <v>1</v>
      </c>
      <c r="I24" s="4">
        <f t="shared" si="22"/>
        <v>0.66805956833068814</v>
      </c>
      <c r="J24" s="23">
        <v>0.67926671612827194</v>
      </c>
      <c r="K24" s="23">
        <v>0.59061649220900447</v>
      </c>
      <c r="L24" s="18">
        <f t="shared" si="6"/>
        <v>4.5379062915805744E-4</v>
      </c>
      <c r="M24" s="18">
        <f t="shared" si="7"/>
        <v>4.011861251540096E-4</v>
      </c>
      <c r="N24" s="26">
        <v>-10.099862565073767</v>
      </c>
      <c r="O24" s="26">
        <v>10.593849473842935</v>
      </c>
      <c r="P24" s="4">
        <f t="shared" si="8"/>
        <v>-6.7473098254224578E-3</v>
      </c>
      <c r="Q24" s="4">
        <f t="shared" si="8"/>
        <v>7.0773225064557988E-3</v>
      </c>
      <c r="R24" s="4">
        <v>1947.8388089836435</v>
      </c>
      <c r="S24" s="4">
        <f t="shared" si="1"/>
        <v>16.094713113690204</v>
      </c>
      <c r="T24" s="4">
        <v>1963.9335220973337</v>
      </c>
      <c r="U24" s="4">
        <v>1931.7440958699533</v>
      </c>
      <c r="V24" s="4" t="e">
        <v>#DIV/0!</v>
      </c>
      <c r="W24" s="4">
        <v>-0.12426440818623818</v>
      </c>
      <c r="X24" s="4">
        <v>0.12426440818623818</v>
      </c>
      <c r="Y24" s="4" t="e">
        <v>#DIV/0!</v>
      </c>
      <c r="Z24" s="4">
        <v>-8.3759164773994629E-2</v>
      </c>
      <c r="AA24" s="4">
        <v>8.3759164773994629E-2</v>
      </c>
      <c r="AC24" s="4" t="s">
        <v>108</v>
      </c>
      <c r="AD24" s="4">
        <v>32</v>
      </c>
      <c r="AE24" s="4">
        <v>34</v>
      </c>
      <c r="AF24" s="4">
        <v>33</v>
      </c>
      <c r="AG24" s="4">
        <v>2</v>
      </c>
      <c r="AH24" s="4">
        <v>0.67403986383987491</v>
      </c>
      <c r="AI24" s="4">
        <v>2.7108500000000011</v>
      </c>
      <c r="AJ24" s="4">
        <f t="shared" si="9"/>
        <v>0.77452857142857179</v>
      </c>
      <c r="AK24" s="4">
        <v>0</v>
      </c>
      <c r="AL24" s="4">
        <v>10.593849473842935</v>
      </c>
      <c r="AM24" s="4">
        <f t="shared" si="10"/>
        <v>0</v>
      </c>
      <c r="AN24" s="4">
        <f t="shared" si="11"/>
        <v>7.1406768568892231E-3</v>
      </c>
      <c r="AO24" s="4">
        <f t="shared" si="12"/>
        <v>5.0989265974513351E-5</v>
      </c>
      <c r="AP24" s="4">
        <f t="shared" si="13"/>
        <v>0</v>
      </c>
      <c r="AQ24" s="7">
        <f>SUM(AP25:$AP$27)</f>
        <v>4.4006019563207557E-2</v>
      </c>
      <c r="AR24" s="4">
        <f t="shared" si="14"/>
        <v>73.081956043678929</v>
      </c>
      <c r="AS24" s="4">
        <f t="shared" si="2"/>
        <v>16.094713113690283</v>
      </c>
      <c r="AT24" s="4">
        <f t="shared" si="15"/>
        <v>1947.8388089836435</v>
      </c>
      <c r="AU24" s="4">
        <f t="shared" si="16"/>
        <v>1963.9335220973337</v>
      </c>
      <c r="AV24" s="4">
        <f t="shared" si="17"/>
        <v>1931.7440958699533</v>
      </c>
      <c r="AW24" s="4" t="e">
        <f t="shared" si="18"/>
        <v>#DIV/0!</v>
      </c>
      <c r="AX24" s="4">
        <f t="shared" si="19"/>
        <v>-0.12426440818623818</v>
      </c>
      <c r="AY24" s="4">
        <f t="shared" si="20"/>
        <v>0.12426440818623818</v>
      </c>
      <c r="AZ24" s="4" t="e">
        <f t="shared" si="21"/>
        <v>#DIV/0!</v>
      </c>
      <c r="BA24" s="4">
        <f t="shared" si="21"/>
        <v>-8.3759164773994629E-2</v>
      </c>
      <c r="BB24" s="4">
        <f t="shared" si="21"/>
        <v>8.3759164773994629E-2</v>
      </c>
      <c r="BF24" s="6" t="s">
        <v>110</v>
      </c>
      <c r="BG24" s="6" t="s">
        <v>123</v>
      </c>
      <c r="BH24" s="6">
        <v>34</v>
      </c>
      <c r="BI24" s="6">
        <v>0.46037880061757641</v>
      </c>
      <c r="BJ24" s="6">
        <v>0.66805956833068814</v>
      </c>
    </row>
    <row r="25" spans="1:62" s="6" customFormat="1" x14ac:dyDescent="0.35">
      <c r="A25" s="4" t="s">
        <v>112</v>
      </c>
      <c r="B25" s="6" t="s">
        <v>110</v>
      </c>
      <c r="C25" s="6" t="s">
        <v>84</v>
      </c>
      <c r="D25" s="23">
        <v>34</v>
      </c>
      <c r="E25" s="23">
        <v>36</v>
      </c>
      <c r="F25" s="23">
        <f t="shared" si="0"/>
        <v>35</v>
      </c>
      <c r="G25" s="23">
        <f t="shared" si="4"/>
        <v>2</v>
      </c>
      <c r="H25" s="23">
        <f t="shared" si="5"/>
        <v>1</v>
      </c>
      <c r="I25" s="4">
        <f t="shared" si="22"/>
        <v>0.67569390759779557</v>
      </c>
      <c r="J25" s="23">
        <v>0.95314385642696908</v>
      </c>
      <c r="K25" s="23">
        <v>0.87852741456034533</v>
      </c>
      <c r="L25" s="18">
        <f t="shared" si="6"/>
        <v>6.4403349685197093E-4</v>
      </c>
      <c r="M25" s="18">
        <f t="shared" si="7"/>
        <v>8.3736300789086216E-4</v>
      </c>
      <c r="N25" s="26">
        <v>-7.5612466077170986</v>
      </c>
      <c r="O25" s="26">
        <v>12.204216780976513</v>
      </c>
      <c r="P25" s="4">
        <f t="shared" si="8"/>
        <v>-5.1090882666789432E-3</v>
      </c>
      <c r="Q25" s="4">
        <f t="shared" si="8"/>
        <v>8.2463149259086096E-3</v>
      </c>
      <c r="R25" s="4">
        <v>1947.8388089836435</v>
      </c>
      <c r="S25" s="4">
        <f t="shared" si="1"/>
        <v>16.094713113690204</v>
      </c>
      <c r="T25" s="4">
        <v>1963.9335220973337</v>
      </c>
      <c r="U25" s="4">
        <v>1931.7440958699533</v>
      </c>
      <c r="V25" s="4" t="e">
        <v>#DIV/0!</v>
      </c>
      <c r="W25" s="4">
        <v>-0.12426440818623818</v>
      </c>
      <c r="X25" s="4">
        <v>0.12426440818623818</v>
      </c>
      <c r="Y25" s="4" t="e">
        <v>#DIV/0!</v>
      </c>
      <c r="Z25" s="4">
        <v>-8.3016026891766709E-2</v>
      </c>
      <c r="AA25" s="4">
        <v>8.3016026891766709E-2</v>
      </c>
      <c r="AC25" s="4" t="s">
        <v>108</v>
      </c>
      <c r="AD25" s="4">
        <v>34</v>
      </c>
      <c r="AE25" s="4">
        <v>36</v>
      </c>
      <c r="AF25" s="4">
        <v>35</v>
      </c>
      <c r="AG25" s="4">
        <v>2</v>
      </c>
      <c r="AH25" s="4">
        <v>0.66805956833068814</v>
      </c>
      <c r="AI25" s="4">
        <v>3.6754600000000002</v>
      </c>
      <c r="AJ25" s="4">
        <f t="shared" si="9"/>
        <v>1.0501314285714287</v>
      </c>
      <c r="AK25" s="4">
        <v>0</v>
      </c>
      <c r="AL25" s="4">
        <v>12.204216780976513</v>
      </c>
      <c r="AM25" s="4">
        <f t="shared" si="10"/>
        <v>0</v>
      </c>
      <c r="AN25" s="4">
        <f t="shared" si="11"/>
        <v>8.1531437945133092E-3</v>
      </c>
      <c r="AO25" s="4">
        <f t="shared" si="12"/>
        <v>6.6473753734010887E-5</v>
      </c>
      <c r="AP25" s="4">
        <f t="shared" si="13"/>
        <v>0</v>
      </c>
      <c r="AQ25" s="7">
        <f>SUM(AP26:$AP$27)</f>
        <v>4.4006019563207557E-2</v>
      </c>
      <c r="AR25" s="4">
        <f t="shared" si="14"/>
        <v>73.081956043678929</v>
      </c>
      <c r="AS25" s="4">
        <f t="shared" si="2"/>
        <v>16.094713113690283</v>
      </c>
      <c r="AT25" s="4">
        <f t="shared" si="15"/>
        <v>1947.8388089836435</v>
      </c>
      <c r="AU25" s="4">
        <f t="shared" si="16"/>
        <v>1963.9335220973337</v>
      </c>
      <c r="AV25" s="4">
        <f t="shared" si="17"/>
        <v>1931.7440958699533</v>
      </c>
      <c r="AW25" s="4" t="e">
        <f t="shared" si="18"/>
        <v>#DIV/0!</v>
      </c>
      <c r="AX25" s="4">
        <f t="shared" si="19"/>
        <v>-0.12426440818623818</v>
      </c>
      <c r="AY25" s="4">
        <f t="shared" si="20"/>
        <v>0.12426440818623818</v>
      </c>
      <c r="AZ25" s="4" t="e">
        <f t="shared" si="21"/>
        <v>#DIV/0!</v>
      </c>
      <c r="BA25" s="4">
        <f t="shared" si="21"/>
        <v>-8.3016026891766709E-2</v>
      </c>
      <c r="BB25" s="4">
        <f t="shared" si="21"/>
        <v>8.3016026891766709E-2</v>
      </c>
      <c r="BF25" s="6" t="s">
        <v>110</v>
      </c>
      <c r="BG25" s="6" t="s">
        <v>123</v>
      </c>
      <c r="BH25" s="6">
        <v>36</v>
      </c>
      <c r="BI25" s="6">
        <v>0.43710073090287627</v>
      </c>
      <c r="BJ25" s="6">
        <v>0.67569390759779557</v>
      </c>
    </row>
    <row r="26" spans="1:62" s="6" customFormat="1" x14ac:dyDescent="0.35">
      <c r="A26" s="4" t="s">
        <v>112</v>
      </c>
      <c r="B26" s="6" t="s">
        <v>118</v>
      </c>
      <c r="C26" s="6" t="s">
        <v>86</v>
      </c>
      <c r="D26" s="23">
        <v>36</v>
      </c>
      <c r="E26" s="23">
        <v>38</v>
      </c>
      <c r="F26" s="23">
        <f t="shared" si="0"/>
        <v>37</v>
      </c>
      <c r="G26" s="23">
        <f t="shared" si="4"/>
        <v>2</v>
      </c>
      <c r="H26" s="23">
        <f t="shared" si="5"/>
        <v>1</v>
      </c>
      <c r="I26" s="4">
        <f t="shared" si="22"/>
        <v>0.73666264181423924</v>
      </c>
      <c r="J26" s="23">
        <v>3.632998489240101</v>
      </c>
      <c r="K26" s="23">
        <v>0.73531649354876605</v>
      </c>
      <c r="L26" s="18">
        <f t="shared" si="6"/>
        <v>2.6762942647907528E-3</v>
      </c>
      <c r="M26" s="18">
        <f t="shared" si="7"/>
        <v>2.6714037101759954E-3</v>
      </c>
      <c r="N26" s="26">
        <v>32.563575805838099</v>
      </c>
      <c r="O26" s="26">
        <v>9.0138374488820663</v>
      </c>
      <c r="P26" s="4">
        <f t="shared" si="8"/>
        <v>2.3988369780046939E-2</v>
      </c>
      <c r="Q26" s="4">
        <f t="shared" si="8"/>
        <v>6.640157307977586E-3</v>
      </c>
      <c r="R26" s="4" t="e">
        <v>#DIV/0!</v>
      </c>
      <c r="S26" s="4" t="e">
        <f t="shared" si="1"/>
        <v>#DIV/0!</v>
      </c>
      <c r="T26" s="4" t="e">
        <v>#DIV/0!</v>
      </c>
      <c r="U26" s="4" t="e">
        <v>#DIV/0!</v>
      </c>
      <c r="V26" s="4" t="e">
        <v>#DIV/0!</v>
      </c>
      <c r="W26" s="4" t="e">
        <v>#DIV/0!</v>
      </c>
      <c r="X26" s="4" t="e">
        <v>#DIV/0!</v>
      </c>
      <c r="Y26" s="4" t="e">
        <v>#DIV/0!</v>
      </c>
      <c r="Z26" s="4" t="e">
        <v>#DIV/0!</v>
      </c>
      <c r="AA26" s="4" t="e">
        <v>#DIV/0!</v>
      </c>
      <c r="AC26" s="4" t="s">
        <v>108</v>
      </c>
      <c r="AD26" s="4">
        <v>36</v>
      </c>
      <c r="AE26" s="4">
        <v>38</v>
      </c>
      <c r="AF26" s="4">
        <v>37</v>
      </c>
      <c r="AG26" s="4">
        <v>2</v>
      </c>
      <c r="AH26" s="4">
        <v>0.67569390759779557</v>
      </c>
      <c r="AI26" s="4">
        <v>3.56365</v>
      </c>
      <c r="AJ26" s="4">
        <f t="shared" si="9"/>
        <v>1.0181857142857142</v>
      </c>
      <c r="AK26" s="4">
        <v>32.563575805838099</v>
      </c>
      <c r="AL26" s="4">
        <v>9.0138374488820663</v>
      </c>
      <c r="AM26" s="4">
        <f t="shared" si="10"/>
        <v>2.2003009781603779E-2</v>
      </c>
      <c r="AN26" s="4">
        <f t="shared" si="11"/>
        <v>6.0905950482864684E-3</v>
      </c>
      <c r="AO26" s="4">
        <f t="shared" si="12"/>
        <v>3.7095348042211651E-5</v>
      </c>
      <c r="AP26" s="4">
        <f t="shared" si="13"/>
        <v>4.4006019563207557E-2</v>
      </c>
      <c r="AQ26" s="7">
        <f>SUM(AP27:$AP$27)</f>
        <v>0</v>
      </c>
      <c r="AR26" s="4" t="e">
        <f t="shared" si="14"/>
        <v>#DIV/0!</v>
      </c>
      <c r="AS26" s="4" t="e">
        <f t="shared" si="2"/>
        <v>#DIV/0!</v>
      </c>
      <c r="AT26" s="4" t="e">
        <f t="shared" si="15"/>
        <v>#DIV/0!</v>
      </c>
      <c r="AU26" s="4" t="e">
        <f t="shared" si="16"/>
        <v>#DIV/0!</v>
      </c>
      <c r="AV26" s="4" t="e">
        <f t="shared" si="17"/>
        <v>#DIV/0!</v>
      </c>
      <c r="AW26" s="4" t="e">
        <f t="shared" si="18"/>
        <v>#DIV/0!</v>
      </c>
      <c r="AX26" s="4" t="e">
        <f t="shared" si="19"/>
        <v>#DIV/0!</v>
      </c>
      <c r="AY26" s="4" t="e">
        <f t="shared" si="20"/>
        <v>#DIV/0!</v>
      </c>
      <c r="AZ26" s="4" t="e">
        <f t="shared" si="21"/>
        <v>#DIV/0!</v>
      </c>
      <c r="BA26" s="4" t="e">
        <f t="shared" si="21"/>
        <v>#DIV/0!</v>
      </c>
      <c r="BB26" s="4" t="e">
        <f t="shared" si="21"/>
        <v>#DIV/0!</v>
      </c>
      <c r="BF26" s="6" t="s">
        <v>110</v>
      </c>
      <c r="BG26" s="6" t="s">
        <v>123</v>
      </c>
      <c r="BH26" s="6">
        <v>38</v>
      </c>
      <c r="BI26" s="6">
        <v>0.43575582575217287</v>
      </c>
      <c r="BJ26" s="6">
        <v>0.73666264181423924</v>
      </c>
    </row>
    <row r="27" spans="1:62" s="6" customFormat="1" x14ac:dyDescent="0.35">
      <c r="A27" s="4" t="s">
        <v>112</v>
      </c>
      <c r="B27" s="6" t="s">
        <v>110</v>
      </c>
      <c r="C27" s="6" t="s">
        <v>87</v>
      </c>
      <c r="D27" s="23">
        <v>38</v>
      </c>
      <c r="E27" s="23">
        <v>40</v>
      </c>
      <c r="F27" s="23">
        <f t="shared" si="0"/>
        <v>39</v>
      </c>
      <c r="G27" s="23">
        <f t="shared" si="4"/>
        <v>2</v>
      </c>
      <c r="H27" s="23">
        <f t="shared" si="5"/>
        <v>1</v>
      </c>
      <c r="I27" s="4">
        <f t="shared" si="22"/>
        <v>0.79325970431352411</v>
      </c>
      <c r="J27" s="23">
        <v>0</v>
      </c>
      <c r="K27" s="23">
        <v>0</v>
      </c>
      <c r="L27" s="18">
        <f t="shared" si="6"/>
        <v>0</v>
      </c>
      <c r="M27" s="18">
        <f t="shared" si="7"/>
        <v>0</v>
      </c>
      <c r="N27" s="26">
        <v>-20.564902308416457</v>
      </c>
      <c r="O27" s="26">
        <v>10.852865303759987</v>
      </c>
      <c r="P27" s="4">
        <f t="shared" si="8"/>
        <v>-1.6313308324410948E-2</v>
      </c>
      <c r="Q27" s="4">
        <f t="shared" si="8"/>
        <v>8.609140721815154E-3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C27" s="31" t="s">
        <v>108</v>
      </c>
      <c r="AD27" s="31">
        <v>38</v>
      </c>
      <c r="AE27" s="31">
        <v>40</v>
      </c>
      <c r="AF27" s="31">
        <v>39</v>
      </c>
      <c r="AG27" s="31">
        <v>2</v>
      </c>
      <c r="AH27" s="31">
        <v>0.73666264181423924</v>
      </c>
      <c r="AI27" s="31">
        <v>3.77928</v>
      </c>
      <c r="AJ27" s="31">
        <f t="shared" si="9"/>
        <v>1.0797942857142857</v>
      </c>
      <c r="AK27" s="31">
        <v>0</v>
      </c>
      <c r="AL27" s="31">
        <v>10.852865303759987</v>
      </c>
      <c r="AM27" s="31">
        <f t="shared" si="10"/>
        <v>0</v>
      </c>
      <c r="AN27" s="31">
        <f t="shared" si="11"/>
        <v>7.9949004259219289E-3</v>
      </c>
      <c r="AO27" s="31">
        <f t="shared" si="12"/>
        <v>6.3918432820406638E-5</v>
      </c>
      <c r="AP27" s="31">
        <f t="shared" si="13"/>
        <v>0</v>
      </c>
      <c r="AQ27" s="32">
        <f>SUM(AP$27:$AP28)</f>
        <v>0</v>
      </c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F27" s="6" t="s">
        <v>110</v>
      </c>
      <c r="BG27" s="6" t="s">
        <v>123</v>
      </c>
      <c r="BH27" s="6">
        <v>40</v>
      </c>
      <c r="BI27" s="6">
        <v>0.42113447478684057</v>
      </c>
      <c r="BJ27" s="6">
        <v>0.79325970431352411</v>
      </c>
    </row>
    <row r="28" spans="1:62" s="6" customFormat="1" x14ac:dyDescent="0.35">
      <c r="A28" s="4" t="s">
        <v>112</v>
      </c>
      <c r="B28" s="6" t="s">
        <v>119</v>
      </c>
      <c r="C28" s="6" t="s">
        <v>89</v>
      </c>
      <c r="D28" s="23">
        <v>40</v>
      </c>
      <c r="E28" s="23">
        <v>42</v>
      </c>
      <c r="F28" s="23">
        <f t="shared" si="0"/>
        <v>41</v>
      </c>
      <c r="G28" s="23">
        <f t="shared" si="4"/>
        <v>2</v>
      </c>
      <c r="H28" s="23">
        <f t="shared" si="5"/>
        <v>1</v>
      </c>
      <c r="I28" s="4">
        <f t="shared" si="22"/>
        <v>0.9468586739706818</v>
      </c>
      <c r="J28" s="23">
        <v>0</v>
      </c>
      <c r="K28" s="23">
        <v>0</v>
      </c>
      <c r="L28" s="18">
        <f t="shared" si="6"/>
        <v>0</v>
      </c>
      <c r="M28" s="18">
        <f t="shared" si="7"/>
        <v>0</v>
      </c>
      <c r="N28" s="26">
        <v>-13.230646472823796</v>
      </c>
      <c r="O28" s="26">
        <v>6.3622664270722753</v>
      </c>
      <c r="P28" s="4">
        <f t="shared" si="8"/>
        <v>-1.2527552375032818E-2</v>
      </c>
      <c r="Q28" s="4">
        <f t="shared" si="8"/>
        <v>6.0241671525858419E-3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C28" s="6" t="s">
        <v>108</v>
      </c>
      <c r="AD28" s="6">
        <v>40</v>
      </c>
      <c r="AE28" s="6">
        <v>42</v>
      </c>
      <c r="AF28" s="6">
        <v>41</v>
      </c>
      <c r="AG28" s="6">
        <v>2</v>
      </c>
      <c r="AH28" s="6">
        <v>0.79325970431352411</v>
      </c>
      <c r="AI28" s="6">
        <v>3.7279100000000005</v>
      </c>
      <c r="AJ28" s="6">
        <f t="shared" si="9"/>
        <v>1.0651171428571431</v>
      </c>
      <c r="AK28" s="6">
        <v>-13.230646472823796</v>
      </c>
      <c r="AL28" s="6">
        <v>6.3622664270722753</v>
      </c>
      <c r="AQ28" s="7"/>
      <c r="BF28" s="6" t="s">
        <v>110</v>
      </c>
      <c r="BG28" s="6" t="s">
        <v>123</v>
      </c>
      <c r="BH28" s="6">
        <v>42</v>
      </c>
      <c r="BI28" s="6">
        <v>0.36471081201193578</v>
      </c>
      <c r="BJ28" s="6">
        <v>0.9468586739706818</v>
      </c>
    </row>
    <row r="29" spans="1:62" s="6" customFormat="1" x14ac:dyDescent="0.35">
      <c r="A29" s="4" t="s">
        <v>112</v>
      </c>
      <c r="B29" s="6" t="s">
        <v>110</v>
      </c>
      <c r="C29" s="6" t="s">
        <v>90</v>
      </c>
      <c r="D29" s="23">
        <v>42</v>
      </c>
      <c r="E29" s="23">
        <v>44</v>
      </c>
      <c r="F29" s="23">
        <f t="shared" si="0"/>
        <v>43</v>
      </c>
      <c r="G29" s="23">
        <f t="shared" si="4"/>
        <v>2</v>
      </c>
      <c r="H29" s="23">
        <f t="shared" si="5"/>
        <v>1</v>
      </c>
      <c r="I29" s="4">
        <f t="shared" si="22"/>
        <v>0.71880502522414846</v>
      </c>
      <c r="J29" s="23">
        <v>0</v>
      </c>
      <c r="K29" s="23">
        <v>0</v>
      </c>
      <c r="L29" s="18">
        <f t="shared" si="6"/>
        <v>0</v>
      </c>
      <c r="M29" s="18">
        <f t="shared" si="7"/>
        <v>0</v>
      </c>
      <c r="N29" s="26">
        <v>-8.8569555815266732</v>
      </c>
      <c r="O29" s="26">
        <v>10.690223539704201</v>
      </c>
      <c r="P29" s="4">
        <f t="shared" si="8"/>
        <v>-6.366424180188443E-3</v>
      </c>
      <c r="Q29" s="4">
        <f t="shared" si="8"/>
        <v>7.684186401108864E-3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C29" s="6" t="s">
        <v>108</v>
      </c>
      <c r="AD29" s="6">
        <v>42</v>
      </c>
      <c r="AE29" s="6">
        <v>44</v>
      </c>
      <c r="AF29" s="6">
        <v>43</v>
      </c>
      <c r="AG29" s="6">
        <v>2</v>
      </c>
      <c r="AH29" s="6">
        <v>0.9468586739706818</v>
      </c>
      <c r="AI29" s="6">
        <v>3.82856</v>
      </c>
      <c r="AJ29" s="6">
        <f t="shared" si="9"/>
        <v>1.0938742857142858</v>
      </c>
      <c r="AK29" s="6">
        <v>-8.8569555815266732</v>
      </c>
      <c r="AL29" s="6">
        <v>10.690223539704201</v>
      </c>
      <c r="AQ29" s="7"/>
      <c r="BF29" s="6" t="s">
        <v>110</v>
      </c>
      <c r="BG29" s="6" t="s">
        <v>123</v>
      </c>
      <c r="BH29" s="6">
        <v>44</v>
      </c>
      <c r="BI29" s="6">
        <v>0.44669240294267615</v>
      </c>
      <c r="BJ29" s="6">
        <v>0.71880502522414846</v>
      </c>
    </row>
    <row r="30" spans="1:62" s="6" customFormat="1" x14ac:dyDescent="0.35">
      <c r="A30" s="4" t="s">
        <v>112</v>
      </c>
      <c r="B30" s="6" t="s">
        <v>120</v>
      </c>
      <c r="C30" s="6" t="s">
        <v>92</v>
      </c>
      <c r="D30" s="23">
        <v>44</v>
      </c>
      <c r="E30" s="23">
        <v>46</v>
      </c>
      <c r="F30" s="23">
        <f t="shared" si="0"/>
        <v>45</v>
      </c>
      <c r="G30" s="23">
        <f t="shared" si="4"/>
        <v>2</v>
      </c>
      <c r="H30" s="23">
        <f t="shared" si="5"/>
        <v>1</v>
      </c>
      <c r="I30" s="4">
        <f t="shared" si="22"/>
        <v>0.77387294887171731</v>
      </c>
      <c r="J30" s="23">
        <v>0</v>
      </c>
      <c r="K30" s="23">
        <v>0</v>
      </c>
      <c r="L30" s="18">
        <f t="shared" si="6"/>
        <v>0</v>
      </c>
      <c r="M30" s="18">
        <f t="shared" si="7"/>
        <v>0</v>
      </c>
      <c r="N30" s="26">
        <v>-3.8209813592055362</v>
      </c>
      <c r="O30" s="26">
        <v>10.007202982408765</v>
      </c>
      <c r="P30" s="4">
        <f t="shared" si="8"/>
        <v>-2.9569541120322506E-3</v>
      </c>
      <c r="Q30" s="4">
        <f t="shared" si="8"/>
        <v>7.7443036819545156E-3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C30" s="6" t="s">
        <v>108</v>
      </c>
      <c r="AD30" s="6">
        <v>44</v>
      </c>
      <c r="AE30" s="6">
        <v>46</v>
      </c>
      <c r="AF30" s="6">
        <v>45</v>
      </c>
      <c r="AG30" s="6">
        <v>2</v>
      </c>
      <c r="AH30" s="6">
        <v>0.71880502522414846</v>
      </c>
      <c r="AI30" s="6">
        <v>2.8635999999999995</v>
      </c>
      <c r="AJ30" s="6">
        <f t="shared" si="9"/>
        <v>0.81817142857142844</v>
      </c>
      <c r="AK30" s="6">
        <v>-3.8209813592055362</v>
      </c>
      <c r="AL30" s="6">
        <v>10.007202982408765</v>
      </c>
      <c r="AQ30" s="7"/>
      <c r="BF30" s="6" t="s">
        <v>110</v>
      </c>
      <c r="BG30" s="6" t="s">
        <v>123</v>
      </c>
      <c r="BH30" s="6">
        <v>46</v>
      </c>
      <c r="BI30" s="6">
        <v>0.42632113535990657</v>
      </c>
      <c r="BJ30" s="6">
        <v>0.77387294887171731</v>
      </c>
    </row>
    <row r="31" spans="1:62" s="6" customFormat="1" x14ac:dyDescent="0.35">
      <c r="A31" s="4" t="s">
        <v>112</v>
      </c>
      <c r="B31" s="6" t="s">
        <v>110</v>
      </c>
      <c r="C31" s="6" t="s">
        <v>93</v>
      </c>
      <c r="D31" s="23">
        <v>46</v>
      </c>
      <c r="E31" s="23">
        <v>48</v>
      </c>
      <c r="F31" s="23">
        <f t="shared" si="0"/>
        <v>47</v>
      </c>
      <c r="G31" s="23">
        <f t="shared" si="4"/>
        <v>2</v>
      </c>
      <c r="H31" s="23">
        <f t="shared" si="5"/>
        <v>1</v>
      </c>
      <c r="I31" s="4">
        <f t="shared" si="22"/>
        <v>1.2067176538334787</v>
      </c>
      <c r="J31" s="23">
        <v>0.35816190483296928</v>
      </c>
      <c r="K31" s="23">
        <v>0.55033953225146803</v>
      </c>
      <c r="L31" s="18">
        <f t="shared" si="6"/>
        <v>4.322002934925704E-4</v>
      </c>
      <c r="M31" s="18">
        <f t="shared" si="7"/>
        <v>1.9711065517607113E-4</v>
      </c>
      <c r="N31" s="26">
        <v>5.168122179872725E-2</v>
      </c>
      <c r="O31" s="26">
        <v>11.028078034533698</v>
      </c>
      <c r="P31" s="4">
        <f t="shared" si="8"/>
        <v>6.2364642716207784E-5</v>
      </c>
      <c r="Q31" s="4">
        <f t="shared" si="8"/>
        <v>1.3307776452125024E-2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C31" s="6" t="s">
        <v>108</v>
      </c>
      <c r="AD31" s="6">
        <v>46</v>
      </c>
      <c r="AE31" s="6">
        <v>48</v>
      </c>
      <c r="AF31" s="6">
        <v>47</v>
      </c>
      <c r="AG31" s="6">
        <v>2</v>
      </c>
      <c r="AH31" s="6">
        <v>0.77387294887171731</v>
      </c>
      <c r="AI31" s="6">
        <v>3.7690900000000003</v>
      </c>
      <c r="AJ31" s="6">
        <f t="shared" si="9"/>
        <v>1.0768828571428573</v>
      </c>
      <c r="AK31" s="6">
        <v>5.168122179872725E-2</v>
      </c>
      <c r="AL31" s="6">
        <v>11.028078034533698</v>
      </c>
      <c r="AQ31" s="7"/>
      <c r="BF31" s="6" t="s">
        <v>110</v>
      </c>
      <c r="BG31" s="6" t="s">
        <v>123</v>
      </c>
      <c r="BH31" s="6">
        <v>48</v>
      </c>
      <c r="BI31" s="6">
        <v>0.2879582087285511</v>
      </c>
      <c r="BJ31" s="6">
        <v>1.2067176538334787</v>
      </c>
    </row>
    <row r="32" spans="1:62" s="6" customFormat="1" x14ac:dyDescent="0.35">
      <c r="A32" s="4" t="s">
        <v>112</v>
      </c>
      <c r="B32" s="6" t="s">
        <v>121</v>
      </c>
      <c r="C32" s="6" t="s">
        <v>95</v>
      </c>
      <c r="D32" s="23">
        <v>48</v>
      </c>
      <c r="E32" s="23">
        <v>50</v>
      </c>
      <c r="F32" s="23">
        <f t="shared" si="0"/>
        <v>49</v>
      </c>
      <c r="G32" s="23">
        <f t="shared" si="4"/>
        <v>2</v>
      </c>
      <c r="H32" s="23">
        <f t="shared" si="5"/>
        <v>1</v>
      </c>
      <c r="I32" s="4">
        <f t="shared" si="22"/>
        <v>1.2317932600033283</v>
      </c>
      <c r="J32" s="23">
        <v>0</v>
      </c>
      <c r="K32" s="23">
        <v>0</v>
      </c>
      <c r="L32" s="18">
        <f t="shared" si="6"/>
        <v>0</v>
      </c>
      <c r="M32" s="18">
        <f t="shared" si="7"/>
        <v>0</v>
      </c>
      <c r="N32" s="26">
        <v>-2.498546687587357</v>
      </c>
      <c r="O32" s="26">
        <v>9.0290372164191055</v>
      </c>
      <c r="P32" s="4">
        <f t="shared" si="8"/>
        <v>-3.077692969573748E-3</v>
      </c>
      <c r="Q32" s="4">
        <f t="shared" si="8"/>
        <v>1.1121907187504266E-2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C32" s="6" t="s">
        <v>108</v>
      </c>
      <c r="AD32" s="6">
        <v>48</v>
      </c>
      <c r="AE32" s="6">
        <v>50</v>
      </c>
      <c r="AF32" s="6">
        <v>49</v>
      </c>
      <c r="AG32" s="6">
        <v>2</v>
      </c>
      <c r="AH32" s="6">
        <v>1.2067176538334787</v>
      </c>
      <c r="AI32" s="6">
        <v>3.05749</v>
      </c>
      <c r="AJ32" s="6">
        <f t="shared" si="9"/>
        <v>0.87356857142857147</v>
      </c>
      <c r="AK32" s="6">
        <v>-2.498546687587357</v>
      </c>
      <c r="AL32" s="6">
        <v>9.0290372164191055</v>
      </c>
      <c r="AQ32" s="7"/>
      <c r="BF32" s="6" t="s">
        <v>110</v>
      </c>
      <c r="BG32" s="6" t="s">
        <v>123</v>
      </c>
      <c r="BH32" s="6">
        <v>50</v>
      </c>
      <c r="BI32" s="6">
        <v>0.18803968972752608</v>
      </c>
      <c r="BJ32" s="6">
        <v>1.2317932600033283</v>
      </c>
    </row>
    <row r="33" spans="1:61" s="6" customFormat="1" x14ac:dyDescent="0.35">
      <c r="A33" s="4" t="s">
        <v>112</v>
      </c>
      <c r="B33" s="6" t="s">
        <v>110</v>
      </c>
      <c r="C33" s="6" t="s">
        <v>96</v>
      </c>
      <c r="D33" s="23">
        <v>50</v>
      </c>
      <c r="E33" s="23">
        <v>52</v>
      </c>
      <c r="F33" s="23">
        <f t="shared" si="0"/>
        <v>51</v>
      </c>
      <c r="G33" s="23">
        <f t="shared" si="4"/>
        <v>2</v>
      </c>
      <c r="H33" s="23">
        <f t="shared" si="5"/>
        <v>1</v>
      </c>
      <c r="I33" s="4">
        <f t="shared" si="22"/>
        <v>0</v>
      </c>
      <c r="J33" s="23">
        <v>0</v>
      </c>
      <c r="K33" s="23">
        <v>0</v>
      </c>
      <c r="L33" s="18">
        <f t="shared" si="6"/>
        <v>0</v>
      </c>
      <c r="M33" s="18">
        <f t="shared" si="7"/>
        <v>0</v>
      </c>
      <c r="N33" s="26">
        <v>-2.1467100338863574</v>
      </c>
      <c r="O33" s="26">
        <v>8.7475893199533914</v>
      </c>
      <c r="P33" s="4">
        <f t="shared" si="8"/>
        <v>0</v>
      </c>
      <c r="Q33" s="4">
        <f t="shared" si="8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C33" s="6" t="s">
        <v>108</v>
      </c>
      <c r="AD33" s="6">
        <v>50</v>
      </c>
      <c r="AE33" s="6">
        <v>52</v>
      </c>
      <c r="AF33" s="6">
        <v>51</v>
      </c>
      <c r="AG33" s="6">
        <v>2</v>
      </c>
      <c r="AH33" s="6">
        <v>1.2317932600033283</v>
      </c>
      <c r="AI33" s="6">
        <v>4.9246799999999995</v>
      </c>
      <c r="AJ33" s="6">
        <f t="shared" si="9"/>
        <v>1.4070514285714284</v>
      </c>
      <c r="AK33" s="6">
        <v>-2.1467100338863574</v>
      </c>
      <c r="AL33" s="6">
        <v>8.7475893199533914</v>
      </c>
      <c r="AQ33" s="7"/>
      <c r="BF33" s="6" t="s">
        <v>110</v>
      </c>
      <c r="BG33" s="6" t="s">
        <v>123</v>
      </c>
      <c r="BH33" s="6">
        <v>52</v>
      </c>
      <c r="BI33" s="6">
        <v>0.21146039389296592</v>
      </c>
    </row>
    <row r="34" spans="1:61" s="6" customFormat="1" x14ac:dyDescent="0.35">
      <c r="A34" s="4" t="s">
        <v>112</v>
      </c>
      <c r="B34" s="6" t="s">
        <v>122</v>
      </c>
      <c r="C34" s="6" t="s">
        <v>98</v>
      </c>
      <c r="D34" s="23">
        <v>52</v>
      </c>
      <c r="E34" s="23">
        <v>54</v>
      </c>
      <c r="F34" s="23">
        <f t="shared" si="0"/>
        <v>53</v>
      </c>
      <c r="G34" s="23">
        <f t="shared" si="4"/>
        <v>2</v>
      </c>
      <c r="H34" s="23">
        <f t="shared" si="5"/>
        <v>1</v>
      </c>
      <c r="I34" s="4">
        <f t="shared" si="22"/>
        <v>0</v>
      </c>
      <c r="J34" s="23">
        <v>0</v>
      </c>
      <c r="K34" s="23">
        <v>0</v>
      </c>
      <c r="L34" s="18">
        <f t="shared" si="6"/>
        <v>0</v>
      </c>
      <c r="M34" s="18">
        <f t="shared" si="7"/>
        <v>0</v>
      </c>
      <c r="N34" s="26">
        <v>-2.5393016102700159</v>
      </c>
      <c r="O34" s="26">
        <v>7.9721445849800396</v>
      </c>
      <c r="P34" s="4">
        <f t="shared" si="8"/>
        <v>0</v>
      </c>
      <c r="Q34" s="4">
        <f t="shared" si="8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C34" s="6" t="s">
        <v>108</v>
      </c>
      <c r="AD34" s="6">
        <v>52</v>
      </c>
      <c r="AE34" s="6">
        <v>54</v>
      </c>
      <c r="AF34" s="6">
        <v>53</v>
      </c>
      <c r="AG34" s="6">
        <v>2</v>
      </c>
      <c r="AI34" s="6">
        <v>3.4249400000000008</v>
      </c>
      <c r="AJ34" s="6">
        <f t="shared" si="9"/>
        <v>0.97855428571428593</v>
      </c>
      <c r="AK34" s="6">
        <v>-2.5393016102700159</v>
      </c>
      <c r="AL34" s="6">
        <v>7.9721445849800396</v>
      </c>
      <c r="AQ34" s="7"/>
    </row>
    <row r="35" spans="1:61" s="6" customFormat="1" ht="16.5" x14ac:dyDescent="0.35">
      <c r="D35" s="6" t="s">
        <v>17</v>
      </c>
      <c r="E35" s="6" t="s">
        <v>47</v>
      </c>
      <c r="F35" s="6" t="s">
        <v>48</v>
      </c>
      <c r="G35" s="6" t="s">
        <v>9</v>
      </c>
      <c r="H35" s="6" t="s">
        <v>106</v>
      </c>
      <c r="I35" s="6" t="s">
        <v>50</v>
      </c>
      <c r="J35" s="6" t="s">
        <v>107</v>
      </c>
      <c r="K35" s="6" t="s">
        <v>51</v>
      </c>
      <c r="W35"/>
      <c r="X35"/>
      <c r="AQ35" s="7"/>
    </row>
    <row r="36" spans="1:61" s="6" customFormat="1" x14ac:dyDescent="0.35">
      <c r="B36" s="19" t="s">
        <v>45</v>
      </c>
      <c r="C36" s="19" t="s">
        <v>46</v>
      </c>
      <c r="D36" s="6">
        <v>15</v>
      </c>
      <c r="E36" s="6">
        <v>1963</v>
      </c>
      <c r="F36" s="20">
        <f>R2-E36</f>
        <v>57.920765027322432</v>
      </c>
      <c r="G36" s="21">
        <f>D36/F36</f>
        <v>0.25897447992829836</v>
      </c>
      <c r="H36" s="11">
        <f>G36-((D36-1)/F36)</f>
        <v>1.7264965328553206E-2</v>
      </c>
      <c r="I36" s="6">
        <f>G36*K36</f>
        <v>8.2551100465265537E-2</v>
      </c>
      <c r="J36" s="6">
        <f>H36*K36</f>
        <v>5.5034066976843632E-3</v>
      </c>
      <c r="K36" s="6">
        <f>AVERAGE(AH7:AH15)</f>
        <v>0.31876152618636888</v>
      </c>
      <c r="W36"/>
      <c r="X36"/>
      <c r="AI36" s="6" t="s">
        <v>13</v>
      </c>
      <c r="AM36" s="6" t="s">
        <v>0</v>
      </c>
      <c r="AN36" s="6">
        <v>3.1222845971168707E-2</v>
      </c>
      <c r="AP36" s="6" t="s">
        <v>1</v>
      </c>
      <c r="AQ36" s="7">
        <v>0.43101939523611821</v>
      </c>
      <c r="AR36" s="6" t="s">
        <v>2</v>
      </c>
      <c r="AT36" s="6">
        <v>2020.9207650273224</v>
      </c>
      <c r="AU36" s="6" t="s">
        <v>31</v>
      </c>
    </row>
    <row r="37" spans="1:61" s="6" customFormat="1" ht="29" x14ac:dyDescent="0.35">
      <c r="W37"/>
      <c r="X37"/>
      <c r="AC37" s="6" t="s">
        <v>20</v>
      </c>
      <c r="AD37" s="6" t="s">
        <v>5</v>
      </c>
      <c r="AE37" s="6" t="s">
        <v>6</v>
      </c>
      <c r="AF37" s="6" t="s">
        <v>7</v>
      </c>
      <c r="AG37" s="6" t="s">
        <v>8</v>
      </c>
      <c r="AH37" s="6" t="s">
        <v>124</v>
      </c>
      <c r="AI37" s="6" t="s">
        <v>105</v>
      </c>
      <c r="AJ37" s="6" t="s">
        <v>125</v>
      </c>
      <c r="AK37" s="6" t="s">
        <v>22</v>
      </c>
      <c r="AL37" s="6" t="s">
        <v>14</v>
      </c>
      <c r="AM37" s="6" t="s">
        <v>25</v>
      </c>
      <c r="AN37" s="6" t="s">
        <v>24</v>
      </c>
      <c r="AO37" s="6" t="s">
        <v>53</v>
      </c>
      <c r="AP37" s="6" t="s">
        <v>52</v>
      </c>
      <c r="AQ37" s="7" t="s">
        <v>26</v>
      </c>
      <c r="AR37" s="6" t="s">
        <v>27</v>
      </c>
      <c r="AS37" s="6" t="s">
        <v>28</v>
      </c>
      <c r="AT37" s="6" t="s">
        <v>23</v>
      </c>
      <c r="AU37" s="6" t="s">
        <v>29</v>
      </c>
      <c r="AV37" s="6" t="s">
        <v>30</v>
      </c>
      <c r="AW37" s="6" t="s">
        <v>9</v>
      </c>
      <c r="AX37" s="6" t="s">
        <v>34</v>
      </c>
      <c r="AY37" s="6" t="s">
        <v>35</v>
      </c>
      <c r="AZ37" s="6" t="s">
        <v>10</v>
      </c>
      <c r="BA37" s="6" t="s">
        <v>54</v>
      </c>
      <c r="BB37" s="6" t="s">
        <v>55</v>
      </c>
    </row>
    <row r="38" spans="1:61" s="6" customFormat="1" x14ac:dyDescent="0.35">
      <c r="W38"/>
      <c r="X38"/>
      <c r="AC38" s="6" t="s">
        <v>108</v>
      </c>
      <c r="AE38" s="6">
        <v>0</v>
      </c>
      <c r="AG38" s="6">
        <v>0</v>
      </c>
      <c r="AM38" s="6">
        <v>0</v>
      </c>
      <c r="AN38" s="6">
        <v>0</v>
      </c>
      <c r="AO38" s="6">
        <v>0</v>
      </c>
      <c r="AP38" s="6">
        <v>0</v>
      </c>
      <c r="AQ38" s="7">
        <v>0.43101939523611821</v>
      </c>
      <c r="AR38" s="6">
        <v>0</v>
      </c>
      <c r="AS38" s="6">
        <v>0</v>
      </c>
      <c r="AT38" s="6">
        <v>2020.9207650273224</v>
      </c>
      <c r="AU38" s="6">
        <v>2020.9207650273224</v>
      </c>
      <c r="AV38" s="6">
        <v>2020.9207650273224</v>
      </c>
    </row>
    <row r="39" spans="1:61" s="6" customFormat="1" x14ac:dyDescent="0.35">
      <c r="W39"/>
      <c r="X39"/>
      <c r="AC39" s="6" t="s">
        <v>108</v>
      </c>
      <c r="AD39" s="6">
        <v>0</v>
      </c>
      <c r="AE39" s="6">
        <v>2</v>
      </c>
      <c r="AF39" s="6">
        <v>1</v>
      </c>
      <c r="AG39" s="6">
        <v>2</v>
      </c>
      <c r="AH39" s="6">
        <v>0.28532065574273341</v>
      </c>
      <c r="AI39" s="6">
        <v>2.5867</v>
      </c>
      <c r="AJ39" s="6">
        <v>0.73905714285714286</v>
      </c>
      <c r="AK39" s="6">
        <v>141.40922085911814</v>
      </c>
      <c r="AL39" s="6">
        <v>13.876384996150833</v>
      </c>
      <c r="AM39" s="6">
        <v>4.0346971623592603E-2</v>
      </c>
      <c r="AN39" s="6">
        <v>3.9592192664403827E-3</v>
      </c>
      <c r="AO39" s="6">
        <v>1.5675417199752723E-5</v>
      </c>
      <c r="AP39" s="6">
        <v>8.0693943247185207E-2</v>
      </c>
      <c r="AQ39" s="7">
        <v>0.350325451988933</v>
      </c>
      <c r="AR39" s="6">
        <v>6.6390650159228164</v>
      </c>
      <c r="AS39" s="6">
        <v>2.2674890094287905</v>
      </c>
      <c r="AT39" s="6">
        <v>2014.2817000113996</v>
      </c>
      <c r="AU39" s="6">
        <v>2016.5491890208284</v>
      </c>
      <c r="AV39" s="6">
        <v>2012.0142110019708</v>
      </c>
      <c r="AW39" s="4">
        <f>AG39/(AT38-AT39)</f>
        <v>0.30124723815827881</v>
      </c>
      <c r="AX39" s="4">
        <f>AG39/(AT38-AU39)</f>
        <v>0.45750090974718916</v>
      </c>
      <c r="AY39" s="4">
        <f>AG39/(AT38-AV39)</f>
        <v>0.22455373810198623</v>
      </c>
      <c r="AZ39" s="4">
        <f>AW39*$AH39</f>
        <v>8.5952059532007491E-2</v>
      </c>
      <c r="BA39" s="4">
        <f>AX39*$AH39</f>
        <v>0.13053445957196511</v>
      </c>
      <c r="BB39" s="4">
        <f>AY39*$AH39</f>
        <v>6.4069819804740732E-2</v>
      </c>
    </row>
    <row r="40" spans="1:61" s="6" customFormat="1" x14ac:dyDescent="0.35">
      <c r="R40"/>
      <c r="S40"/>
      <c r="T40"/>
      <c r="U40"/>
      <c r="V40"/>
      <c r="W40"/>
      <c r="X40"/>
      <c r="Y40"/>
      <c r="Z40"/>
      <c r="AA40"/>
      <c r="AB40"/>
      <c r="AC40" s="6" t="s">
        <v>108</v>
      </c>
      <c r="AD40" s="6">
        <v>2</v>
      </c>
      <c r="AE40" s="6">
        <v>3</v>
      </c>
      <c r="AF40" s="6">
        <v>2.5</v>
      </c>
      <c r="AG40" s="6">
        <v>1</v>
      </c>
      <c r="AH40" s="6">
        <v>0.31184591582398724</v>
      </c>
      <c r="AI40" s="6">
        <v>2.8995200000000003</v>
      </c>
      <c r="AJ40" s="6">
        <v>0.82843428571428579</v>
      </c>
      <c r="AK40" s="6">
        <v>105.61492733539936</v>
      </c>
      <c r="AL40" s="6">
        <v>16.547874870564829</v>
      </c>
      <c r="AM40" s="6">
        <v>3.2935583739591476E-2</v>
      </c>
      <c r="AN40" s="6">
        <v>5.160387193952033E-3</v>
      </c>
      <c r="AO40" s="6">
        <v>2.6629595991504137E-5</v>
      </c>
      <c r="AP40" s="6">
        <v>3.2935583739591476E-2</v>
      </c>
      <c r="AQ40" s="7">
        <v>0.31738986824934151</v>
      </c>
      <c r="AR40" s="6">
        <v>9.8012270700253517</v>
      </c>
      <c r="AS40" s="6">
        <v>2.4938487083889909</v>
      </c>
      <c r="AT40" s="6">
        <v>2011.1195379572971</v>
      </c>
      <c r="AU40" s="6">
        <v>2013.613386665686</v>
      </c>
      <c r="AV40" s="6">
        <v>2008.6256892489082</v>
      </c>
      <c r="AW40" s="4">
        <f t="shared" ref="AW40:AW50" si="23">AG40/(AT39-AT40)</f>
        <v>0.31623932704607127</v>
      </c>
      <c r="AX40" s="4">
        <f t="shared" ref="AX40:AX50" si="24">AG40/(AT39-AU40)</f>
        <v>1.4963041010833278</v>
      </c>
      <c r="AY40" s="4">
        <f t="shared" ref="AY40:AY50" si="25">AG40/(AT39-AV40)</f>
        <v>0.17680305819635886</v>
      </c>
      <c r="AZ40" s="4">
        <f t="shared" ref="AZ40:AZ50" si="26">AW40*$AH40</f>
        <v>9.8617942562243516E-2</v>
      </c>
      <c r="BA40" s="4">
        <f t="shared" ref="BA40:BA50" si="27">AX40*$AH40</f>
        <v>0.46661632275351833</v>
      </c>
      <c r="BB40" s="4">
        <f t="shared" ref="BB40:BB50" si="28">AY40*$AH40</f>
        <v>5.5135311603725243E-2</v>
      </c>
    </row>
    <row r="41" spans="1:61" s="6" customFormat="1" x14ac:dyDescent="0.35">
      <c r="R41"/>
      <c r="S41"/>
      <c r="T41"/>
      <c r="U41"/>
      <c r="V41"/>
      <c r="W41"/>
      <c r="X41"/>
      <c r="Y41"/>
      <c r="Z41"/>
      <c r="AA41"/>
      <c r="AB41"/>
      <c r="AC41" s="6" t="s">
        <v>108</v>
      </c>
      <c r="AD41" s="6">
        <v>3</v>
      </c>
      <c r="AE41" s="6">
        <v>4</v>
      </c>
      <c r="AF41" s="6">
        <v>3.5</v>
      </c>
      <c r="AG41" s="6">
        <v>1</v>
      </c>
      <c r="AH41" s="6">
        <v>0.29191412079146967</v>
      </c>
      <c r="AI41" s="6">
        <v>2.8683599999999996</v>
      </c>
      <c r="AJ41" s="6">
        <v>0.81953142857142847</v>
      </c>
      <c r="AK41" s="6">
        <v>88.180600465007956</v>
      </c>
      <c r="AL41" s="6">
        <v>16.893016662531032</v>
      </c>
      <c r="AM41" s="6">
        <v>2.5741162455606658E-2</v>
      </c>
      <c r="AN41" s="6">
        <v>4.9313101065583927E-3</v>
      </c>
      <c r="AO41" s="6">
        <v>2.4317819367044948E-5</v>
      </c>
      <c r="AP41" s="6">
        <v>2.5741162455606658E-2</v>
      </c>
      <c r="AQ41" s="7">
        <v>0.29164870579373486</v>
      </c>
      <c r="AR41" s="6">
        <v>12.510168814917504</v>
      </c>
      <c r="AS41" s="6">
        <v>2.704909693594173</v>
      </c>
      <c r="AT41" s="6">
        <v>2008.4105962124049</v>
      </c>
      <c r="AU41" s="6">
        <v>2011.115505905999</v>
      </c>
      <c r="AV41" s="6">
        <v>2005.7056865188108</v>
      </c>
      <c r="AW41" s="4">
        <f t="shared" si="23"/>
        <v>0.36914784228400022</v>
      </c>
      <c r="AX41" s="4">
        <f t="shared" si="24"/>
        <v>248.01271761660428</v>
      </c>
      <c r="AY41" s="4">
        <f t="shared" si="25"/>
        <v>0.18471138548264254</v>
      </c>
      <c r="AZ41" s="4">
        <f t="shared" si="26"/>
        <v>0.10775946782240203</v>
      </c>
      <c r="BA41" s="4">
        <f t="shared" si="27"/>
        <v>72.398414408154082</v>
      </c>
      <c r="BB41" s="4">
        <f t="shared" si="28"/>
        <v>5.3919861693339829E-2</v>
      </c>
    </row>
    <row r="42" spans="1:61" s="6" customFormat="1" x14ac:dyDescent="0.35">
      <c r="R42"/>
      <c r="S42"/>
      <c r="T42"/>
      <c r="U42"/>
      <c r="V42"/>
      <c r="W42"/>
      <c r="X42"/>
      <c r="Y42"/>
      <c r="Z42"/>
      <c r="AA42"/>
      <c r="AB42"/>
      <c r="AC42" s="6" t="s">
        <v>108</v>
      </c>
      <c r="AD42" s="6">
        <v>4</v>
      </c>
      <c r="AE42" s="6">
        <v>6</v>
      </c>
      <c r="AF42" s="6">
        <v>5</v>
      </c>
      <c r="AG42" s="6">
        <v>2</v>
      </c>
      <c r="AH42" s="6">
        <v>0.28606630018280288</v>
      </c>
      <c r="AI42" s="6">
        <v>2.9299799999999996</v>
      </c>
      <c r="AJ42" s="6">
        <v>0.83713714285714269</v>
      </c>
      <c r="AK42" s="6">
        <v>68.949687839303948</v>
      </c>
      <c r="AL42" s="6">
        <v>10.592463794817853</v>
      </c>
      <c r="AM42" s="6">
        <v>1.9724182098948877E-2</v>
      </c>
      <c r="AN42" s="6">
        <v>3.0301469276038354E-3</v>
      </c>
      <c r="AO42" s="6">
        <v>9.1817904028669624E-6</v>
      </c>
      <c r="AP42" s="6">
        <v>3.9448364197897753E-2</v>
      </c>
      <c r="AQ42" s="7">
        <v>0.2522003415958371</v>
      </c>
      <c r="AR42" s="6">
        <v>17.164652835939563</v>
      </c>
      <c r="AS42" s="6">
        <v>3.1080810262427594</v>
      </c>
      <c r="AT42" s="6">
        <v>2003.756112191383</v>
      </c>
      <c r="AU42" s="6">
        <v>2006.8641932176258</v>
      </c>
      <c r="AV42" s="6">
        <v>2000.6480311651401</v>
      </c>
      <c r="AW42" s="4">
        <f t="shared" si="23"/>
        <v>0.42969317135196988</v>
      </c>
      <c r="AX42" s="4">
        <f t="shared" si="24"/>
        <v>1.2933239309237723</v>
      </c>
      <c r="AY42" s="4">
        <f t="shared" si="25"/>
        <v>0.25764679430347631</v>
      </c>
      <c r="AZ42" s="4">
        <f t="shared" si="26"/>
        <v>0.12292073574247317</v>
      </c>
      <c r="BA42" s="4">
        <f t="shared" si="27"/>
        <v>0.36997639185724246</v>
      </c>
      <c r="BB42" s="4">
        <f t="shared" si="28"/>
        <v>7.3704065200355121E-2</v>
      </c>
    </row>
    <row r="43" spans="1:61" s="6" customFormat="1" x14ac:dyDescent="0.35">
      <c r="R43"/>
      <c r="S43"/>
      <c r="T43"/>
      <c r="U43"/>
      <c r="V43"/>
      <c r="W43"/>
      <c r="X43"/>
      <c r="Y43"/>
      <c r="Z43"/>
      <c r="AA43"/>
      <c r="AB43"/>
      <c r="AC43" s="6" t="s">
        <v>108</v>
      </c>
      <c r="AD43" s="6">
        <v>6</v>
      </c>
      <c r="AE43" s="6">
        <v>8</v>
      </c>
      <c r="AF43" s="6">
        <v>7</v>
      </c>
      <c r="AG43" s="6">
        <v>2</v>
      </c>
      <c r="AH43" s="6">
        <v>0.29998373473171419</v>
      </c>
      <c r="AI43" s="6">
        <v>2.9969300000000003</v>
      </c>
      <c r="AJ43" s="6">
        <v>0.85626571428571441</v>
      </c>
      <c r="AK43" s="6">
        <v>74.12479471431277</v>
      </c>
      <c r="AL43" s="6">
        <v>14.047667526302291</v>
      </c>
      <c r="AM43" s="6">
        <v>2.2236232754621173E-2</v>
      </c>
      <c r="AN43" s="6">
        <v>4.2140717688095818E-3</v>
      </c>
      <c r="AO43" s="6">
        <v>1.7758400872677916E-5</v>
      </c>
      <c r="AP43" s="6">
        <v>4.4472465509242345E-2</v>
      </c>
      <c r="AQ43" s="7">
        <v>0.20772787608659476</v>
      </c>
      <c r="AR43" s="6">
        <v>23.377886667121029</v>
      </c>
      <c r="AS43" s="6">
        <v>3.7360267528964783</v>
      </c>
      <c r="AT43" s="6">
        <v>1997.5428783602015</v>
      </c>
      <c r="AU43" s="6">
        <v>2001.2789051130981</v>
      </c>
      <c r="AV43" s="6">
        <v>1993.8068516073049</v>
      </c>
      <c r="AW43" s="4">
        <f t="shared" si="23"/>
        <v>0.32189356691565119</v>
      </c>
      <c r="AX43" s="4">
        <f t="shared" si="24"/>
        <v>0.80736084501450378</v>
      </c>
      <c r="AY43" s="4">
        <f t="shared" si="25"/>
        <v>0.20101996355393792</v>
      </c>
      <c r="AZ43" s="4">
        <f t="shared" si="26"/>
        <v>9.6562834389469998E-2</v>
      </c>
      <c r="BA43" s="4">
        <f t="shared" si="27"/>
        <v>0.24219512156360351</v>
      </c>
      <c r="BB43" s="4">
        <f t="shared" si="28"/>
        <v>6.0302719422543366E-2</v>
      </c>
    </row>
    <row r="44" spans="1:61" s="6" customFormat="1" x14ac:dyDescent="0.35">
      <c r="R44"/>
      <c r="S44"/>
      <c r="T44"/>
      <c r="U44"/>
      <c r="V44"/>
      <c r="W44"/>
      <c r="X44"/>
      <c r="Y44"/>
      <c r="Z44"/>
      <c r="AA44"/>
      <c r="AB44"/>
      <c r="AC44" s="6" t="s">
        <v>108</v>
      </c>
      <c r="AD44" s="6">
        <v>8</v>
      </c>
      <c r="AE44" s="6">
        <v>10</v>
      </c>
      <c r="AF44" s="6">
        <v>9</v>
      </c>
      <c r="AG44" s="6">
        <v>2</v>
      </c>
      <c r="AH44" s="6">
        <v>0.33511607834960772</v>
      </c>
      <c r="AI44" s="6">
        <v>2.4573800000000001</v>
      </c>
      <c r="AJ44" s="6">
        <v>0.70210857142857142</v>
      </c>
      <c r="AK44" s="6">
        <v>61.839998491731528</v>
      </c>
      <c r="AL44" s="6">
        <v>12.290509243749032</v>
      </c>
      <c r="AM44" s="6">
        <v>2.0723577779694725E-2</v>
      </c>
      <c r="AN44" s="6">
        <v>4.1187472586847783E-3</v>
      </c>
      <c r="AO44" s="6">
        <v>1.6964078980923376E-5</v>
      </c>
      <c r="AP44" s="6">
        <v>4.1447155559389451E-2</v>
      </c>
      <c r="AQ44" s="7">
        <v>0.16628072052720533</v>
      </c>
      <c r="AR44" s="6">
        <v>30.505727854765997</v>
      </c>
      <c r="AS44" s="6">
        <v>4.6031613628457428</v>
      </c>
      <c r="AT44" s="6">
        <v>1990.4150371725564</v>
      </c>
      <c r="AU44" s="6">
        <v>1995.018198535402</v>
      </c>
      <c r="AV44" s="6">
        <v>1985.8118758097107</v>
      </c>
      <c r="AW44" s="4">
        <f t="shared" si="23"/>
        <v>0.28058986547941822</v>
      </c>
      <c r="AX44" s="4">
        <f t="shared" si="24"/>
        <v>0.79217965793300138</v>
      </c>
      <c r="AY44" s="4">
        <f t="shared" si="25"/>
        <v>0.17048841234088144</v>
      </c>
      <c r="AZ44" s="4">
        <f t="shared" si="26"/>
        <v>9.4030175344106612E-2</v>
      </c>
      <c r="BA44" s="4">
        <f t="shared" si="27"/>
        <v>0.26547214031484112</v>
      </c>
      <c r="BB44" s="4">
        <f t="shared" si="28"/>
        <v>5.7133408147727049E-2</v>
      </c>
    </row>
    <row r="45" spans="1:61" s="6" customFormat="1" x14ac:dyDescent="0.35">
      <c r="R45"/>
      <c r="S45"/>
      <c r="T45"/>
      <c r="U45"/>
      <c r="V45"/>
      <c r="W45"/>
      <c r="X45"/>
      <c r="Y45"/>
      <c r="Z45"/>
      <c r="AA45"/>
      <c r="AB45"/>
      <c r="AC45" s="6" t="s">
        <v>108</v>
      </c>
      <c r="AD45" s="6">
        <v>10</v>
      </c>
      <c r="AE45" s="6">
        <v>12</v>
      </c>
      <c r="AF45" s="6">
        <v>11</v>
      </c>
      <c r="AG45" s="6">
        <v>2</v>
      </c>
      <c r="AH45" s="6">
        <v>0.35413568906711634</v>
      </c>
      <c r="AI45" s="6">
        <v>3.1320900000000003</v>
      </c>
      <c r="AJ45" s="6">
        <v>0.8948828571428572</v>
      </c>
      <c r="AK45" s="6">
        <v>68.438482113930789</v>
      </c>
      <c r="AL45" s="6">
        <v>15.675487344881377</v>
      </c>
      <c r="AM45" s="6">
        <v>2.4236509022124399E-2</v>
      </c>
      <c r="AN45" s="6">
        <v>5.5512495123424283E-3</v>
      </c>
      <c r="AO45" s="6">
        <v>3.0816371148282048E-5</v>
      </c>
      <c r="AP45" s="6">
        <v>4.8473018044248799E-2</v>
      </c>
      <c r="AQ45" s="7">
        <v>0.11780770248295652</v>
      </c>
      <c r="AR45" s="6">
        <v>41.543280060175597</v>
      </c>
      <c r="AS45" s="6">
        <v>6.3204831758247622</v>
      </c>
      <c r="AT45" s="6">
        <v>1979.3774849671468</v>
      </c>
      <c r="AU45" s="6">
        <v>1985.6979681429716</v>
      </c>
      <c r="AV45" s="6">
        <v>1973.0570017913219</v>
      </c>
      <c r="AW45" s="4">
        <f t="shared" si="23"/>
        <v>0.18119959595930887</v>
      </c>
      <c r="AX45" s="4">
        <f t="shared" si="24"/>
        <v>0.42399209921591013</v>
      </c>
      <c r="AY45" s="4">
        <f t="shared" si="25"/>
        <v>0.11522041268346379</v>
      </c>
      <c r="AZ45" s="4">
        <f t="shared" si="26"/>
        <v>6.4169243773732912E-2</v>
      </c>
      <c r="BA45" s="4">
        <f t="shared" si="27"/>
        <v>0.15015073421483949</v>
      </c>
      <c r="BB45" s="4">
        <f t="shared" si="28"/>
        <v>4.080366024025596E-2</v>
      </c>
    </row>
    <row r="46" spans="1:61" s="6" customFormat="1" x14ac:dyDescent="0.35">
      <c r="R46"/>
      <c r="S46"/>
      <c r="T46"/>
      <c r="U46"/>
      <c r="V46"/>
      <c r="W46"/>
      <c r="X46"/>
      <c r="Y46"/>
      <c r="Z46"/>
      <c r="AA46"/>
      <c r="AB46"/>
      <c r="AC46" s="6" t="s">
        <v>108</v>
      </c>
      <c r="AD46" s="6">
        <v>12</v>
      </c>
      <c r="AE46" s="6">
        <v>14</v>
      </c>
      <c r="AF46" s="6">
        <v>13</v>
      </c>
      <c r="AG46" s="6">
        <v>2</v>
      </c>
      <c r="AH46" s="6">
        <v>0.33771258639979895</v>
      </c>
      <c r="AI46" s="6">
        <v>2.3564999999999996</v>
      </c>
      <c r="AJ46" s="6">
        <v>0.67328571428571415</v>
      </c>
      <c r="AK46" s="6">
        <v>37.358069703965036</v>
      </c>
      <c r="AL46" s="6">
        <v>14.375641941252468</v>
      </c>
      <c r="AM46" s="6">
        <v>1.2616290342630003E-2</v>
      </c>
      <c r="AN46" s="6">
        <v>4.8548352211377974E-3</v>
      </c>
      <c r="AO46" s="6">
        <v>2.3569425024400085E-5</v>
      </c>
      <c r="AP46" s="6">
        <v>2.5232580685260006E-2</v>
      </c>
      <c r="AQ46" s="6">
        <v>9.2575121797696502E-2</v>
      </c>
      <c r="AR46" s="6">
        <v>49.263050799260888</v>
      </c>
      <c r="AS46" s="6">
        <v>7.8469215532924679</v>
      </c>
      <c r="AT46" s="6">
        <v>1971.6577142280616</v>
      </c>
      <c r="AU46" s="6">
        <v>1979.5046357813542</v>
      </c>
      <c r="AV46" s="6">
        <v>1963.8107926747691</v>
      </c>
      <c r="AW46" s="4">
        <f t="shared" si="23"/>
        <v>0.25907505126726421</v>
      </c>
      <c r="AX46" s="4">
        <f t="shared" si="24"/>
        <v>-15.729352678287482</v>
      </c>
      <c r="AY46" s="4">
        <f t="shared" si="25"/>
        <v>0.12847944588583643</v>
      </c>
      <c r="AZ46" s="4">
        <f t="shared" si="26"/>
        <v>8.7492905635128307E-2</v>
      </c>
      <c r="BA46" s="4">
        <f t="shared" si="27"/>
        <v>-5.3120003753790703</v>
      </c>
      <c r="BB46" s="4">
        <f t="shared" si="28"/>
        <v>4.3389125969318827E-2</v>
      </c>
    </row>
    <row r="47" spans="1:61" s="6" customFormat="1" x14ac:dyDescent="0.35">
      <c r="R47"/>
      <c r="S47"/>
      <c r="T47"/>
      <c r="U47"/>
      <c r="V47"/>
      <c r="W47"/>
      <c r="X47"/>
      <c r="Y47"/>
      <c r="Z47"/>
      <c r="AA47"/>
      <c r="AB47"/>
      <c r="AC47" s="6" t="s">
        <v>108</v>
      </c>
      <c r="AD47" s="6">
        <v>14</v>
      </c>
      <c r="AE47" s="6">
        <v>16</v>
      </c>
      <c r="AF47" s="6">
        <v>15</v>
      </c>
      <c r="AG47" s="6">
        <v>2</v>
      </c>
      <c r="AH47" s="6">
        <v>0.36675865458808976</v>
      </c>
      <c r="AI47" s="6">
        <v>3.2653400000000006</v>
      </c>
      <c r="AJ47" s="6">
        <v>0.93295428571428585</v>
      </c>
      <c r="AK47" s="6">
        <v>26.748361136041844</v>
      </c>
      <c r="AL47" s="6">
        <v>12.719349978194357</v>
      </c>
      <c r="AM47" s="6">
        <v>9.8101929426910543E-3</v>
      </c>
      <c r="AN47" s="6">
        <v>4.6649316852376112E-3</v>
      </c>
      <c r="AO47" s="6">
        <v>2.1761587627933818E-5</v>
      </c>
      <c r="AP47" s="6">
        <v>1.9620385885382109E-2</v>
      </c>
      <c r="AQ47" s="6">
        <v>7.2954735912314411E-2</v>
      </c>
      <c r="AR47" s="6">
        <v>56.891479349475972</v>
      </c>
      <c r="AS47" s="6">
        <v>9.6659763661929858</v>
      </c>
      <c r="AT47" s="6">
        <v>1964.0292856778465</v>
      </c>
      <c r="AU47" s="6">
        <v>1973.6952620440395</v>
      </c>
      <c r="AV47" s="6">
        <v>1954.3633093116534</v>
      </c>
      <c r="AW47" s="4">
        <f t="shared" si="23"/>
        <v>0.26217719505855314</v>
      </c>
      <c r="AX47" s="4">
        <f t="shared" si="24"/>
        <v>-0.98157205652627122</v>
      </c>
      <c r="AY47" s="4">
        <f t="shared" si="25"/>
        <v>0.11564433755696811</v>
      </c>
      <c r="AZ47" s="4">
        <f t="shared" si="26"/>
        <v>9.6155755323354117E-2</v>
      </c>
      <c r="BA47" s="4">
        <f t="shared" si="27"/>
        <v>-0.36000004683283965</v>
      </c>
      <c r="BB47" s="4">
        <f t="shared" si="28"/>
        <v>4.2413561653124522E-2</v>
      </c>
    </row>
    <row r="48" spans="1:61" s="6" customFormat="1" x14ac:dyDescent="0.35">
      <c r="R48"/>
      <c r="S48"/>
      <c r="T48"/>
      <c r="U48"/>
      <c r="V48"/>
      <c r="W48"/>
      <c r="X48"/>
      <c r="Y48"/>
      <c r="Z48"/>
      <c r="AA48"/>
      <c r="AB48"/>
      <c r="AC48" s="6" t="s">
        <v>108</v>
      </c>
      <c r="AD48" s="6">
        <v>18</v>
      </c>
      <c r="AE48" s="6">
        <v>20</v>
      </c>
      <c r="AF48" s="6">
        <v>19</v>
      </c>
      <c r="AG48" s="6">
        <v>2</v>
      </c>
      <c r="AH48" s="6">
        <v>0.43263653011808723</v>
      </c>
      <c r="AI48" s="6">
        <v>3.3307600000000002</v>
      </c>
      <c r="AJ48" s="6">
        <v>0.95164571428571432</v>
      </c>
      <c r="AK48" s="6">
        <v>19.483164368759809</v>
      </c>
      <c r="AL48" s="6">
        <v>12.5726516955531</v>
      </c>
      <c r="AM48" s="6">
        <v>8.4291286282205981E-3</v>
      </c>
      <c r="AN48" s="6">
        <v>5.4393884039473789E-3</v>
      </c>
      <c r="AO48" s="6">
        <v>2.9586946208997213E-5</v>
      </c>
      <c r="AP48" s="6">
        <v>1.6858257256441196E-2</v>
      </c>
      <c r="AQ48" s="6">
        <v>5.6096478655873208E-2</v>
      </c>
      <c r="AR48" s="6">
        <v>65.307308950020555</v>
      </c>
      <c r="AS48" s="6">
        <v>12.080126284618849</v>
      </c>
      <c r="AT48" s="6">
        <v>1955.6134560773019</v>
      </c>
      <c r="AU48" s="6">
        <v>1967.6935823619208</v>
      </c>
      <c r="AV48" s="6">
        <v>1943.5333297926829</v>
      </c>
      <c r="AW48" s="4">
        <f t="shared" si="23"/>
        <v>0.23764739721804426</v>
      </c>
      <c r="AX48" s="4">
        <f t="shared" si="24"/>
        <v>-0.54580733287573446</v>
      </c>
      <c r="AY48" s="4">
        <f t="shared" si="25"/>
        <v>9.7580225640890708E-2</v>
      </c>
      <c r="AZ48" s="4">
        <f t="shared" si="26"/>
        <v>0.10281494532400945</v>
      </c>
      <c r="BA48" s="4">
        <f t="shared" si="27"/>
        <v>-0.23613619060836555</v>
      </c>
      <c r="BB48" s="4">
        <f t="shared" si="28"/>
        <v>4.221677022941496E-2</v>
      </c>
    </row>
    <row r="49" spans="18:54" s="6" customFormat="1" x14ac:dyDescent="0.35">
      <c r="R49"/>
      <c r="S49"/>
      <c r="T49"/>
      <c r="U49"/>
      <c r="V49"/>
      <c r="W49"/>
      <c r="X49"/>
      <c r="Y49"/>
      <c r="Z49"/>
      <c r="AA49"/>
      <c r="AB49"/>
      <c r="AC49" t="s">
        <v>108</v>
      </c>
      <c r="AD49">
        <v>22</v>
      </c>
      <c r="AE49">
        <v>24</v>
      </c>
      <c r="AF49">
        <v>23</v>
      </c>
      <c r="AG49">
        <v>2</v>
      </c>
      <c r="AH49">
        <v>0.53371866421197489</v>
      </c>
      <c r="AI49">
        <v>3.7970200000000003</v>
      </c>
      <c r="AJ49" s="6">
        <v>1.0848628571428571</v>
      </c>
      <c r="AK49" s="6">
        <v>1.2104691205800009</v>
      </c>
      <c r="AL49" s="6">
        <v>11.280742116966234</v>
      </c>
      <c r="AM49">
        <v>6.4604996210580203E-4</v>
      </c>
      <c r="AN49">
        <v>6.0207426139869845E-3</v>
      </c>
      <c r="AO49">
        <v>3.6249341623878828E-5</v>
      </c>
      <c r="AP49">
        <v>1.2920999242116041E-3</v>
      </c>
      <c r="AQ49">
        <v>5.48043787316616E-2</v>
      </c>
      <c r="AR49">
        <v>66.053651768939957</v>
      </c>
      <c r="AS49">
        <v>12.316509815845741</v>
      </c>
      <c r="AT49">
        <v>1954.8671132583825</v>
      </c>
      <c r="AU49">
        <v>1967.1836230742283</v>
      </c>
      <c r="AV49">
        <v>1942.5506034425366</v>
      </c>
      <c r="AW49" s="4">
        <f t="shared" si="23"/>
        <v>2.6797336951613135</v>
      </c>
      <c r="AX49" s="4">
        <f t="shared" si="24"/>
        <v>-0.17285835204723402</v>
      </c>
      <c r="AY49" s="4">
        <f t="shared" si="25"/>
        <v>0.15310591460530104</v>
      </c>
      <c r="AZ49" s="4">
        <f t="shared" si="26"/>
        <v>1.4302238882253158</v>
      </c>
      <c r="BA49" s="4">
        <f t="shared" si="27"/>
        <v>-9.2257728752533033E-2</v>
      </c>
      <c r="BB49" s="4">
        <f t="shared" si="28"/>
        <v>8.1715484226093968E-2</v>
      </c>
    </row>
    <row r="50" spans="18:54" s="6" customFormat="1" x14ac:dyDescent="0.35">
      <c r="R50"/>
      <c r="S50"/>
      <c r="T50"/>
      <c r="U50"/>
      <c r="V50"/>
      <c r="W50"/>
      <c r="X50"/>
      <c r="Y50"/>
      <c r="Z50"/>
      <c r="AA50"/>
      <c r="AB50"/>
      <c r="AC50" s="31" t="s">
        <v>108</v>
      </c>
      <c r="AD50" s="31">
        <v>28</v>
      </c>
      <c r="AE50" s="31">
        <v>30</v>
      </c>
      <c r="AF50" s="31">
        <v>29</v>
      </c>
      <c r="AG50" s="31">
        <v>2</v>
      </c>
      <c r="AH50" s="31">
        <v>0.62303324214253231</v>
      </c>
      <c r="AI50" s="31">
        <v>2.5385</v>
      </c>
      <c r="AJ50" s="31">
        <v>0.72528571428571431</v>
      </c>
      <c r="AK50" s="31">
        <v>8.6659574787051952</v>
      </c>
      <c r="AL50" s="31">
        <v>11.786275414631829</v>
      </c>
      <c r="AM50" s="31">
        <v>5.3991795842270223E-3</v>
      </c>
      <c r="AN50" s="31">
        <v>7.3432413843628882E-3</v>
      </c>
      <c r="AO50" s="31">
        <v>5.3923194029019785E-5</v>
      </c>
      <c r="AP50" s="31">
        <v>1.0798359168454045E-2</v>
      </c>
      <c r="AQ50" s="31">
        <v>4.4006019563207557E-2</v>
      </c>
      <c r="AR50" s="31">
        <v>73.081956043678929</v>
      </c>
      <c r="AS50" s="31">
        <v>14.732083570412286</v>
      </c>
      <c r="AT50" s="31">
        <v>1947.8388089836435</v>
      </c>
      <c r="AU50" s="31">
        <v>1962.5708925540557</v>
      </c>
      <c r="AV50" s="31">
        <v>1933.1067254132313</v>
      </c>
      <c r="AW50" s="31">
        <f t="shared" si="23"/>
        <v>0.28456366170548064</v>
      </c>
      <c r="AX50" s="31">
        <f t="shared" si="24"/>
        <v>-0.259612837185416</v>
      </c>
      <c r="AY50" s="31">
        <f t="shared" si="25"/>
        <v>9.1910126521281485E-2</v>
      </c>
      <c r="AZ50" s="31">
        <f t="shared" si="26"/>
        <v>0.17729262074831637</v>
      </c>
      <c r="BA50" s="31">
        <f t="shared" si="27"/>
        <v>-0.1617474276534511</v>
      </c>
      <c r="BB50" s="31">
        <f t="shared" si="28"/>
        <v>5.7263064112284351E-2</v>
      </c>
    </row>
    <row r="51" spans="18:54" s="6" customFormat="1" x14ac:dyDescent="0.35"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</row>
  </sheetData>
  <mergeCells count="2">
    <mergeCell ref="R1:AA1"/>
    <mergeCell ref="AI2:A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8CAD-7252-40E8-BEB2-E4410B19BF81}">
  <dimension ref="A1:BJ47"/>
  <sheetViews>
    <sheetView topLeftCell="A4" zoomScale="60" zoomScaleNormal="60" workbookViewId="0">
      <selection activeCell="R24" sqref="R24"/>
    </sheetView>
  </sheetViews>
  <sheetFormatPr defaultRowHeight="14.5" x14ac:dyDescent="0.35"/>
  <cols>
    <col min="2" max="2" width="21.36328125" style="6" bestFit="1" customWidth="1"/>
    <col min="3" max="3" width="14.08984375" style="6" customWidth="1"/>
    <col min="4" max="4" width="15.54296875" style="6" bestFit="1" customWidth="1"/>
    <col min="5" max="8" width="11.1796875" style="6" customWidth="1"/>
    <col min="9" max="9" width="10.6328125" style="6" customWidth="1"/>
    <col min="10" max="10" width="16.54296875" style="6" bestFit="1" customWidth="1"/>
    <col min="11" max="15" width="11.1796875" style="6" customWidth="1"/>
    <col min="16" max="16" width="10.453125" style="6" customWidth="1"/>
    <col min="17" max="17" width="10.36328125" style="6" customWidth="1"/>
    <col min="18" max="18" width="10" bestFit="1" customWidth="1"/>
    <col min="19" max="19" width="11.453125" customWidth="1"/>
    <col min="20" max="20" width="10" bestFit="1" customWidth="1"/>
    <col min="22" max="22" width="8" customWidth="1"/>
    <col min="23" max="23" width="7.81640625" customWidth="1"/>
    <col min="24" max="24" width="7.6328125" customWidth="1"/>
    <col min="25" max="25" width="11.08984375" customWidth="1"/>
    <col min="26" max="28" width="10.453125" customWidth="1"/>
    <col min="29" max="29" width="3.08984375" bestFit="1" customWidth="1"/>
    <col min="30" max="31" width="5.453125" bestFit="1" customWidth="1"/>
    <col min="32" max="32" width="5.6328125" bestFit="1" customWidth="1"/>
    <col min="33" max="33" width="8.36328125" customWidth="1"/>
    <col min="34" max="35" width="12.36328125" customWidth="1"/>
    <col min="36" max="37" width="10" style="6" bestFit="1" customWidth="1"/>
    <col min="38" max="38" width="8.90625" style="6"/>
    <col min="39" max="39" width="18.08984375" customWidth="1"/>
    <col min="40" max="41" width="13.81640625" customWidth="1"/>
    <col min="42" max="42" width="9.54296875" customWidth="1"/>
    <col min="43" max="43" width="12.90625" bestFit="1" customWidth="1"/>
    <col min="44" max="44" width="9.36328125" customWidth="1"/>
    <col min="45" max="45" width="11.54296875" customWidth="1"/>
    <col min="46" max="47" width="12" bestFit="1" customWidth="1"/>
    <col min="48" max="49" width="10" bestFit="1" customWidth="1"/>
    <col min="52" max="52" width="10.6328125" bestFit="1" customWidth="1"/>
    <col min="53" max="54" width="10.6328125" customWidth="1"/>
  </cols>
  <sheetData>
    <row r="1" spans="1:62" x14ac:dyDescent="0.35">
      <c r="A1" s="6" t="s">
        <v>140</v>
      </c>
      <c r="R1" s="41" t="s">
        <v>39</v>
      </c>
      <c r="S1" s="41"/>
      <c r="T1" s="41"/>
      <c r="U1" s="41"/>
      <c r="V1" s="41"/>
      <c r="W1" s="41"/>
      <c r="X1" s="41"/>
      <c r="Y1" s="41"/>
      <c r="Z1" s="41"/>
      <c r="AA1" s="41"/>
      <c r="AB1" s="22"/>
      <c r="AC1" s="4"/>
    </row>
    <row r="2" spans="1:62" x14ac:dyDescent="0.35">
      <c r="A2" t="s">
        <v>147</v>
      </c>
      <c r="B2" s="6" t="s">
        <v>148</v>
      </c>
      <c r="I2" s="38"/>
      <c r="P2" s="10"/>
      <c r="Q2" s="10"/>
      <c r="R2">
        <f>AT2</f>
        <v>2020.9207650273224</v>
      </c>
      <c r="T2" t="s">
        <v>31</v>
      </c>
      <c r="W2" t="s">
        <v>32</v>
      </c>
      <c r="Z2" t="s">
        <v>32</v>
      </c>
      <c r="AI2" s="42" t="s">
        <v>13</v>
      </c>
      <c r="AJ2" s="42"/>
      <c r="AK2" s="42"/>
      <c r="AL2" s="42"/>
      <c r="AM2" s="1" t="s">
        <v>0</v>
      </c>
      <c r="AN2" s="1">
        <f>LN(2)/22.2</f>
        <v>3.1222845971168707E-2</v>
      </c>
      <c r="AO2" s="1"/>
      <c r="AP2" s="2" t="s">
        <v>1</v>
      </c>
      <c r="AQ2" s="2">
        <f>AQ6</f>
        <v>0.22106866054649404</v>
      </c>
      <c r="AR2" s="3" t="s">
        <v>2</v>
      </c>
      <c r="AS2" s="3"/>
      <c r="AT2" s="6">
        <f>2020+337/366</f>
        <v>2020.9207650273224</v>
      </c>
      <c r="AU2" t="s">
        <v>31</v>
      </c>
    </row>
    <row r="3" spans="1:62" x14ac:dyDescent="0.35">
      <c r="B3" s="6" t="s">
        <v>149</v>
      </c>
      <c r="I3" s="38"/>
      <c r="P3" s="10"/>
      <c r="Q3" s="10"/>
      <c r="AI3" s="27"/>
      <c r="AJ3" s="37"/>
      <c r="AK3" s="37"/>
      <c r="AL3" s="37"/>
      <c r="AM3" s="1"/>
      <c r="AN3" s="1"/>
      <c r="AO3" s="1"/>
      <c r="AP3" s="2"/>
      <c r="AQ3" s="2"/>
      <c r="AR3" s="3"/>
      <c r="AS3" s="3"/>
      <c r="AT3" s="6"/>
    </row>
    <row r="4" spans="1:62" x14ac:dyDescent="0.35">
      <c r="I4" s="38"/>
      <c r="P4" s="10"/>
      <c r="Q4" s="10"/>
      <c r="AI4" s="27"/>
      <c r="AJ4" s="37"/>
      <c r="AK4" s="37"/>
      <c r="AL4" s="37"/>
      <c r="AM4" s="1"/>
      <c r="AN4" s="1"/>
      <c r="AO4" s="1"/>
      <c r="AP4" s="2"/>
      <c r="AQ4" s="2"/>
      <c r="AR4" s="3"/>
      <c r="AS4" s="3"/>
      <c r="AT4" s="6"/>
    </row>
    <row r="5" spans="1:62" s="5" customFormat="1" ht="86.4" customHeight="1" x14ac:dyDescent="0.35">
      <c r="A5" s="7" t="s">
        <v>20</v>
      </c>
      <c r="B5" s="5" t="s">
        <v>13</v>
      </c>
      <c r="D5" s="8" t="s">
        <v>15</v>
      </c>
      <c r="E5" s="8" t="s">
        <v>16</v>
      </c>
      <c r="F5" s="8" t="s">
        <v>17</v>
      </c>
      <c r="G5" s="8" t="s">
        <v>36</v>
      </c>
      <c r="H5" s="8" t="s">
        <v>42</v>
      </c>
      <c r="I5" s="13" t="s">
        <v>21</v>
      </c>
      <c r="J5" s="14" t="s">
        <v>37</v>
      </c>
      <c r="K5" s="14" t="s">
        <v>38</v>
      </c>
      <c r="L5" s="16" t="s">
        <v>40</v>
      </c>
      <c r="M5" s="16" t="s">
        <v>41</v>
      </c>
      <c r="N5" s="24" t="s">
        <v>43</v>
      </c>
      <c r="O5" s="24" t="s">
        <v>44</v>
      </c>
      <c r="P5" s="13" t="s">
        <v>18</v>
      </c>
      <c r="Q5" s="13" t="s">
        <v>19</v>
      </c>
      <c r="R5" s="5" t="s">
        <v>23</v>
      </c>
      <c r="S5" s="5" t="s">
        <v>33</v>
      </c>
      <c r="T5" s="5" t="s">
        <v>29</v>
      </c>
      <c r="U5" s="5" t="s">
        <v>30</v>
      </c>
      <c r="V5" s="5" t="s">
        <v>9</v>
      </c>
      <c r="W5" s="5" t="s">
        <v>34</v>
      </c>
      <c r="X5" s="5" t="s">
        <v>35</v>
      </c>
      <c r="Y5" s="5" t="s">
        <v>10</v>
      </c>
      <c r="Z5" s="5" t="s">
        <v>54</v>
      </c>
      <c r="AA5" s="5" t="s">
        <v>55</v>
      </c>
      <c r="AC5" s="5" t="s">
        <v>3</v>
      </c>
      <c r="AD5" s="5" t="s">
        <v>5</v>
      </c>
      <c r="AE5" s="5" t="s">
        <v>6</v>
      </c>
      <c r="AF5" s="5" t="s">
        <v>7</v>
      </c>
      <c r="AG5" s="5" t="s">
        <v>8</v>
      </c>
      <c r="AH5" s="5" t="s">
        <v>11</v>
      </c>
      <c r="AI5" s="30" t="s">
        <v>105</v>
      </c>
      <c r="AJ5" s="28" t="s">
        <v>12</v>
      </c>
      <c r="AK5" s="29" t="s">
        <v>22</v>
      </c>
      <c r="AL5" s="29" t="s">
        <v>14</v>
      </c>
      <c r="AM5" s="5" t="s">
        <v>25</v>
      </c>
      <c r="AN5" s="5" t="s">
        <v>24</v>
      </c>
      <c r="AO5" s="5" t="s">
        <v>53</v>
      </c>
      <c r="AP5" s="5" t="s">
        <v>52</v>
      </c>
      <c r="AQ5" s="5" t="s">
        <v>26</v>
      </c>
      <c r="AR5" s="5" t="s">
        <v>27</v>
      </c>
      <c r="AS5" s="5" t="s">
        <v>28</v>
      </c>
      <c r="AT5" s="5" t="s">
        <v>23</v>
      </c>
      <c r="AU5" s="5" t="s">
        <v>29</v>
      </c>
      <c r="AV5" s="5" t="s">
        <v>30</v>
      </c>
      <c r="AW5" s="5" t="s">
        <v>9</v>
      </c>
      <c r="AX5" s="5" t="s">
        <v>34</v>
      </c>
      <c r="AY5" s="5" t="s">
        <v>35</v>
      </c>
      <c r="AZ5" s="5" t="s">
        <v>10</v>
      </c>
      <c r="BA5" s="5" t="s">
        <v>54</v>
      </c>
      <c r="BB5" s="5" t="s">
        <v>55</v>
      </c>
      <c r="BF5" s="5" t="s">
        <v>20</v>
      </c>
      <c r="BG5" s="5" t="s">
        <v>100</v>
      </c>
      <c r="BH5" s="5" t="s">
        <v>4</v>
      </c>
      <c r="BI5" s="5" t="s">
        <v>101</v>
      </c>
      <c r="BJ5" s="5" t="s">
        <v>102</v>
      </c>
    </row>
    <row r="6" spans="1:62" s="6" customFormat="1" x14ac:dyDescent="0.35">
      <c r="A6" s="4" t="s">
        <v>126</v>
      </c>
      <c r="D6" s="12"/>
      <c r="E6" s="33">
        <v>0</v>
      </c>
      <c r="F6" s="12"/>
      <c r="G6" s="12">
        <v>0</v>
      </c>
      <c r="H6" s="12"/>
      <c r="I6" s="9"/>
      <c r="J6" s="15"/>
      <c r="K6" s="15"/>
      <c r="L6" s="17"/>
      <c r="M6" s="17"/>
      <c r="N6" s="25"/>
      <c r="O6" s="25"/>
      <c r="P6" s="9"/>
      <c r="Q6" s="9"/>
      <c r="R6" s="6">
        <v>2020.9207650273224</v>
      </c>
      <c r="S6" s="6">
        <v>0</v>
      </c>
      <c r="T6" s="6">
        <v>2020.9207650273224</v>
      </c>
      <c r="U6" s="6">
        <v>2020.9207650273224</v>
      </c>
      <c r="AC6" s="6" t="s">
        <v>126</v>
      </c>
      <c r="AD6" s="7">
        <v>0</v>
      </c>
      <c r="AE6" s="7">
        <v>0</v>
      </c>
      <c r="AF6" s="7">
        <v>0</v>
      </c>
      <c r="AG6" s="6">
        <f>AE6-AD6</f>
        <v>0</v>
      </c>
      <c r="AH6" s="7">
        <v>0</v>
      </c>
      <c r="AI6" s="7"/>
      <c r="AJ6" s="11"/>
      <c r="AK6" s="9"/>
      <c r="AL6" s="9"/>
      <c r="AM6" s="7">
        <v>0</v>
      </c>
      <c r="AN6" s="7">
        <v>0</v>
      </c>
      <c r="AO6" s="7">
        <v>0</v>
      </c>
      <c r="AP6" s="7">
        <v>0</v>
      </c>
      <c r="AQ6" s="7">
        <f>SUM(AP7:$AP$30)</f>
        <v>0.22106866054649404</v>
      </c>
      <c r="AR6" s="7">
        <v>0</v>
      </c>
      <c r="AS6" s="7">
        <v>0</v>
      </c>
      <c r="AT6" s="6">
        <f>AT2</f>
        <v>2020.9207650273224</v>
      </c>
      <c r="AU6" s="6">
        <f>AT2</f>
        <v>2020.9207650273224</v>
      </c>
      <c r="AV6" s="6">
        <f>AT2</f>
        <v>2020.9207650273224</v>
      </c>
      <c r="AW6" s="7"/>
      <c r="AX6" s="7"/>
      <c r="AY6" s="7"/>
      <c r="AZ6" s="7"/>
      <c r="BA6" s="7"/>
      <c r="BB6" s="7"/>
      <c r="BF6" s="6" t="s">
        <v>126</v>
      </c>
      <c r="BG6" s="6" t="s">
        <v>127</v>
      </c>
      <c r="BH6" s="6">
        <v>0</v>
      </c>
      <c r="BI6" s="6">
        <v>0.6767677472960989</v>
      </c>
    </row>
    <row r="7" spans="1:62" s="6" customFormat="1" x14ac:dyDescent="0.35">
      <c r="A7" s="4" t="s">
        <v>126</v>
      </c>
      <c r="B7" s="6" t="s">
        <v>128</v>
      </c>
      <c r="C7" s="6" t="s">
        <v>57</v>
      </c>
      <c r="D7" s="23">
        <v>0</v>
      </c>
      <c r="E7" s="23">
        <v>2</v>
      </c>
      <c r="F7" s="23">
        <f t="shared" ref="F7:F30" si="0">AVERAGE(D7:E7)</f>
        <v>1</v>
      </c>
      <c r="G7" s="23">
        <f>E7-D7</f>
        <v>2</v>
      </c>
      <c r="H7" s="23">
        <f>G7/2</f>
        <v>1</v>
      </c>
      <c r="I7" s="4">
        <f>AVERAGE(BJ7:BJ8)</f>
        <v>0.42353361195378714</v>
      </c>
      <c r="J7" s="23">
        <v>1.1908107758611335</v>
      </c>
      <c r="K7" s="23">
        <v>0.50446257745410494</v>
      </c>
      <c r="L7" s="18">
        <f>$J7*I7/1000</f>
        <v>5.0434838905395751E-4</v>
      </c>
      <c r="M7" s="18">
        <f>$J7*K7/1000</f>
        <v>6.0071947325102983E-4</v>
      </c>
      <c r="N7" s="26">
        <v>49.90568333972044</v>
      </c>
      <c r="O7" s="26">
        <v>9.4387372950425981</v>
      </c>
      <c r="P7" s="4">
        <f>N7*$I7/1000</f>
        <v>2.1136734321893738E-2</v>
      </c>
      <c r="Q7" s="4">
        <f>O7*$I7/1000</f>
        <v>3.9976224988523103E-3</v>
      </c>
      <c r="R7" s="4">
        <v>2014.1234230036393</v>
      </c>
      <c r="S7" s="4">
        <v>4.8322463092977346</v>
      </c>
      <c r="T7" s="4">
        <v>2018.9556693129371</v>
      </c>
      <c r="U7" s="4">
        <v>2009.2911766943416</v>
      </c>
      <c r="V7" s="4">
        <v>0.29423265638710877</v>
      </c>
      <c r="W7" s="4">
        <v>1.0177621300372877</v>
      </c>
      <c r="X7" s="4">
        <v>0.17197513297423625</v>
      </c>
      <c r="Y7" s="4">
        <v>0.12461741971438972</v>
      </c>
      <c r="Z7" s="4">
        <v>0.43105647104447242</v>
      </c>
      <c r="AA7" s="4">
        <v>7.2837249234811122E-2</v>
      </c>
      <c r="AC7" s="4" t="s">
        <v>126</v>
      </c>
      <c r="AD7" s="4">
        <v>0</v>
      </c>
      <c r="AE7" s="4">
        <v>2</v>
      </c>
      <c r="AF7" s="4">
        <v>1</v>
      </c>
      <c r="AG7" s="4">
        <v>2</v>
      </c>
      <c r="AH7" s="4">
        <v>0.42353361195378714</v>
      </c>
      <c r="AI7" s="4">
        <v>3.491410000000001</v>
      </c>
      <c r="AJ7" s="4">
        <f>AI7/3.5</f>
        <v>0.99754571428571459</v>
      </c>
      <c r="AK7" s="4">
        <v>49.90568333972044</v>
      </c>
      <c r="AL7" s="4">
        <v>9.4387372950425981</v>
      </c>
      <c r="AM7" s="4">
        <f>AK7*AH7/1000</f>
        <v>2.1136734321893738E-2</v>
      </c>
      <c r="AN7" s="4">
        <f>AL7*AH7/1000</f>
        <v>3.9976224988523103E-3</v>
      </c>
      <c r="AO7" s="4">
        <f>AN7^2</f>
        <v>1.5980985643330191E-5</v>
      </c>
      <c r="AP7" s="4">
        <f>AM7*AG7</f>
        <v>4.2273468643787476E-2</v>
      </c>
      <c r="AQ7" s="7">
        <f>SUM(AP8:$AP$30)</f>
        <v>0.1787951919027066</v>
      </c>
      <c r="AR7" s="4">
        <f>(1/$AN$2)*LN($AQ$2/AQ7)</f>
        <v>6.7973420236830897</v>
      </c>
      <c r="AS7" s="4">
        <f t="shared" ref="AS7:AS25" si="1">ABS((1/$AN$2)*LN($AQ$2/(AQ7+SQRT(SUM($AO$7:$AO$40))))-AR7)</f>
        <v>4.8322463092977346</v>
      </c>
      <c r="AT7" s="4">
        <f>$AT$2-AR7</f>
        <v>2014.1234230036393</v>
      </c>
      <c r="AU7" s="4">
        <f>AT7+AS7</f>
        <v>2018.9556693129371</v>
      </c>
      <c r="AV7" s="4">
        <f>AT7-AS7</f>
        <v>2009.2911766943416</v>
      </c>
      <c r="AW7" s="4">
        <f>AG7/(AT6-AT7)</f>
        <v>0.29423265638710877</v>
      </c>
      <c r="AX7" s="4">
        <f>AG7/(AT6-AU7)</f>
        <v>1.0177621300372877</v>
      </c>
      <c r="AY7" s="4">
        <f>AG7/(AT6-AV7)</f>
        <v>0.17197513297423625</v>
      </c>
      <c r="AZ7" s="4">
        <f>AW7*$AH7</f>
        <v>0.12461741971438972</v>
      </c>
      <c r="BA7" s="4">
        <f t="shared" ref="BA7:BB22" si="2">AX7*$AH7</f>
        <v>0.43105647104447242</v>
      </c>
      <c r="BB7" s="4">
        <f t="shared" si="2"/>
        <v>7.2837249234811122E-2</v>
      </c>
      <c r="BF7" s="6" t="s">
        <v>126</v>
      </c>
      <c r="BG7" s="6" t="s">
        <v>127</v>
      </c>
      <c r="BH7" s="6">
        <v>1</v>
      </c>
      <c r="BI7" s="6">
        <v>0.62371673064415345</v>
      </c>
      <c r="BJ7" s="6">
        <v>0.44671293454762251</v>
      </c>
    </row>
    <row r="8" spans="1:62" s="6" customFormat="1" x14ac:dyDescent="0.35">
      <c r="A8" s="4" t="s">
        <v>126</v>
      </c>
      <c r="B8" s="6" t="s">
        <v>126</v>
      </c>
      <c r="C8" s="6" t="s">
        <v>59</v>
      </c>
      <c r="D8" s="23">
        <v>2</v>
      </c>
      <c r="E8" s="23">
        <v>3</v>
      </c>
      <c r="F8" s="23">
        <f t="shared" si="0"/>
        <v>2.5</v>
      </c>
      <c r="G8" s="23">
        <f t="shared" ref="G8:G30" si="3">E8-D8</f>
        <v>1</v>
      </c>
      <c r="H8" s="23">
        <f t="shared" ref="H8:H30" si="4">G8/2</f>
        <v>0.5</v>
      </c>
      <c r="I8" s="4">
        <f>BJ9</f>
        <v>0.39852235073561859</v>
      </c>
      <c r="J8" s="23">
        <v>5.4847547041129578</v>
      </c>
      <c r="K8" s="23">
        <v>1.2720696509452831</v>
      </c>
      <c r="L8" s="18">
        <f t="shared" ref="L8:L30" si="5">$J8*I8/1000</f>
        <v>2.1857973378913379E-3</v>
      </c>
      <c r="M8" s="18">
        <f t="shared" ref="M8:M30" si="6">$J8*K8/1000</f>
        <v>6.9769900019814703E-3</v>
      </c>
      <c r="N8" s="26">
        <v>51.047017074556962</v>
      </c>
      <c r="O8" s="26">
        <v>15.14909863044425</v>
      </c>
      <c r="P8" s="4">
        <f t="shared" ref="P8:Q30" si="7">N8*$I8/1000</f>
        <v>2.0343377242593701E-2</v>
      </c>
      <c r="Q8" s="4">
        <f t="shared" si="7"/>
        <v>6.0372543977303831E-3</v>
      </c>
      <c r="R8" s="4">
        <v>2010.2547675671337</v>
      </c>
      <c r="S8" s="4">
        <v>5.4030002242562061</v>
      </c>
      <c r="T8" s="4">
        <v>2015.6577677913899</v>
      </c>
      <c r="U8" s="4">
        <v>2004.8517673428776</v>
      </c>
      <c r="V8" s="4">
        <v>0.25848773983946688</v>
      </c>
      <c r="W8" s="4">
        <v>-0.651743993907688</v>
      </c>
      <c r="X8" s="4">
        <v>0.10785560169496607</v>
      </c>
      <c r="Y8" s="4">
        <v>0.10301314171716135</v>
      </c>
      <c r="Z8" s="4">
        <v>-0.25973454852991251</v>
      </c>
      <c r="AA8" s="4">
        <v>4.2982867927482446E-2</v>
      </c>
      <c r="AC8" s="4" t="s">
        <v>126</v>
      </c>
      <c r="AD8" s="4">
        <v>2</v>
      </c>
      <c r="AE8" s="4">
        <v>3</v>
      </c>
      <c r="AF8" s="4">
        <v>2.5</v>
      </c>
      <c r="AG8" s="4">
        <v>1</v>
      </c>
      <c r="AH8" s="4">
        <v>0.39852235073561859</v>
      </c>
      <c r="AI8" s="4">
        <v>3.2712100000000004</v>
      </c>
      <c r="AJ8" s="4">
        <f t="shared" ref="AJ8:AJ30" si="8">AI8/3.5</f>
        <v>0.93463142857142867</v>
      </c>
      <c r="AK8" s="4">
        <v>51.047017074556962</v>
      </c>
      <c r="AL8" s="4">
        <v>15.14909863044425</v>
      </c>
      <c r="AM8" s="4">
        <f t="shared" ref="AM8:AM16" si="9">AK8*AH8/1000</f>
        <v>2.0343377242593701E-2</v>
      </c>
      <c r="AN8" s="4">
        <f t="shared" ref="AN8:AN30" si="10">AL8*AH8/1000</f>
        <v>6.0372543977303831E-3</v>
      </c>
      <c r="AO8" s="4">
        <f t="shared" ref="AO8:AO30" si="11">AN8^2</f>
        <v>3.644844066291485E-5</v>
      </c>
      <c r="AP8" s="4">
        <f t="shared" ref="AP8:AP30" si="12">AM8*AG8</f>
        <v>2.0343377242593701E-2</v>
      </c>
      <c r="AQ8" s="7">
        <f>SUM(AP9:$AP$30)</f>
        <v>0.15845181466011288</v>
      </c>
      <c r="AR8" s="4">
        <f t="shared" ref="AR8:AR25" si="13">(1/$AN$2)*LN($AQ$2/AQ8)</f>
        <v>10.665997460188589</v>
      </c>
      <c r="AS8" s="4">
        <f t="shared" si="1"/>
        <v>5.4030002242562061</v>
      </c>
      <c r="AT8" s="4">
        <f t="shared" ref="AT8:AT25" si="14">$AT$2-AR8</f>
        <v>2010.2547675671337</v>
      </c>
      <c r="AU8" s="4">
        <f t="shared" ref="AU8:AU25" si="15">AT8+AS8</f>
        <v>2015.6577677913899</v>
      </c>
      <c r="AV8" s="4">
        <f t="shared" ref="AV8:AV25" si="16">AT8-AS8</f>
        <v>2004.8517673428776</v>
      </c>
      <c r="AW8" s="4">
        <f t="shared" ref="AW8:AW25" si="17">AG8/(AT7-AT8)</f>
        <v>0.25848773983946688</v>
      </c>
      <c r="AX8" s="4">
        <f t="shared" ref="AX8:AX25" si="18">AG8/(AT7-AU8)</f>
        <v>-0.651743993907688</v>
      </c>
      <c r="AY8" s="4">
        <f t="shared" ref="AY8:AY25" si="19">AG8/(AT7-AV8)</f>
        <v>0.10785560169496607</v>
      </c>
      <c r="AZ8" s="4">
        <f t="shared" ref="AZ8:BB25" si="20">AW8*$AH8</f>
        <v>0.10301314171716135</v>
      </c>
      <c r="BA8" s="4">
        <f t="shared" si="2"/>
        <v>-0.25973454852991251</v>
      </c>
      <c r="BB8" s="4">
        <f t="shared" si="2"/>
        <v>4.2982867927482446E-2</v>
      </c>
      <c r="BF8" s="6" t="s">
        <v>126</v>
      </c>
      <c r="BG8" s="6" t="s">
        <v>127</v>
      </c>
      <c r="BH8" s="6">
        <v>2</v>
      </c>
      <c r="BI8" s="6">
        <v>0.59591228606356972</v>
      </c>
      <c r="BJ8" s="6">
        <v>0.40035428935995171</v>
      </c>
    </row>
    <row r="9" spans="1:62" s="6" customFormat="1" x14ac:dyDescent="0.35">
      <c r="A9" s="4" t="s">
        <v>126</v>
      </c>
      <c r="B9" s="6" t="s">
        <v>126</v>
      </c>
      <c r="C9" s="6" t="s">
        <v>60</v>
      </c>
      <c r="D9" s="23">
        <v>3</v>
      </c>
      <c r="E9" s="23">
        <v>4</v>
      </c>
      <c r="F9" s="23">
        <f t="shared" si="0"/>
        <v>3.5</v>
      </c>
      <c r="G9" s="23">
        <f t="shared" si="3"/>
        <v>1</v>
      </c>
      <c r="H9" s="23">
        <f t="shared" si="4"/>
        <v>0.5</v>
      </c>
      <c r="I9" s="4">
        <f>BJ10</f>
        <v>0.47401411904620755</v>
      </c>
      <c r="J9" s="23">
        <v>3.6293894374294373</v>
      </c>
      <c r="K9" s="23">
        <v>1.1546214052183745</v>
      </c>
      <c r="L9" s="18">
        <f t="shared" si="5"/>
        <v>1.7203818368587255E-3</v>
      </c>
      <c r="M9" s="18">
        <f t="shared" si="6"/>
        <v>4.1905707323295028E-3</v>
      </c>
      <c r="N9" s="26">
        <v>40.037461597582613</v>
      </c>
      <c r="O9" s="26">
        <v>14.122671619888704</v>
      </c>
      <c r="P9" s="4">
        <f t="shared" si="7"/>
        <v>1.8978322088024489E-2</v>
      </c>
      <c r="Q9" s="4">
        <f t="shared" si="7"/>
        <v>6.6943457464804209E-3</v>
      </c>
      <c r="R9" s="4">
        <v>2006.1687860086233</v>
      </c>
      <c r="S9" s="4">
        <v>6.0724791891720926</v>
      </c>
      <c r="T9" s="4">
        <v>2012.2412651977954</v>
      </c>
      <c r="U9" s="4">
        <v>2000.0963068194512</v>
      </c>
      <c r="V9" s="4">
        <v>0.24473923479100596</v>
      </c>
      <c r="W9" s="4">
        <v>-0.50339853648197264</v>
      </c>
      <c r="X9" s="4">
        <v>9.8440110646500642E-2</v>
      </c>
      <c r="Y9" s="4">
        <v>0.11600985277550163</v>
      </c>
      <c r="Z9" s="4">
        <v>-0.23861801379965242</v>
      </c>
      <c r="AA9" s="4">
        <v>4.66620023269122E-2</v>
      </c>
      <c r="AC9" s="4" t="s">
        <v>126</v>
      </c>
      <c r="AD9" s="4">
        <v>3</v>
      </c>
      <c r="AE9" s="4">
        <v>4</v>
      </c>
      <c r="AF9" s="4">
        <v>3.5</v>
      </c>
      <c r="AG9" s="4">
        <v>1</v>
      </c>
      <c r="AH9" s="4">
        <v>0.47401411904620755</v>
      </c>
      <c r="AI9" s="4">
        <v>3.4960199999999997</v>
      </c>
      <c r="AJ9" s="4">
        <f t="shared" si="8"/>
        <v>0.99886285714285705</v>
      </c>
      <c r="AK9" s="4">
        <v>40.037461597582613</v>
      </c>
      <c r="AL9" s="4">
        <v>14.122671619888704</v>
      </c>
      <c r="AM9" s="4">
        <f t="shared" si="9"/>
        <v>1.8978322088024489E-2</v>
      </c>
      <c r="AN9" s="4">
        <f t="shared" si="10"/>
        <v>6.6943457464804209E-3</v>
      </c>
      <c r="AO9" s="4">
        <f t="shared" si="11"/>
        <v>4.4814264973420506E-5</v>
      </c>
      <c r="AP9" s="4">
        <f t="shared" si="12"/>
        <v>1.8978322088024489E-2</v>
      </c>
      <c r="AQ9" s="7">
        <f>SUM(AP10:$AP$30)</f>
        <v>0.13947349257208841</v>
      </c>
      <c r="AR9" s="4">
        <f t="shared" si="13"/>
        <v>14.751979018699087</v>
      </c>
      <c r="AS9" s="4">
        <f t="shared" si="1"/>
        <v>6.0724791891720926</v>
      </c>
      <c r="AT9" s="4">
        <f t="shared" si="14"/>
        <v>2006.1687860086233</v>
      </c>
      <c r="AU9" s="4">
        <f t="shared" si="15"/>
        <v>2012.2412651977954</v>
      </c>
      <c r="AV9" s="4">
        <f t="shared" si="16"/>
        <v>2000.0963068194512</v>
      </c>
      <c r="AW9" s="4">
        <f t="shared" si="17"/>
        <v>0.24473923479100596</v>
      </c>
      <c r="AX9" s="4">
        <f t="shared" si="18"/>
        <v>-0.50339853648197264</v>
      </c>
      <c r="AY9" s="4">
        <f t="shared" si="19"/>
        <v>9.8440110646500642E-2</v>
      </c>
      <c r="AZ9" s="4">
        <f t="shared" si="20"/>
        <v>0.11600985277550163</v>
      </c>
      <c r="BA9" s="4">
        <f t="shared" si="2"/>
        <v>-0.23861801379965242</v>
      </c>
      <c r="BB9" s="4">
        <f t="shared" si="2"/>
        <v>4.66620023269122E-2</v>
      </c>
      <c r="BF9" s="6" t="s">
        <v>126</v>
      </c>
      <c r="BG9" s="6" t="s">
        <v>127</v>
      </c>
      <c r="BH9" s="6">
        <v>3</v>
      </c>
      <c r="BI9" s="6">
        <v>0.58454666698233071</v>
      </c>
      <c r="BJ9" s="6">
        <v>0.39852235073561859</v>
      </c>
    </row>
    <row r="10" spans="1:62" s="6" customFormat="1" x14ac:dyDescent="0.35">
      <c r="A10" s="4" t="s">
        <v>126</v>
      </c>
      <c r="B10" s="6" t="s">
        <v>129</v>
      </c>
      <c r="C10" s="6" t="s">
        <v>62</v>
      </c>
      <c r="D10" s="23">
        <v>4</v>
      </c>
      <c r="E10" s="23">
        <v>6</v>
      </c>
      <c r="F10" s="23">
        <f t="shared" si="0"/>
        <v>5</v>
      </c>
      <c r="G10" s="23">
        <f t="shared" si="3"/>
        <v>2</v>
      </c>
      <c r="H10" s="23">
        <f t="shared" si="4"/>
        <v>1</v>
      </c>
      <c r="I10" s="4">
        <f>BJ11</f>
        <v>0.46059251912495669</v>
      </c>
      <c r="J10" s="23">
        <v>4.8735010433614683</v>
      </c>
      <c r="K10" s="23">
        <v>0.99589372273624122</v>
      </c>
      <c r="L10" s="18">
        <f t="shared" si="5"/>
        <v>2.2446981225199636E-3</v>
      </c>
      <c r="M10" s="18">
        <f t="shared" si="6"/>
        <v>4.8534890968322088E-3</v>
      </c>
      <c r="N10" s="26">
        <v>26.748387116959101</v>
      </c>
      <c r="O10" s="26">
        <v>11.634620279960149</v>
      </c>
      <c r="P10" s="4">
        <f t="shared" si="7"/>
        <v>1.2320107004729729E-2</v>
      </c>
      <c r="Q10" s="4">
        <f t="shared" si="7"/>
        <v>5.358819063809154E-3</v>
      </c>
      <c r="R10" s="4">
        <v>1999.9427923514886</v>
      </c>
      <c r="S10" s="4">
        <v>7.237936082063035</v>
      </c>
      <c r="T10" s="4">
        <v>2007.1807284335516</v>
      </c>
      <c r="U10" s="4">
        <v>1992.7048562694256</v>
      </c>
      <c r="V10" s="4">
        <v>0.32123386404483173</v>
      </c>
      <c r="W10" s="4">
        <v>-1.9763970268780082</v>
      </c>
      <c r="X10" s="4">
        <v>0.14854504136168881</v>
      </c>
      <c r="Y10" s="4">
        <v>0.14795791466865291</v>
      </c>
      <c r="Z10" s="4">
        <v>-0.91031368540081659</v>
      </c>
      <c r="AA10" s="4">
        <v>6.8418734804301135E-2</v>
      </c>
      <c r="AC10" s="4" t="s">
        <v>126</v>
      </c>
      <c r="AD10" s="4">
        <v>4</v>
      </c>
      <c r="AE10" s="4">
        <v>6</v>
      </c>
      <c r="AF10" s="4">
        <v>5</v>
      </c>
      <c r="AG10" s="4">
        <v>2</v>
      </c>
      <c r="AH10" s="4">
        <v>0.46059251912495669</v>
      </c>
      <c r="AI10" s="4">
        <v>2.4631199999999995</v>
      </c>
      <c r="AJ10" s="4">
        <f t="shared" si="8"/>
        <v>0.70374857142857128</v>
      </c>
      <c r="AK10" s="4">
        <v>26.748387116959101</v>
      </c>
      <c r="AL10" s="4">
        <v>11.634620279960149</v>
      </c>
      <c r="AM10" s="4">
        <f t="shared" si="9"/>
        <v>1.2320107004729729E-2</v>
      </c>
      <c r="AN10" s="4">
        <f t="shared" si="10"/>
        <v>5.358819063809154E-3</v>
      </c>
      <c r="AO10" s="4">
        <f t="shared" si="11"/>
        <v>2.8716941758644417E-5</v>
      </c>
      <c r="AP10" s="4">
        <f t="shared" si="12"/>
        <v>2.4640214009459458E-2</v>
      </c>
      <c r="AQ10" s="7">
        <f>SUM(AP11:$AP$30)</f>
        <v>0.11483327856262894</v>
      </c>
      <c r="AR10" s="4">
        <f t="shared" si="13"/>
        <v>20.977972675833808</v>
      </c>
      <c r="AS10" s="4">
        <f t="shared" si="1"/>
        <v>7.237936082063035</v>
      </c>
      <c r="AT10" s="4">
        <f t="shared" si="14"/>
        <v>1999.9427923514886</v>
      </c>
      <c r="AU10" s="4">
        <f t="shared" si="15"/>
        <v>2007.1807284335516</v>
      </c>
      <c r="AV10" s="4">
        <f t="shared" si="16"/>
        <v>1992.7048562694256</v>
      </c>
      <c r="AW10" s="4">
        <f t="shared" si="17"/>
        <v>0.32123386404483173</v>
      </c>
      <c r="AX10" s="4">
        <f t="shared" si="18"/>
        <v>-1.9763970268780082</v>
      </c>
      <c r="AY10" s="4">
        <f t="shared" si="19"/>
        <v>0.14854504136168881</v>
      </c>
      <c r="AZ10" s="4">
        <f t="shared" si="20"/>
        <v>0.14795791466865291</v>
      </c>
      <c r="BA10" s="4">
        <f t="shared" si="2"/>
        <v>-0.91031368540081659</v>
      </c>
      <c r="BB10" s="4">
        <f t="shared" si="2"/>
        <v>6.8418734804301135E-2</v>
      </c>
      <c r="BF10" s="6" t="s">
        <v>126</v>
      </c>
      <c r="BG10" s="6" t="s">
        <v>127</v>
      </c>
      <c r="BH10" s="6">
        <v>4</v>
      </c>
      <c r="BI10" s="6">
        <v>0.68102420685860998</v>
      </c>
      <c r="BJ10" s="6">
        <v>0.47401411904620755</v>
      </c>
    </row>
    <row r="11" spans="1:62" s="6" customFormat="1" x14ac:dyDescent="0.35">
      <c r="A11" s="4" t="s">
        <v>126</v>
      </c>
      <c r="B11" s="6" t="s">
        <v>126</v>
      </c>
      <c r="C11" s="6" t="s">
        <v>63</v>
      </c>
      <c r="D11" s="23">
        <v>6</v>
      </c>
      <c r="E11" s="23">
        <v>8</v>
      </c>
      <c r="F11" s="23">
        <f t="shared" si="0"/>
        <v>7</v>
      </c>
      <c r="G11" s="23">
        <f t="shared" si="3"/>
        <v>2</v>
      </c>
      <c r="H11" s="23">
        <f t="shared" si="4"/>
        <v>1</v>
      </c>
      <c r="I11" s="4">
        <f t="shared" ref="I11:I27" si="21">BJ12</f>
        <v>0.49698526679636873</v>
      </c>
      <c r="J11" s="23">
        <v>2.8282342235976321</v>
      </c>
      <c r="K11" s="23">
        <v>0.95150674587123052</v>
      </c>
      <c r="L11" s="18">
        <f t="shared" si="5"/>
        <v>1.4055907401772901E-3</v>
      </c>
      <c r="M11" s="18">
        <f t="shared" si="6"/>
        <v>2.6910839426570292E-3</v>
      </c>
      <c r="N11" s="26">
        <v>26.790122371083193</v>
      </c>
      <c r="O11" s="26">
        <v>10.865531363998032</v>
      </c>
      <c r="P11" s="4">
        <f t="shared" si="7"/>
        <v>1.3314296114100148E-2</v>
      </c>
      <c r="Q11" s="4">
        <f t="shared" si="7"/>
        <v>5.4000090038208741E-3</v>
      </c>
      <c r="R11" s="4">
        <v>1991.4931708651507</v>
      </c>
      <c r="S11" s="4">
        <v>9.1363352886660749</v>
      </c>
      <c r="T11" s="4">
        <v>2000.6295061538167</v>
      </c>
      <c r="U11" s="4">
        <v>1982.3568355764846</v>
      </c>
      <c r="V11" s="4">
        <v>0.23669699325984803</v>
      </c>
      <c r="W11" s="4">
        <v>-2.9124214384793676</v>
      </c>
      <c r="X11" s="4">
        <v>0.11372710769099155</v>
      </c>
      <c r="Y11" s="4">
        <v>0.11763491834514386</v>
      </c>
      <c r="Z11" s="4">
        <v>-1.4474305456261325</v>
      </c>
      <c r="AA11" s="4">
        <v>5.6520696957786797E-2</v>
      </c>
      <c r="AC11" s="4" t="s">
        <v>126</v>
      </c>
      <c r="AD11" s="4">
        <v>6</v>
      </c>
      <c r="AE11" s="4">
        <v>8</v>
      </c>
      <c r="AF11" s="4">
        <v>7</v>
      </c>
      <c r="AG11" s="4">
        <v>2</v>
      </c>
      <c r="AH11" s="4">
        <v>0.49698526679636873</v>
      </c>
      <c r="AI11" s="4">
        <v>3.5828700000000002</v>
      </c>
      <c r="AJ11" s="4">
        <f t="shared" si="8"/>
        <v>1.023677142857143</v>
      </c>
      <c r="AK11" s="4">
        <v>26.790122371083193</v>
      </c>
      <c r="AL11" s="4">
        <v>10.865531363998032</v>
      </c>
      <c r="AM11" s="4">
        <f t="shared" si="9"/>
        <v>1.3314296114100148E-2</v>
      </c>
      <c r="AN11" s="4">
        <f t="shared" si="10"/>
        <v>5.4000090038208741E-3</v>
      </c>
      <c r="AO11" s="4">
        <f t="shared" si="11"/>
        <v>2.9160097241346508E-5</v>
      </c>
      <c r="AP11" s="4">
        <f t="shared" si="12"/>
        <v>2.6628592228200295E-2</v>
      </c>
      <c r="AQ11" s="7">
        <f>SUM(AP12:$AP$30)</f>
        <v>8.8204686334428656E-2</v>
      </c>
      <c r="AR11" s="4">
        <f t="shared" si="13"/>
        <v>29.427594162171744</v>
      </c>
      <c r="AS11" s="4">
        <f t="shared" si="1"/>
        <v>9.1363352886660749</v>
      </c>
      <c r="AT11" s="4">
        <f t="shared" si="14"/>
        <v>1991.4931708651507</v>
      </c>
      <c r="AU11" s="4">
        <f t="shared" si="15"/>
        <v>2000.6295061538167</v>
      </c>
      <c r="AV11" s="4">
        <f t="shared" si="16"/>
        <v>1982.3568355764846</v>
      </c>
      <c r="AW11" s="4">
        <f t="shared" si="17"/>
        <v>0.23669699325984803</v>
      </c>
      <c r="AX11" s="4">
        <f t="shared" si="18"/>
        <v>-2.9124214384793676</v>
      </c>
      <c r="AY11" s="4">
        <f t="shared" si="19"/>
        <v>0.11372710769099155</v>
      </c>
      <c r="AZ11" s="4">
        <f t="shared" si="20"/>
        <v>0.11763491834514386</v>
      </c>
      <c r="BA11" s="4">
        <f t="shared" si="2"/>
        <v>-1.4474305456261325</v>
      </c>
      <c r="BB11" s="4">
        <f t="shared" si="2"/>
        <v>5.6520696957786797E-2</v>
      </c>
      <c r="BF11" s="6" t="s">
        <v>126</v>
      </c>
      <c r="BG11" s="6" t="s">
        <v>127</v>
      </c>
      <c r="BH11" s="6">
        <v>6</v>
      </c>
      <c r="BI11" s="6">
        <v>0.55742856207652769</v>
      </c>
      <c r="BJ11" s="6">
        <v>0.46059251912495669</v>
      </c>
    </row>
    <row r="12" spans="1:62" s="6" customFormat="1" x14ac:dyDescent="0.35">
      <c r="A12" s="4" t="s">
        <v>126</v>
      </c>
      <c r="B12" s="6" t="s">
        <v>126</v>
      </c>
      <c r="C12" s="6" t="s">
        <v>65</v>
      </c>
      <c r="D12" s="23">
        <v>8</v>
      </c>
      <c r="E12" s="23">
        <v>10</v>
      </c>
      <c r="F12" s="23">
        <f t="shared" si="0"/>
        <v>9</v>
      </c>
      <c r="G12" s="23">
        <f t="shared" si="3"/>
        <v>2</v>
      </c>
      <c r="H12" s="23">
        <f t="shared" si="4"/>
        <v>1</v>
      </c>
      <c r="I12" s="4">
        <f t="shared" si="21"/>
        <v>0.51906694021446731</v>
      </c>
      <c r="J12" s="23">
        <v>1.1848328720801642</v>
      </c>
      <c r="K12" s="23">
        <v>0.62928834361101271</v>
      </c>
      <c r="L12" s="18">
        <f t="shared" si="5"/>
        <v>6.1500757357617016E-4</v>
      </c>
      <c r="M12" s="18">
        <f t="shared" si="6"/>
        <v>7.4560151552720548E-4</v>
      </c>
      <c r="N12" s="26">
        <v>18.510287944317071</v>
      </c>
      <c r="O12" s="26">
        <v>10.532242170377769</v>
      </c>
      <c r="P12" s="4">
        <f t="shared" si="7"/>
        <v>9.6080785257454029E-3</v>
      </c>
      <c r="Q12" s="4">
        <f t="shared" si="7"/>
        <v>5.466938716975768E-3</v>
      </c>
      <c r="R12" s="4">
        <v>1983.6232974279142</v>
      </c>
      <c r="S12" s="4">
        <v>11.277220157003171</v>
      </c>
      <c r="T12" s="4">
        <v>1994.9005175849175</v>
      </c>
      <c r="U12" s="4">
        <v>1972.3460772709109</v>
      </c>
      <c r="V12" s="4">
        <v>0.2541336929939626</v>
      </c>
      <c r="W12" s="4">
        <v>-0.58696697591634739</v>
      </c>
      <c r="X12" s="4">
        <v>0.10445449541238369</v>
      </c>
      <c r="Y12" s="4">
        <v>0.13191239842777897</v>
      </c>
      <c r="Z12" s="4">
        <v>-0.30467515219583735</v>
      </c>
      <c r="AA12" s="4">
        <v>5.4218875325352113E-2</v>
      </c>
      <c r="AC12" s="4" t="s">
        <v>126</v>
      </c>
      <c r="AD12" s="4">
        <v>8</v>
      </c>
      <c r="AE12" s="4">
        <v>10</v>
      </c>
      <c r="AF12" s="4">
        <v>9</v>
      </c>
      <c r="AG12" s="4">
        <v>2</v>
      </c>
      <c r="AH12" s="4">
        <v>0.51906694021446731</v>
      </c>
      <c r="AI12" s="4">
        <v>2.5521499999999993</v>
      </c>
      <c r="AJ12" s="4">
        <f t="shared" si="8"/>
        <v>0.7291857142857141</v>
      </c>
      <c r="AK12" s="4">
        <v>18.510287944317071</v>
      </c>
      <c r="AL12" s="4">
        <v>10.532242170377769</v>
      </c>
      <c r="AM12" s="4">
        <f t="shared" si="9"/>
        <v>9.6080785257454029E-3</v>
      </c>
      <c r="AN12" s="4">
        <f t="shared" si="10"/>
        <v>5.466938716975768E-3</v>
      </c>
      <c r="AO12" s="4">
        <f t="shared" si="11"/>
        <v>2.9887418935168657E-5</v>
      </c>
      <c r="AP12" s="4">
        <f t="shared" si="12"/>
        <v>1.9216157051490806E-2</v>
      </c>
      <c r="AQ12" s="7">
        <f>SUM(AP13:$AP$30)</f>
        <v>6.8988529282937847E-2</v>
      </c>
      <c r="AR12" s="4">
        <f t="shared" si="13"/>
        <v>37.297467599408229</v>
      </c>
      <c r="AS12" s="4">
        <f t="shared" si="1"/>
        <v>11.277220157003171</v>
      </c>
      <c r="AT12" s="4">
        <f t="shared" si="14"/>
        <v>1983.6232974279142</v>
      </c>
      <c r="AU12" s="4">
        <f t="shared" si="15"/>
        <v>1994.9005175849175</v>
      </c>
      <c r="AV12" s="4">
        <f t="shared" si="16"/>
        <v>1972.3460772709109</v>
      </c>
      <c r="AW12" s="4">
        <f t="shared" si="17"/>
        <v>0.2541336929939626</v>
      </c>
      <c r="AX12" s="4">
        <f t="shared" si="18"/>
        <v>-0.58696697591634739</v>
      </c>
      <c r="AY12" s="4">
        <f t="shared" si="19"/>
        <v>0.10445449541238369</v>
      </c>
      <c r="AZ12" s="4">
        <f t="shared" si="20"/>
        <v>0.13191239842777897</v>
      </c>
      <c r="BA12" s="4">
        <f t="shared" si="2"/>
        <v>-0.30467515219583735</v>
      </c>
      <c r="BB12" s="4">
        <f t="shared" si="2"/>
        <v>5.4218875325352113E-2</v>
      </c>
      <c r="BF12" s="6" t="s">
        <v>126</v>
      </c>
      <c r="BG12" s="6" t="s">
        <v>127</v>
      </c>
      <c r="BH12" s="6">
        <v>8</v>
      </c>
      <c r="BI12" s="6">
        <v>0.56575200664084846</v>
      </c>
      <c r="BJ12" s="6">
        <v>0.49698526679636873</v>
      </c>
    </row>
    <row r="13" spans="1:62" s="6" customFormat="1" x14ac:dyDescent="0.35">
      <c r="A13" s="4" t="s">
        <v>126</v>
      </c>
      <c r="B13" s="6" t="s">
        <v>126</v>
      </c>
      <c r="C13" s="6" t="s">
        <v>66</v>
      </c>
      <c r="D13" s="23">
        <v>10</v>
      </c>
      <c r="E13" s="23">
        <v>12</v>
      </c>
      <c r="F13" s="23">
        <f t="shared" si="0"/>
        <v>11</v>
      </c>
      <c r="G13" s="23">
        <f t="shared" si="3"/>
        <v>2</v>
      </c>
      <c r="H13" s="23">
        <f t="shared" si="4"/>
        <v>1</v>
      </c>
      <c r="I13" s="4">
        <f t="shared" si="21"/>
        <v>0.54157253331422972</v>
      </c>
      <c r="J13" s="23">
        <v>1.2210963230792746</v>
      </c>
      <c r="K13" s="23">
        <v>1.0257067268588305</v>
      </c>
      <c r="L13" s="18">
        <f t="shared" si="5"/>
        <v>6.613122291107338E-4</v>
      </c>
      <c r="M13" s="18">
        <f t="shared" si="6"/>
        <v>1.2524867127249957E-3</v>
      </c>
      <c r="N13" s="26">
        <v>-1.9559548545102174</v>
      </c>
      <c r="O13" s="26">
        <v>11.878254555435726</v>
      </c>
      <c r="P13" s="4">
        <f t="shared" si="7"/>
        <v>-1.0592914256053641E-3</v>
      </c>
      <c r="Q13" s="4">
        <f t="shared" si="7"/>
        <v>6.4329364109386149E-3</v>
      </c>
      <c r="R13" s="4">
        <v>1983.6232974279142</v>
      </c>
      <c r="S13" s="4">
        <v>11.277220157003171</v>
      </c>
      <c r="T13" s="4">
        <v>1994.9005175849175</v>
      </c>
      <c r="U13" s="4">
        <v>1972.3460772709109</v>
      </c>
      <c r="V13" s="4" t="e">
        <v>#DIV/0!</v>
      </c>
      <c r="W13" s="4">
        <v>-0.17734867034213009</v>
      </c>
      <c r="X13" s="4">
        <v>0.17734867034213009</v>
      </c>
      <c r="Y13" s="4" t="e">
        <v>#DIV/0!</v>
      </c>
      <c r="Z13" s="4">
        <v>-9.6047168677097589E-2</v>
      </c>
      <c r="AA13" s="4">
        <v>9.6047168677097589E-2</v>
      </c>
      <c r="AC13" s="4" t="s">
        <v>126</v>
      </c>
      <c r="AD13" s="4">
        <v>10</v>
      </c>
      <c r="AE13" s="4">
        <v>12</v>
      </c>
      <c r="AF13" s="4">
        <v>11</v>
      </c>
      <c r="AG13" s="4">
        <v>2</v>
      </c>
      <c r="AH13" s="4">
        <v>0.54157253331422972</v>
      </c>
      <c r="AI13" s="4">
        <v>3.6006799999999997</v>
      </c>
      <c r="AJ13" s="4">
        <f t="shared" si="8"/>
        <v>1.0287657142857143</v>
      </c>
      <c r="AK13" s="4">
        <v>0</v>
      </c>
      <c r="AL13" s="4">
        <v>11.878254555435726</v>
      </c>
      <c r="AM13" s="4">
        <f t="shared" si="9"/>
        <v>0</v>
      </c>
      <c r="AN13" s="4">
        <f t="shared" si="10"/>
        <v>6.4329364109386149E-3</v>
      </c>
      <c r="AO13" s="4">
        <f t="shared" si="11"/>
        <v>4.1382670867179786E-5</v>
      </c>
      <c r="AP13" s="4">
        <f t="shared" si="12"/>
        <v>0</v>
      </c>
      <c r="AQ13" s="7">
        <f>SUM(AP14:$AP$30)</f>
        <v>6.8988529282937847E-2</v>
      </c>
      <c r="AR13" s="4">
        <f t="shared" si="13"/>
        <v>37.297467599408229</v>
      </c>
      <c r="AS13" s="4">
        <f t="shared" si="1"/>
        <v>11.277220157003171</v>
      </c>
      <c r="AT13" s="4">
        <f t="shared" si="14"/>
        <v>1983.6232974279142</v>
      </c>
      <c r="AU13" s="4">
        <f t="shared" si="15"/>
        <v>1994.9005175849175</v>
      </c>
      <c r="AV13" s="4">
        <f t="shared" si="16"/>
        <v>1972.3460772709109</v>
      </c>
      <c r="AW13" s="4" t="e">
        <f t="shared" si="17"/>
        <v>#DIV/0!</v>
      </c>
      <c r="AX13" s="4">
        <f t="shared" si="18"/>
        <v>-0.17734867034213009</v>
      </c>
      <c r="AY13" s="4">
        <f t="shared" si="19"/>
        <v>0.17734867034213009</v>
      </c>
      <c r="AZ13" s="4" t="e">
        <f t="shared" si="20"/>
        <v>#DIV/0!</v>
      </c>
      <c r="BA13" s="4">
        <f t="shared" si="2"/>
        <v>-9.6047168677097589E-2</v>
      </c>
      <c r="BB13" s="4">
        <f t="shared" si="2"/>
        <v>9.6047168677097589E-2</v>
      </c>
      <c r="BF13" s="6" t="s">
        <v>126</v>
      </c>
      <c r="BG13" s="6" t="s">
        <v>127</v>
      </c>
      <c r="BH13" s="6">
        <v>10</v>
      </c>
      <c r="BI13" s="6">
        <v>0.53241342157394234</v>
      </c>
      <c r="BJ13" s="6">
        <v>0.51906694021446731</v>
      </c>
    </row>
    <row r="14" spans="1:62" s="6" customFormat="1" x14ac:dyDescent="0.35">
      <c r="A14" s="4" t="s">
        <v>126</v>
      </c>
      <c r="B14" s="6" t="s">
        <v>130</v>
      </c>
      <c r="C14" s="6" t="s">
        <v>68</v>
      </c>
      <c r="D14" s="23">
        <v>12</v>
      </c>
      <c r="E14" s="23">
        <v>14</v>
      </c>
      <c r="F14" s="23">
        <f t="shared" si="0"/>
        <v>13</v>
      </c>
      <c r="G14" s="23">
        <f t="shared" si="3"/>
        <v>2</v>
      </c>
      <c r="H14" s="23">
        <f t="shared" si="4"/>
        <v>1</v>
      </c>
      <c r="I14" s="4">
        <f t="shared" si="21"/>
        <v>0.55876399040456282</v>
      </c>
      <c r="J14" s="23">
        <v>1.3604391158097184</v>
      </c>
      <c r="K14" s="23">
        <v>0.63713422967125866</v>
      </c>
      <c r="L14" s="18">
        <f t="shared" si="5"/>
        <v>7.6016438905229344E-4</v>
      </c>
      <c r="M14" s="18">
        <f t="shared" si="6"/>
        <v>8.667823280660733E-4</v>
      </c>
      <c r="N14" s="26">
        <v>-3.0603206912368073</v>
      </c>
      <c r="O14" s="26">
        <v>8.4975646664613897</v>
      </c>
      <c r="P14" s="4">
        <f t="shared" si="7"/>
        <v>-1.7099970013531285E-3</v>
      </c>
      <c r="Q14" s="4">
        <f t="shared" si="7"/>
        <v>4.7481331417527839E-3</v>
      </c>
      <c r="R14" s="4">
        <v>1983.6232974279142</v>
      </c>
      <c r="S14" s="4">
        <v>11.277220157003171</v>
      </c>
      <c r="T14" s="4">
        <v>1994.9005175849175</v>
      </c>
      <c r="U14" s="4">
        <v>1972.3460772709109</v>
      </c>
      <c r="V14" s="4" t="e">
        <v>#DIV/0!</v>
      </c>
      <c r="W14" s="4">
        <v>-0.17734867034213009</v>
      </c>
      <c r="X14" s="4">
        <v>0.17734867034213009</v>
      </c>
      <c r="Y14" s="4" t="e">
        <v>#DIV/0!</v>
      </c>
      <c r="Z14" s="4">
        <v>-9.9096050733311944E-2</v>
      </c>
      <c r="AA14" s="4">
        <v>9.9096050733311944E-2</v>
      </c>
      <c r="AC14" s="4" t="s">
        <v>126</v>
      </c>
      <c r="AD14" s="4">
        <v>12</v>
      </c>
      <c r="AE14" s="4">
        <v>14</v>
      </c>
      <c r="AF14" s="4">
        <v>13</v>
      </c>
      <c r="AG14" s="4">
        <v>2</v>
      </c>
      <c r="AH14" s="4">
        <v>0.55876399040456282</v>
      </c>
      <c r="AI14" s="4">
        <v>2.7834499999999998</v>
      </c>
      <c r="AJ14" s="4">
        <f t="shared" si="8"/>
        <v>0.79527142857142852</v>
      </c>
      <c r="AK14" s="4">
        <v>0</v>
      </c>
      <c r="AL14" s="4">
        <v>8.4975646664613897</v>
      </c>
      <c r="AM14" s="4">
        <f t="shared" si="9"/>
        <v>0</v>
      </c>
      <c r="AN14" s="4">
        <f t="shared" si="10"/>
        <v>4.7481331417527839E-3</v>
      </c>
      <c r="AO14" s="4">
        <f t="shared" si="11"/>
        <v>2.2544768331811161E-5</v>
      </c>
      <c r="AP14" s="4">
        <f t="shared" si="12"/>
        <v>0</v>
      </c>
      <c r="AQ14" s="7">
        <f>SUM(AP15:$AP$30)</f>
        <v>6.8988529282937847E-2</v>
      </c>
      <c r="AR14" s="4">
        <f t="shared" si="13"/>
        <v>37.297467599408229</v>
      </c>
      <c r="AS14" s="4">
        <f t="shared" si="1"/>
        <v>11.277220157003171</v>
      </c>
      <c r="AT14" s="4">
        <f t="shared" si="14"/>
        <v>1983.6232974279142</v>
      </c>
      <c r="AU14" s="4">
        <f t="shared" si="15"/>
        <v>1994.9005175849175</v>
      </c>
      <c r="AV14" s="4">
        <f t="shared" si="16"/>
        <v>1972.3460772709109</v>
      </c>
      <c r="AW14" s="4" t="e">
        <f t="shared" si="17"/>
        <v>#DIV/0!</v>
      </c>
      <c r="AX14" s="4">
        <f t="shared" si="18"/>
        <v>-0.17734867034213009</v>
      </c>
      <c r="AY14" s="4">
        <f t="shared" si="19"/>
        <v>0.17734867034213009</v>
      </c>
      <c r="AZ14" s="4" t="e">
        <f t="shared" si="20"/>
        <v>#DIV/0!</v>
      </c>
      <c r="BA14" s="4">
        <f t="shared" si="2"/>
        <v>-9.9096050733311944E-2</v>
      </c>
      <c r="BB14" s="4">
        <f t="shared" si="2"/>
        <v>9.9096050733311944E-2</v>
      </c>
      <c r="BF14" s="6" t="s">
        <v>126</v>
      </c>
      <c r="BG14" s="6" t="s">
        <v>127</v>
      </c>
      <c r="BH14" s="6">
        <v>12</v>
      </c>
      <c r="BI14" s="6">
        <v>0.53450452208992127</v>
      </c>
      <c r="BJ14" s="6">
        <v>0.54157253331422972</v>
      </c>
    </row>
    <row r="15" spans="1:62" s="6" customFormat="1" x14ac:dyDescent="0.35">
      <c r="A15" s="4" t="s">
        <v>126</v>
      </c>
      <c r="B15" s="6" t="s">
        <v>126</v>
      </c>
      <c r="C15" s="6" t="s">
        <v>69</v>
      </c>
      <c r="D15" s="23">
        <v>14</v>
      </c>
      <c r="E15" s="23">
        <v>16</v>
      </c>
      <c r="F15" s="23">
        <f t="shared" si="0"/>
        <v>15</v>
      </c>
      <c r="G15" s="23">
        <f t="shared" si="3"/>
        <v>2</v>
      </c>
      <c r="H15" s="23">
        <f t="shared" si="4"/>
        <v>1</v>
      </c>
      <c r="I15" s="4">
        <f t="shared" si="21"/>
        <v>0.49067567653446087</v>
      </c>
      <c r="J15" s="23">
        <v>3.6847598794346285E-2</v>
      </c>
      <c r="K15" s="23">
        <v>0.36912571627584578</v>
      </c>
      <c r="L15" s="18">
        <f t="shared" si="5"/>
        <v>1.8080220467086251E-5</v>
      </c>
      <c r="M15" s="18">
        <f t="shared" si="6"/>
        <v>1.3601396298008064E-5</v>
      </c>
      <c r="N15" s="26">
        <v>6.1822910165727691</v>
      </c>
      <c r="O15" s="26">
        <v>10.93651091750078</v>
      </c>
      <c r="P15" s="4">
        <f t="shared" si="7"/>
        <v>3.0334998270897633E-3</v>
      </c>
      <c r="Q15" s="4">
        <f t="shared" si="7"/>
        <v>5.3662798933712119E-3</v>
      </c>
      <c r="R15" s="4">
        <v>1980.6750761158864</v>
      </c>
      <c r="S15" s="4">
        <v>12.180906094366211</v>
      </c>
      <c r="T15" s="4">
        <v>1992.8559822102527</v>
      </c>
      <c r="U15" s="4">
        <v>1968.4941700215202</v>
      </c>
      <c r="V15" s="4">
        <v>0.67837512463555216</v>
      </c>
      <c r="W15" s="4">
        <v>-0.21662171374309847</v>
      </c>
      <c r="X15" s="4">
        <v>0.13219533065434722</v>
      </c>
      <c r="Y15" s="4">
        <v>0.33286217322469874</v>
      </c>
      <c r="Z15" s="4">
        <v>-0.10629100594294916</v>
      </c>
      <c r="AA15" s="4">
        <v>6.4865033303518574E-2</v>
      </c>
      <c r="AC15" s="4" t="s">
        <v>126</v>
      </c>
      <c r="AD15" s="4">
        <v>14</v>
      </c>
      <c r="AE15" s="4">
        <v>16</v>
      </c>
      <c r="AF15" s="4">
        <v>15</v>
      </c>
      <c r="AG15" s="4">
        <v>2</v>
      </c>
      <c r="AH15" s="4">
        <v>0.49067567653446087</v>
      </c>
      <c r="AI15" s="4">
        <v>3.3442999999999996</v>
      </c>
      <c r="AJ15" s="4">
        <f t="shared" si="8"/>
        <v>0.95551428571428565</v>
      </c>
      <c r="AK15" s="4">
        <v>6.1822910165727691</v>
      </c>
      <c r="AL15" s="4">
        <v>10.93651091750078</v>
      </c>
      <c r="AM15" s="4">
        <f t="shared" si="9"/>
        <v>3.0334998270897633E-3</v>
      </c>
      <c r="AN15" s="4">
        <f t="shared" si="10"/>
        <v>5.3662798933712119E-3</v>
      </c>
      <c r="AO15" s="4">
        <f t="shared" si="11"/>
        <v>2.8796959894000145E-5</v>
      </c>
      <c r="AP15" s="4">
        <f t="shared" si="12"/>
        <v>6.0669996541795265E-3</v>
      </c>
      <c r="AQ15" s="7">
        <f>SUM(AP16:$AP$30)</f>
        <v>6.2921529628758313E-2</v>
      </c>
      <c r="AR15" s="4">
        <f t="shared" si="13"/>
        <v>40.245688911435991</v>
      </c>
      <c r="AS15" s="4">
        <f t="shared" si="1"/>
        <v>12.180906094366211</v>
      </c>
      <c r="AT15" s="4">
        <f t="shared" si="14"/>
        <v>1980.6750761158864</v>
      </c>
      <c r="AU15" s="4">
        <f t="shared" si="15"/>
        <v>1992.8559822102527</v>
      </c>
      <c r="AV15" s="4">
        <f t="shared" si="16"/>
        <v>1968.4941700215202</v>
      </c>
      <c r="AW15" s="4">
        <f t="shared" si="17"/>
        <v>0.67837512463555216</v>
      </c>
      <c r="AX15" s="4">
        <f t="shared" si="18"/>
        <v>-0.21662171374309847</v>
      </c>
      <c r="AY15" s="4">
        <f t="shared" si="19"/>
        <v>0.13219533065434722</v>
      </c>
      <c r="AZ15" s="4">
        <f t="shared" si="20"/>
        <v>0.33286217322469874</v>
      </c>
      <c r="BA15" s="4">
        <f t="shared" si="2"/>
        <v>-0.10629100594294916</v>
      </c>
      <c r="BB15" s="4">
        <f t="shared" si="2"/>
        <v>6.4865033303518574E-2</v>
      </c>
      <c r="BF15" s="6" t="s">
        <v>126</v>
      </c>
      <c r="BG15" s="6" t="s">
        <v>127</v>
      </c>
      <c r="BH15" s="6">
        <v>14</v>
      </c>
      <c r="BI15" s="6">
        <v>0.53043522515100727</v>
      </c>
      <c r="BJ15" s="6">
        <v>0.55876399040456282</v>
      </c>
    </row>
    <row r="16" spans="1:62" s="6" customFormat="1" x14ac:dyDescent="0.35">
      <c r="A16" s="4" t="s">
        <v>126</v>
      </c>
      <c r="B16" s="6" t="s">
        <v>131</v>
      </c>
      <c r="C16" s="6" t="s">
        <v>71</v>
      </c>
      <c r="D16" s="23">
        <v>16</v>
      </c>
      <c r="E16" s="23">
        <v>18</v>
      </c>
      <c r="F16" s="23">
        <f t="shared" si="0"/>
        <v>17</v>
      </c>
      <c r="G16" s="23">
        <f t="shared" si="3"/>
        <v>2</v>
      </c>
      <c r="H16" s="23">
        <f t="shared" si="4"/>
        <v>1</v>
      </c>
      <c r="I16" s="4">
        <f t="shared" si="21"/>
        <v>0.49758329634728743</v>
      </c>
      <c r="J16" s="23">
        <v>0.21620059575243758</v>
      </c>
      <c r="K16" s="23">
        <v>0.60340093518156546</v>
      </c>
      <c r="L16" s="18">
        <f t="shared" si="5"/>
        <v>1.0757780510674523E-4</v>
      </c>
      <c r="M16" s="18">
        <f t="shared" si="6"/>
        <v>1.3045564166383242E-4</v>
      </c>
      <c r="N16" s="26">
        <v>15.746389948097132</v>
      </c>
      <c r="O16" s="26">
        <v>10.61722220140987</v>
      </c>
      <c r="P16" s="4">
        <f t="shared" si="7"/>
        <v>7.8351406159439634E-3</v>
      </c>
      <c r="Q16" s="4">
        <f t="shared" si="7"/>
        <v>5.282952421029127E-3</v>
      </c>
      <c r="R16" s="4">
        <v>1971.502007326359</v>
      </c>
      <c r="S16" s="4">
        <v>15.37631585612646</v>
      </c>
      <c r="T16" s="4">
        <v>1986.8783231824855</v>
      </c>
      <c r="U16" s="4">
        <v>1956.1256914702326</v>
      </c>
      <c r="V16" s="4">
        <v>0.21802954342644143</v>
      </c>
      <c r="W16" s="4">
        <v>-0.3224117915226794</v>
      </c>
      <c r="X16" s="4">
        <v>8.1468437146919467E-2</v>
      </c>
      <c r="Y16" s="4">
        <v>0.10848785891922277</v>
      </c>
      <c r="Z16" s="4">
        <v>-0.16042672200708924</v>
      </c>
      <c r="AA16" s="4">
        <v>4.053733350382599E-2</v>
      </c>
      <c r="AC16" s="4" t="s">
        <v>126</v>
      </c>
      <c r="AD16" s="4">
        <v>16</v>
      </c>
      <c r="AE16" s="4">
        <v>18</v>
      </c>
      <c r="AF16" s="4">
        <v>17</v>
      </c>
      <c r="AG16" s="4">
        <v>2</v>
      </c>
      <c r="AH16" s="4">
        <v>0.49758329634728743</v>
      </c>
      <c r="AI16" s="4">
        <v>2.5379800000000006</v>
      </c>
      <c r="AJ16" s="4">
        <f t="shared" si="8"/>
        <v>0.72513714285714304</v>
      </c>
      <c r="AK16" s="4">
        <v>15.746389948097132</v>
      </c>
      <c r="AL16" s="4">
        <v>10.61722220140987</v>
      </c>
      <c r="AM16" s="4">
        <f t="shared" si="9"/>
        <v>7.8351406159439634E-3</v>
      </c>
      <c r="AN16" s="4">
        <f t="shared" si="10"/>
        <v>5.282952421029127E-3</v>
      </c>
      <c r="AO16" s="4">
        <f t="shared" si="11"/>
        <v>2.7909586282857515E-5</v>
      </c>
      <c r="AP16" s="4">
        <f t="shared" si="12"/>
        <v>1.5670281231887927E-2</v>
      </c>
      <c r="AQ16" s="7">
        <f>SUM(AP17:$AP$30)</f>
        <v>4.7251248396870393E-2</v>
      </c>
      <c r="AR16" s="4">
        <f t="shared" si="13"/>
        <v>49.418757700963454</v>
      </c>
      <c r="AS16" s="4">
        <f t="shared" si="1"/>
        <v>15.37631585612646</v>
      </c>
      <c r="AT16" s="4">
        <f t="shared" si="14"/>
        <v>1971.502007326359</v>
      </c>
      <c r="AU16" s="4">
        <f t="shared" si="15"/>
        <v>1986.8783231824855</v>
      </c>
      <c r="AV16" s="4">
        <f t="shared" si="16"/>
        <v>1956.1256914702326</v>
      </c>
      <c r="AW16" s="4">
        <f t="shared" si="17"/>
        <v>0.21802954342644143</v>
      </c>
      <c r="AX16" s="4">
        <f t="shared" si="18"/>
        <v>-0.3224117915226794</v>
      </c>
      <c r="AY16" s="4">
        <f t="shared" si="19"/>
        <v>8.1468437146919467E-2</v>
      </c>
      <c r="AZ16" s="4">
        <f t="shared" si="20"/>
        <v>0.10848785891922277</v>
      </c>
      <c r="BA16" s="4">
        <f t="shared" si="2"/>
        <v>-0.16042672200708924</v>
      </c>
      <c r="BB16" s="4">
        <f t="shared" si="2"/>
        <v>4.053733350382599E-2</v>
      </c>
      <c r="BF16" s="6" t="s">
        <v>126</v>
      </c>
      <c r="BG16" s="6" t="s">
        <v>127</v>
      </c>
      <c r="BH16" s="6">
        <v>16</v>
      </c>
      <c r="BI16" s="6">
        <v>0.5255597602125589</v>
      </c>
      <c r="BJ16" s="6">
        <v>0.49067567653446087</v>
      </c>
    </row>
    <row r="17" spans="1:62" s="6" customFormat="1" x14ac:dyDescent="0.35">
      <c r="A17" s="4" t="s">
        <v>126</v>
      </c>
      <c r="B17" s="6" t="s">
        <v>126</v>
      </c>
      <c r="C17" s="6" t="s">
        <v>72</v>
      </c>
      <c r="D17" s="23">
        <v>18</v>
      </c>
      <c r="E17" s="23">
        <v>20</v>
      </c>
      <c r="F17" s="23">
        <f t="shared" si="0"/>
        <v>19</v>
      </c>
      <c r="G17" s="23">
        <f t="shared" si="3"/>
        <v>2</v>
      </c>
      <c r="H17" s="23">
        <f t="shared" si="4"/>
        <v>1</v>
      </c>
      <c r="I17" s="4">
        <f t="shared" si="21"/>
        <v>0.57004328193454812</v>
      </c>
      <c r="J17" s="23">
        <v>0.95471143377130996</v>
      </c>
      <c r="K17" s="23">
        <v>0.74019548736289331</v>
      </c>
      <c r="L17" s="18">
        <f t="shared" si="5"/>
        <v>5.4422683900743555E-4</v>
      </c>
      <c r="M17" s="18">
        <f t="shared" si="6"/>
        <v>7.066730950112814E-4</v>
      </c>
      <c r="N17" s="26">
        <v>18.494755942924847</v>
      </c>
      <c r="O17" s="26">
        <v>13.823609381059647</v>
      </c>
      <c r="P17" s="4">
        <f t="shared" si="7"/>
        <v>1.0542811376283368E-2</v>
      </c>
      <c r="Q17" s="4">
        <f t="shared" si="7"/>
        <v>7.8800556597604481E-3</v>
      </c>
      <c r="R17" s="4">
        <v>1952.5725181888358</v>
      </c>
      <c r="S17" s="4">
        <v>23.957399913538445</v>
      </c>
      <c r="T17" s="4">
        <v>1976.5299181023743</v>
      </c>
      <c r="U17" s="4">
        <v>1928.6151182752974</v>
      </c>
      <c r="V17" s="4">
        <v>0.10565525490254653</v>
      </c>
      <c r="W17" s="4">
        <v>-0.39777953291069712</v>
      </c>
      <c r="X17" s="4">
        <v>4.6634298832418833E-2</v>
      </c>
      <c r="Y17" s="4">
        <v>6.022806825827888E-2</v>
      </c>
      <c r="Z17" s="4">
        <v>-0.22675155042680539</v>
      </c>
      <c r="AA17" s="4">
        <v>2.6583568757148499E-2</v>
      </c>
      <c r="AC17" s="4" t="s">
        <v>126</v>
      </c>
      <c r="AD17" s="4">
        <v>18</v>
      </c>
      <c r="AE17" s="4">
        <v>20</v>
      </c>
      <c r="AF17" s="4">
        <v>19</v>
      </c>
      <c r="AG17" s="4">
        <v>2</v>
      </c>
      <c r="AH17" s="4">
        <v>0.57004328193454812</v>
      </c>
      <c r="AI17" s="4">
        <v>3.3508900000000001</v>
      </c>
      <c r="AJ17" s="4">
        <f t="shared" si="8"/>
        <v>0.95739714285714295</v>
      </c>
      <c r="AK17" s="4">
        <v>18.494755942924847</v>
      </c>
      <c r="AL17" s="4">
        <v>13.823609381059647</v>
      </c>
      <c r="AM17" s="4">
        <f>AK17*AH17/1000</f>
        <v>1.0542811376283368E-2</v>
      </c>
      <c r="AN17" s="4">
        <f t="shared" si="10"/>
        <v>7.8800556597604481E-3</v>
      </c>
      <c r="AO17" s="4">
        <f t="shared" si="11"/>
        <v>6.2095277200922665E-5</v>
      </c>
      <c r="AP17" s="4">
        <f t="shared" si="12"/>
        <v>2.1085622752566736E-2</v>
      </c>
      <c r="AQ17" s="7">
        <f>SUM(AP18:$AP$30)</f>
        <v>2.6165625644303657E-2</v>
      </c>
      <c r="AR17" s="4">
        <f t="shared" si="13"/>
        <v>68.348246838486645</v>
      </c>
      <c r="AS17" s="4">
        <f t="shared" si="1"/>
        <v>23.957399913538445</v>
      </c>
      <c r="AT17" s="4">
        <f t="shared" si="14"/>
        <v>1952.5725181888358</v>
      </c>
      <c r="AU17" s="4">
        <f t="shared" si="15"/>
        <v>1976.5299181023743</v>
      </c>
      <c r="AV17" s="4">
        <f t="shared" si="16"/>
        <v>1928.6151182752974</v>
      </c>
      <c r="AW17" s="4">
        <f t="shared" si="17"/>
        <v>0.10565525490254653</v>
      </c>
      <c r="AX17" s="4">
        <f t="shared" si="18"/>
        <v>-0.39777953291069712</v>
      </c>
      <c r="AY17" s="4">
        <f t="shared" si="19"/>
        <v>4.6634298832418833E-2</v>
      </c>
      <c r="AZ17" s="4">
        <f t="shared" si="20"/>
        <v>6.022806825827888E-2</v>
      </c>
      <c r="BA17" s="4">
        <f t="shared" si="2"/>
        <v>-0.22675155042680539</v>
      </c>
      <c r="BB17" s="4">
        <f t="shared" si="2"/>
        <v>2.6583568757148499E-2</v>
      </c>
      <c r="BF17" s="6" t="s">
        <v>126</v>
      </c>
      <c r="BG17" s="6" t="s">
        <v>127</v>
      </c>
      <c r="BH17" s="6">
        <v>18</v>
      </c>
      <c r="BI17" s="6">
        <v>0.53507732678834785</v>
      </c>
      <c r="BJ17" s="6">
        <v>0.49758329634728743</v>
      </c>
    </row>
    <row r="18" spans="1:62" s="6" customFormat="1" x14ac:dyDescent="0.35">
      <c r="A18" s="4" t="s">
        <v>126</v>
      </c>
      <c r="B18" s="6" t="s">
        <v>132</v>
      </c>
      <c r="C18" s="6" t="s">
        <v>74</v>
      </c>
      <c r="D18" s="23">
        <v>20</v>
      </c>
      <c r="E18" s="23">
        <v>22</v>
      </c>
      <c r="F18" s="23">
        <f t="shared" si="0"/>
        <v>21</v>
      </c>
      <c r="G18" s="23">
        <f t="shared" si="3"/>
        <v>2</v>
      </c>
      <c r="H18" s="23">
        <f t="shared" si="4"/>
        <v>1</v>
      </c>
      <c r="I18" s="4">
        <f t="shared" si="21"/>
        <v>0.54909710766376352</v>
      </c>
      <c r="J18" s="23">
        <v>0.94068510385566906</v>
      </c>
      <c r="K18" s="23">
        <v>0.62132453824475786</v>
      </c>
      <c r="L18" s="18">
        <f t="shared" si="5"/>
        <v>5.1652746974953487E-4</v>
      </c>
      <c r="M18" s="18">
        <f t="shared" si="6"/>
        <v>5.8447073778684563E-4</v>
      </c>
      <c r="N18" s="26">
        <v>-9.0345430898389907</v>
      </c>
      <c r="O18" s="26">
        <v>8.4420303004077777</v>
      </c>
      <c r="P18" s="4">
        <f t="shared" si="7"/>
        <v>-4.9608414796942311E-3</v>
      </c>
      <c r="Q18" s="4">
        <f t="shared" si="7"/>
        <v>4.6354944207637628E-3</v>
      </c>
      <c r="R18" s="4">
        <v>1952.5725181888358</v>
      </c>
      <c r="S18" s="4">
        <v>23.957399913538445</v>
      </c>
      <c r="T18" s="4">
        <v>1976.5299181023743</v>
      </c>
      <c r="U18" s="4">
        <v>1928.6151182752974</v>
      </c>
      <c r="V18" s="4" t="e">
        <v>#DIV/0!</v>
      </c>
      <c r="W18" s="4">
        <v>-8.3481513320224313E-2</v>
      </c>
      <c r="X18" s="4">
        <v>8.3481513320224313E-2</v>
      </c>
      <c r="Y18" s="4" t="e">
        <v>#DIV/0!</v>
      </c>
      <c r="Z18" s="4">
        <v>-4.5839457507529116E-2</v>
      </c>
      <c r="AA18" s="4">
        <v>4.5839457507529116E-2</v>
      </c>
      <c r="AC18" s="4" t="s">
        <v>126</v>
      </c>
      <c r="AD18" s="4">
        <v>20</v>
      </c>
      <c r="AE18" s="4">
        <v>22</v>
      </c>
      <c r="AF18" s="4">
        <v>21</v>
      </c>
      <c r="AG18" s="4">
        <v>2</v>
      </c>
      <c r="AH18" s="4">
        <v>0.54909710766376352</v>
      </c>
      <c r="AI18" s="4">
        <v>2.5525299999999991</v>
      </c>
      <c r="AJ18" s="4">
        <f t="shared" si="8"/>
        <v>0.72929428571428545</v>
      </c>
      <c r="AK18" s="4">
        <v>0</v>
      </c>
      <c r="AL18" s="4">
        <v>8.4420303004077777</v>
      </c>
      <c r="AM18" s="4">
        <f t="shared" ref="AM18:AM30" si="22">AK18*AH18/1000</f>
        <v>0</v>
      </c>
      <c r="AN18" s="4">
        <f t="shared" si="10"/>
        <v>4.6354944207637628E-3</v>
      </c>
      <c r="AO18" s="4">
        <f t="shared" si="11"/>
        <v>2.1487808524931972E-5</v>
      </c>
      <c r="AP18" s="4">
        <f t="shared" si="12"/>
        <v>0</v>
      </c>
      <c r="AQ18" s="7">
        <f>SUM(AP19:$AP$30)</f>
        <v>2.6165625644303657E-2</v>
      </c>
      <c r="AR18" s="4">
        <f t="shared" si="13"/>
        <v>68.348246838486645</v>
      </c>
      <c r="AS18" s="4">
        <f t="shared" si="1"/>
        <v>23.957399913538445</v>
      </c>
      <c r="AT18" s="4">
        <f t="shared" si="14"/>
        <v>1952.5725181888358</v>
      </c>
      <c r="AU18" s="4">
        <f t="shared" si="15"/>
        <v>1976.5299181023743</v>
      </c>
      <c r="AV18" s="4">
        <f t="shared" si="16"/>
        <v>1928.6151182752974</v>
      </c>
      <c r="AW18" s="4" t="e">
        <f t="shared" si="17"/>
        <v>#DIV/0!</v>
      </c>
      <c r="AX18" s="4">
        <f t="shared" si="18"/>
        <v>-8.3481513320224313E-2</v>
      </c>
      <c r="AY18" s="4">
        <f t="shared" si="19"/>
        <v>8.3481513320224313E-2</v>
      </c>
      <c r="AZ18" s="4" t="e">
        <f t="shared" si="20"/>
        <v>#DIV/0!</v>
      </c>
      <c r="BA18" s="4">
        <f t="shared" si="2"/>
        <v>-4.5839457507529116E-2</v>
      </c>
      <c r="BB18" s="4">
        <f t="shared" si="2"/>
        <v>4.5839457507529116E-2</v>
      </c>
      <c r="BF18" s="6" t="s">
        <v>126</v>
      </c>
      <c r="BG18" s="6" t="s">
        <v>127</v>
      </c>
      <c r="BH18" s="6">
        <v>20</v>
      </c>
      <c r="BI18" s="6">
        <v>0.53007582139848353</v>
      </c>
      <c r="BJ18" s="6">
        <v>0.57004328193454812</v>
      </c>
    </row>
    <row r="19" spans="1:62" s="6" customFormat="1" x14ac:dyDescent="0.35">
      <c r="A19" s="4" t="s">
        <v>126</v>
      </c>
      <c r="B19" s="6" t="s">
        <v>126</v>
      </c>
      <c r="C19" s="6" t="s">
        <v>75</v>
      </c>
      <c r="D19" s="23">
        <v>22</v>
      </c>
      <c r="E19" s="23">
        <v>24</v>
      </c>
      <c r="F19" s="23">
        <f t="shared" si="0"/>
        <v>23</v>
      </c>
      <c r="G19" s="23">
        <f t="shared" si="3"/>
        <v>2</v>
      </c>
      <c r="H19" s="23">
        <f t="shared" si="4"/>
        <v>1</v>
      </c>
      <c r="I19" s="4">
        <f t="shared" si="21"/>
        <v>0.58283278733046084</v>
      </c>
      <c r="J19" s="23">
        <v>0.17872615036847336</v>
      </c>
      <c r="K19" s="23">
        <v>0.79228034416514426</v>
      </c>
      <c r="L19" s="18">
        <f t="shared" si="5"/>
        <v>1.041674603881004E-4</v>
      </c>
      <c r="M19" s="18">
        <f t="shared" si="6"/>
        <v>1.4160121592524542E-4</v>
      </c>
      <c r="N19" s="26">
        <v>-1.6930532275327828</v>
      </c>
      <c r="O19" s="26">
        <v>11.1408844211345</v>
      </c>
      <c r="P19" s="4">
        <f t="shared" si="7"/>
        <v>-9.867669317017646E-4</v>
      </c>
      <c r="Q19" s="4">
        <f t="shared" si="7"/>
        <v>6.4932727204963289E-3</v>
      </c>
      <c r="R19" s="4">
        <v>1952.5725181888358</v>
      </c>
      <c r="S19" s="4">
        <v>23.957399913538445</v>
      </c>
      <c r="T19" s="4">
        <v>1976.5299181023743</v>
      </c>
      <c r="U19" s="4">
        <v>1928.6151182752974</v>
      </c>
      <c r="V19" s="4" t="e">
        <v>#DIV/0!</v>
      </c>
      <c r="W19" s="4">
        <v>-8.3481513320224313E-2</v>
      </c>
      <c r="X19" s="4">
        <v>8.3481513320224313E-2</v>
      </c>
      <c r="Y19" s="4" t="e">
        <v>#DIV/0!</v>
      </c>
      <c r="Z19" s="4">
        <v>-4.8655763098991334E-2</v>
      </c>
      <c r="AA19" s="4">
        <v>4.8655763098991334E-2</v>
      </c>
      <c r="AC19" s="4" t="s">
        <v>126</v>
      </c>
      <c r="AD19" s="4">
        <v>22</v>
      </c>
      <c r="AE19" s="4">
        <v>24</v>
      </c>
      <c r="AF19" s="4">
        <v>23</v>
      </c>
      <c r="AG19" s="4">
        <v>2</v>
      </c>
      <c r="AH19" s="4">
        <v>0.58283278733046084</v>
      </c>
      <c r="AI19" s="4">
        <v>3.4329700000000001</v>
      </c>
      <c r="AJ19" s="4">
        <f t="shared" si="8"/>
        <v>0.9808485714285714</v>
      </c>
      <c r="AK19" s="4">
        <v>0</v>
      </c>
      <c r="AL19" s="4">
        <v>11.1408844211345</v>
      </c>
      <c r="AM19" s="4">
        <f t="shared" si="22"/>
        <v>0</v>
      </c>
      <c r="AN19" s="4">
        <f t="shared" si="10"/>
        <v>6.4932727204963289E-3</v>
      </c>
      <c r="AO19" s="4">
        <f t="shared" si="11"/>
        <v>4.2162590622741795E-5</v>
      </c>
      <c r="AP19" s="4">
        <f t="shared" si="12"/>
        <v>0</v>
      </c>
      <c r="AQ19" s="7">
        <f>SUM(AP20:$AP$30)</f>
        <v>2.6165625644303657E-2</v>
      </c>
      <c r="AR19" s="4">
        <f t="shared" si="13"/>
        <v>68.348246838486645</v>
      </c>
      <c r="AS19" s="4">
        <f t="shared" si="1"/>
        <v>23.957399913538445</v>
      </c>
      <c r="AT19" s="4">
        <f t="shared" si="14"/>
        <v>1952.5725181888358</v>
      </c>
      <c r="AU19" s="4">
        <f t="shared" si="15"/>
        <v>1976.5299181023743</v>
      </c>
      <c r="AV19" s="4">
        <f t="shared" si="16"/>
        <v>1928.6151182752974</v>
      </c>
      <c r="AW19" s="4" t="e">
        <f t="shared" si="17"/>
        <v>#DIV/0!</v>
      </c>
      <c r="AX19" s="4">
        <f t="shared" si="18"/>
        <v>-8.3481513320224313E-2</v>
      </c>
      <c r="AY19" s="4">
        <f t="shared" si="19"/>
        <v>8.3481513320224313E-2</v>
      </c>
      <c r="AZ19" s="4" t="e">
        <f t="shared" si="20"/>
        <v>#DIV/0!</v>
      </c>
      <c r="BA19" s="4">
        <f t="shared" si="2"/>
        <v>-4.8655763098991334E-2</v>
      </c>
      <c r="BB19" s="4">
        <f t="shared" si="2"/>
        <v>4.8655763098991334E-2</v>
      </c>
      <c r="BF19" s="6" t="s">
        <v>126</v>
      </c>
      <c r="BG19" s="6" t="s">
        <v>127</v>
      </c>
      <c r="BH19" s="6">
        <v>22</v>
      </c>
      <c r="BI19" s="6">
        <v>0.51544787136682757</v>
      </c>
      <c r="BJ19" s="6">
        <v>0.54909710766376352</v>
      </c>
    </row>
    <row r="20" spans="1:62" s="6" customFormat="1" x14ac:dyDescent="0.35">
      <c r="A20" s="4" t="s">
        <v>126</v>
      </c>
      <c r="B20" s="6" t="s">
        <v>133</v>
      </c>
      <c r="C20" s="6" t="s">
        <v>77</v>
      </c>
      <c r="D20" s="23">
        <v>24</v>
      </c>
      <c r="E20" s="23">
        <v>26</v>
      </c>
      <c r="F20" s="23">
        <f t="shared" si="0"/>
        <v>25</v>
      </c>
      <c r="G20" s="23">
        <f t="shared" si="3"/>
        <v>2</v>
      </c>
      <c r="H20" s="23">
        <f t="shared" si="4"/>
        <v>1</v>
      </c>
      <c r="I20" s="4">
        <f t="shared" si="21"/>
        <v>0.58280629235035686</v>
      </c>
      <c r="J20" s="23">
        <v>1.2384194336603138</v>
      </c>
      <c r="K20" s="23">
        <v>0.45506382798115469</v>
      </c>
      <c r="L20" s="18">
        <f t="shared" si="5"/>
        <v>7.2175863850619624E-4</v>
      </c>
      <c r="M20" s="18">
        <f t="shared" si="6"/>
        <v>5.6355988812771605E-4</v>
      </c>
      <c r="N20" s="26">
        <v>-4.5915050671767226</v>
      </c>
      <c r="O20" s="26">
        <v>7.8418667600858356</v>
      </c>
      <c r="P20" s="4">
        <f t="shared" si="7"/>
        <v>-2.6759580445091416E-3</v>
      </c>
      <c r="Q20" s="4">
        <f t="shared" si="7"/>
        <v>4.5702892915511313E-3</v>
      </c>
      <c r="R20" s="4">
        <v>1952.5725181888358</v>
      </c>
      <c r="S20" s="4">
        <v>23.957399913538445</v>
      </c>
      <c r="T20" s="4">
        <v>1976.5299181023743</v>
      </c>
      <c r="U20" s="4">
        <v>1928.6151182752974</v>
      </c>
      <c r="V20" s="4" t="e">
        <v>#DIV/0!</v>
      </c>
      <c r="W20" s="4">
        <v>-8.3481513320224313E-2</v>
      </c>
      <c r="X20" s="4">
        <v>8.3481513320224313E-2</v>
      </c>
      <c r="Y20" s="4" t="e">
        <v>#DIV/0!</v>
      </c>
      <c r="Z20" s="4">
        <v>-4.865355125795686E-2</v>
      </c>
      <c r="AA20" s="4">
        <v>4.865355125795686E-2</v>
      </c>
      <c r="AC20" s="4" t="s">
        <v>126</v>
      </c>
      <c r="AD20" s="4">
        <v>24</v>
      </c>
      <c r="AE20" s="4">
        <v>26</v>
      </c>
      <c r="AF20" s="4">
        <v>25</v>
      </c>
      <c r="AG20" s="4">
        <v>2</v>
      </c>
      <c r="AH20" s="4">
        <v>0.58280629235035686</v>
      </c>
      <c r="AI20" s="4">
        <v>3.3434600000000012</v>
      </c>
      <c r="AJ20" s="4">
        <f t="shared" si="8"/>
        <v>0.95527428571428608</v>
      </c>
      <c r="AK20" s="4">
        <v>0</v>
      </c>
      <c r="AL20" s="4">
        <v>7.8418667600858356</v>
      </c>
      <c r="AM20" s="4">
        <f t="shared" si="22"/>
        <v>0</v>
      </c>
      <c r="AN20" s="4">
        <f t="shared" si="10"/>
        <v>4.5702892915511313E-3</v>
      </c>
      <c r="AO20" s="4">
        <f t="shared" si="11"/>
        <v>2.0887544208466941E-5</v>
      </c>
      <c r="AP20" s="4">
        <f t="shared" si="12"/>
        <v>0</v>
      </c>
      <c r="AQ20" s="7">
        <f>SUM(AP21:$AP$30)</f>
        <v>2.6165625644303657E-2</v>
      </c>
      <c r="AR20" s="4">
        <f t="shared" si="13"/>
        <v>68.348246838486645</v>
      </c>
      <c r="AS20" s="4">
        <f t="shared" si="1"/>
        <v>23.957399913538445</v>
      </c>
      <c r="AT20" s="4">
        <f t="shared" si="14"/>
        <v>1952.5725181888358</v>
      </c>
      <c r="AU20" s="4">
        <f t="shared" si="15"/>
        <v>1976.5299181023743</v>
      </c>
      <c r="AV20" s="4">
        <f t="shared" si="16"/>
        <v>1928.6151182752974</v>
      </c>
      <c r="AW20" s="4" t="e">
        <f t="shared" si="17"/>
        <v>#DIV/0!</v>
      </c>
      <c r="AX20" s="4">
        <f t="shared" si="18"/>
        <v>-8.3481513320224313E-2</v>
      </c>
      <c r="AY20" s="4">
        <f t="shared" si="19"/>
        <v>8.3481513320224313E-2</v>
      </c>
      <c r="AZ20" s="4" t="e">
        <f t="shared" si="20"/>
        <v>#DIV/0!</v>
      </c>
      <c r="BA20" s="4">
        <f t="shared" si="2"/>
        <v>-4.865355125795686E-2</v>
      </c>
      <c r="BB20" s="4">
        <f t="shared" si="2"/>
        <v>4.865355125795686E-2</v>
      </c>
      <c r="BF20" s="6" t="s">
        <v>126</v>
      </c>
      <c r="BG20" s="6" t="s">
        <v>127</v>
      </c>
      <c r="BH20" s="6">
        <v>24</v>
      </c>
      <c r="BI20" s="6">
        <v>0.50862385321100922</v>
      </c>
      <c r="BJ20" s="6">
        <v>0.58283278733046084</v>
      </c>
    </row>
    <row r="21" spans="1:62" s="6" customFormat="1" x14ac:dyDescent="0.35">
      <c r="A21" s="4" t="s">
        <v>126</v>
      </c>
      <c r="B21" s="6" t="s">
        <v>126</v>
      </c>
      <c r="C21" s="6" t="s">
        <v>78</v>
      </c>
      <c r="D21" s="23">
        <v>26</v>
      </c>
      <c r="E21" s="23">
        <v>28</v>
      </c>
      <c r="F21" s="23">
        <f t="shared" si="0"/>
        <v>27</v>
      </c>
      <c r="G21" s="23">
        <f t="shared" si="3"/>
        <v>2</v>
      </c>
      <c r="H21" s="23">
        <f t="shared" si="4"/>
        <v>1</v>
      </c>
      <c r="I21" s="4">
        <f t="shared" si="21"/>
        <v>0.57662539199181129</v>
      </c>
      <c r="J21" s="23">
        <v>1.494585968124263</v>
      </c>
      <c r="K21" s="23">
        <v>0.71890871969543302</v>
      </c>
      <c r="L21" s="18">
        <f t="shared" si="5"/>
        <v>8.6181621973511395E-4</v>
      </c>
      <c r="M21" s="18">
        <f t="shared" si="6"/>
        <v>1.0744708848189732E-3</v>
      </c>
      <c r="N21" s="26">
        <v>-1.6405186055827699</v>
      </c>
      <c r="O21" s="26">
        <v>9.5537326152305102</v>
      </c>
      <c r="P21" s="4">
        <f t="shared" si="7"/>
        <v>-9.4596468401402433E-4</v>
      </c>
      <c r="Q21" s="4">
        <f t="shared" si="7"/>
        <v>5.5089248142422458E-3</v>
      </c>
      <c r="R21" s="4">
        <v>1952.5725181888358</v>
      </c>
      <c r="S21" s="4">
        <v>23.957399913538445</v>
      </c>
      <c r="T21" s="4">
        <v>1976.5299181023743</v>
      </c>
      <c r="U21" s="4">
        <v>1928.6151182752974</v>
      </c>
      <c r="V21" s="4" t="e">
        <v>#DIV/0!</v>
      </c>
      <c r="W21" s="4">
        <v>-8.3481513320224313E-2</v>
      </c>
      <c r="X21" s="4">
        <v>8.3481513320224313E-2</v>
      </c>
      <c r="Y21" s="4" t="e">
        <v>#DIV/0!</v>
      </c>
      <c r="Z21" s="4">
        <v>-4.8137560342343962E-2</v>
      </c>
      <c r="AA21" s="4">
        <v>4.8137560342343962E-2</v>
      </c>
      <c r="AC21" s="4" t="s">
        <v>126</v>
      </c>
      <c r="AD21" s="4">
        <v>26</v>
      </c>
      <c r="AE21" s="4">
        <v>28</v>
      </c>
      <c r="AF21" s="4">
        <v>27</v>
      </c>
      <c r="AG21" s="4">
        <v>2</v>
      </c>
      <c r="AH21" s="4">
        <v>0.57662539199181129</v>
      </c>
      <c r="AI21" s="4">
        <v>3.8507880000000005</v>
      </c>
      <c r="AJ21" s="4">
        <f t="shared" si="8"/>
        <v>1.100225142857143</v>
      </c>
      <c r="AK21" s="4">
        <v>0</v>
      </c>
      <c r="AL21" s="4">
        <v>9.5537326152305102</v>
      </c>
      <c r="AM21" s="4">
        <f t="shared" si="22"/>
        <v>0</v>
      </c>
      <c r="AN21" s="4">
        <f t="shared" si="10"/>
        <v>5.5089248142422458E-3</v>
      </c>
      <c r="AO21" s="4">
        <f t="shared" si="11"/>
        <v>3.0348252608973962E-5</v>
      </c>
      <c r="AP21" s="4">
        <f t="shared" si="12"/>
        <v>0</v>
      </c>
      <c r="AQ21" s="7">
        <f>SUM(AP22:$AP$30)</f>
        <v>2.6165625644303657E-2</v>
      </c>
      <c r="AR21" s="4">
        <f t="shared" si="13"/>
        <v>68.348246838486645</v>
      </c>
      <c r="AS21" s="4">
        <f t="shared" si="1"/>
        <v>23.957399913538445</v>
      </c>
      <c r="AT21" s="4">
        <f t="shared" si="14"/>
        <v>1952.5725181888358</v>
      </c>
      <c r="AU21" s="4">
        <f t="shared" si="15"/>
        <v>1976.5299181023743</v>
      </c>
      <c r="AV21" s="4">
        <f t="shared" si="16"/>
        <v>1928.6151182752974</v>
      </c>
      <c r="AW21" s="4" t="e">
        <f t="shared" si="17"/>
        <v>#DIV/0!</v>
      </c>
      <c r="AX21" s="4">
        <f t="shared" si="18"/>
        <v>-8.3481513320224313E-2</v>
      </c>
      <c r="AY21" s="4">
        <f t="shared" si="19"/>
        <v>8.3481513320224313E-2</v>
      </c>
      <c r="AZ21" s="4" t="e">
        <f t="shared" si="20"/>
        <v>#DIV/0!</v>
      </c>
      <c r="BA21" s="4">
        <f t="shared" si="2"/>
        <v>-4.8137560342343962E-2</v>
      </c>
      <c r="BB21" s="4">
        <f t="shared" si="2"/>
        <v>4.8137560342343962E-2</v>
      </c>
      <c r="BF21" s="6" t="s">
        <v>126</v>
      </c>
      <c r="BG21" s="6" t="s">
        <v>127</v>
      </c>
      <c r="BH21" s="6">
        <v>26</v>
      </c>
      <c r="BI21" s="6">
        <v>0.51195407909375301</v>
      </c>
      <c r="BJ21" s="6">
        <v>0.58280629235035686</v>
      </c>
    </row>
    <row r="22" spans="1:62" s="6" customFormat="1" x14ac:dyDescent="0.35">
      <c r="A22" s="4" t="s">
        <v>126</v>
      </c>
      <c r="B22" s="6" t="s">
        <v>134</v>
      </c>
      <c r="C22" s="6" t="s">
        <v>80</v>
      </c>
      <c r="D22" s="23">
        <v>28</v>
      </c>
      <c r="E22" s="23">
        <v>30</v>
      </c>
      <c r="F22" s="23">
        <f t="shared" si="0"/>
        <v>29</v>
      </c>
      <c r="G22" s="23">
        <f t="shared" si="3"/>
        <v>2</v>
      </c>
      <c r="H22" s="23">
        <f t="shared" si="4"/>
        <v>1</v>
      </c>
      <c r="I22" s="4">
        <f t="shared" si="21"/>
        <v>0.56857848803451316</v>
      </c>
      <c r="J22" s="23">
        <v>0.3529627627636987</v>
      </c>
      <c r="K22" s="23">
        <v>0.46938379464309554</v>
      </c>
      <c r="L22" s="18">
        <f t="shared" si="5"/>
        <v>2.0068703398466836E-4</v>
      </c>
      <c r="M22" s="18">
        <f t="shared" si="6"/>
        <v>1.656750009537356E-4</v>
      </c>
      <c r="N22" s="26">
        <v>-3.530055916590225</v>
      </c>
      <c r="O22" s="26">
        <v>7.136286885281244</v>
      </c>
      <c r="P22" s="4">
        <f t="shared" si="7"/>
        <v>-2.0071138557321575E-3</v>
      </c>
      <c r="Q22" s="4">
        <f t="shared" si="7"/>
        <v>4.0575392074137353E-3</v>
      </c>
      <c r="R22" s="4">
        <v>1952.5725181888358</v>
      </c>
      <c r="S22" s="4">
        <v>23.957399913538445</v>
      </c>
      <c r="T22" s="4">
        <v>1976.5299181023743</v>
      </c>
      <c r="U22" s="4">
        <v>1928.6151182752974</v>
      </c>
      <c r="V22" s="4" t="e">
        <v>#DIV/0!</v>
      </c>
      <c r="W22" s="4">
        <v>-8.3481513320224313E-2</v>
      </c>
      <c r="X22" s="4">
        <v>8.3481513320224313E-2</v>
      </c>
      <c r="Y22" s="4" t="e">
        <v>#DIV/0!</v>
      </c>
      <c r="Z22" s="4">
        <v>-4.7465792622446212E-2</v>
      </c>
      <c r="AA22" s="4">
        <v>4.7465792622446212E-2</v>
      </c>
      <c r="AC22" s="4" t="s">
        <v>126</v>
      </c>
      <c r="AD22" s="4">
        <v>28</v>
      </c>
      <c r="AE22" s="4">
        <v>30</v>
      </c>
      <c r="AF22" s="4">
        <v>29</v>
      </c>
      <c r="AG22" s="4">
        <v>2</v>
      </c>
      <c r="AH22" s="4">
        <v>0.56857848803451316</v>
      </c>
      <c r="AI22" s="4">
        <v>3.3863000000000003</v>
      </c>
      <c r="AJ22" s="4">
        <f t="shared" si="8"/>
        <v>0.96751428571428577</v>
      </c>
      <c r="AK22" s="4">
        <v>0</v>
      </c>
      <c r="AL22" s="4">
        <v>7.136286885281244</v>
      </c>
      <c r="AM22" s="4">
        <f t="shared" si="22"/>
        <v>0</v>
      </c>
      <c r="AN22" s="4">
        <f t="shared" si="10"/>
        <v>4.0575392074137353E-3</v>
      </c>
      <c r="AO22" s="4">
        <f t="shared" si="11"/>
        <v>1.6463624419699684E-5</v>
      </c>
      <c r="AP22" s="4">
        <f t="shared" si="12"/>
        <v>0</v>
      </c>
      <c r="AQ22" s="7">
        <f>SUM(AP23:$AP$30)</f>
        <v>2.6165625644303657E-2</v>
      </c>
      <c r="AR22" s="4">
        <f t="shared" si="13"/>
        <v>68.348246838486645</v>
      </c>
      <c r="AS22" s="4">
        <f t="shared" si="1"/>
        <v>23.957399913538445</v>
      </c>
      <c r="AT22" s="4">
        <f t="shared" si="14"/>
        <v>1952.5725181888358</v>
      </c>
      <c r="AU22" s="4">
        <f t="shared" si="15"/>
        <v>1976.5299181023743</v>
      </c>
      <c r="AV22" s="4">
        <f t="shared" si="16"/>
        <v>1928.6151182752974</v>
      </c>
      <c r="AW22" s="4" t="e">
        <f t="shared" si="17"/>
        <v>#DIV/0!</v>
      </c>
      <c r="AX22" s="4">
        <f t="shared" si="18"/>
        <v>-8.3481513320224313E-2</v>
      </c>
      <c r="AY22" s="4">
        <f t="shared" si="19"/>
        <v>8.3481513320224313E-2</v>
      </c>
      <c r="AZ22" s="4" t="e">
        <f t="shared" si="20"/>
        <v>#DIV/0!</v>
      </c>
      <c r="BA22" s="4">
        <f t="shared" si="2"/>
        <v>-4.7465792622446212E-2</v>
      </c>
      <c r="BB22" s="4">
        <f t="shared" si="2"/>
        <v>4.7465792622446212E-2</v>
      </c>
      <c r="BF22" s="6" t="s">
        <v>126</v>
      </c>
      <c r="BG22" s="6" t="s">
        <v>127</v>
      </c>
      <c r="BH22" s="6">
        <v>28</v>
      </c>
      <c r="BI22" s="6">
        <v>0.51171161353598427</v>
      </c>
      <c r="BJ22" s="6">
        <v>0.57662539199181129</v>
      </c>
    </row>
    <row r="23" spans="1:62" s="6" customFormat="1" x14ac:dyDescent="0.35">
      <c r="A23" s="4" t="s">
        <v>126</v>
      </c>
      <c r="B23" s="6" t="s">
        <v>126</v>
      </c>
      <c r="C23" s="6" t="s">
        <v>81</v>
      </c>
      <c r="D23" s="23">
        <v>30</v>
      </c>
      <c r="E23" s="23">
        <v>32</v>
      </c>
      <c r="F23" s="23">
        <f t="shared" si="0"/>
        <v>31</v>
      </c>
      <c r="G23" s="23">
        <f t="shared" si="3"/>
        <v>2</v>
      </c>
      <c r="H23" s="23">
        <f t="shared" si="4"/>
        <v>1</v>
      </c>
      <c r="I23" s="4">
        <f t="shared" si="21"/>
        <v>0.62134513341019226</v>
      </c>
      <c r="J23" s="23">
        <v>0.50108036248087062</v>
      </c>
      <c r="K23" s="23">
        <v>0.79470370337678531</v>
      </c>
      <c r="L23" s="18">
        <f t="shared" si="5"/>
        <v>3.1134384467490408E-4</v>
      </c>
      <c r="M23" s="18">
        <f t="shared" si="6"/>
        <v>3.9821041975292987E-4</v>
      </c>
      <c r="N23" s="26">
        <v>10.921670216029945</v>
      </c>
      <c r="O23" s="26">
        <v>11.743676429906433</v>
      </c>
      <c r="P23" s="4">
        <f t="shared" si="7"/>
        <v>6.7861266374412491E-3</v>
      </c>
      <c r="Q23" s="4">
        <f t="shared" si="7"/>
        <v>7.2968761980663427E-3</v>
      </c>
      <c r="R23" s="4">
        <v>1929.1513387560819</v>
      </c>
      <c r="S23" s="4">
        <v>38.356119936144133</v>
      </c>
      <c r="T23" s="4">
        <v>1967.507458692226</v>
      </c>
      <c r="U23" s="4">
        <v>1890.7952188199379</v>
      </c>
      <c r="V23" s="4">
        <v>8.539279611184114E-2</v>
      </c>
      <c r="W23" s="4">
        <v>-0.13391415918570326</v>
      </c>
      <c r="X23" s="4">
        <v>3.23743514273288E-2</v>
      </c>
      <c r="Y23" s="4">
        <v>5.3058398292381279E-2</v>
      </c>
      <c r="Z23" s="4">
        <v>-8.3206911104754519E-2</v>
      </c>
      <c r="AA23" s="4">
        <v>2.0115645706682062E-2</v>
      </c>
      <c r="AC23" s="4" t="s">
        <v>126</v>
      </c>
      <c r="AD23" s="4">
        <v>30</v>
      </c>
      <c r="AE23" s="4">
        <v>32</v>
      </c>
      <c r="AF23" s="4">
        <v>31</v>
      </c>
      <c r="AG23" s="4">
        <v>2</v>
      </c>
      <c r="AH23" s="4">
        <v>0.62134513341019226</v>
      </c>
      <c r="AI23" s="4">
        <v>3.3461399999999997</v>
      </c>
      <c r="AJ23" s="4">
        <f t="shared" si="8"/>
        <v>0.95603999999999989</v>
      </c>
      <c r="AK23" s="4">
        <v>10.921670216029945</v>
      </c>
      <c r="AL23" s="4">
        <v>11.743676429906433</v>
      </c>
      <c r="AM23" s="4">
        <f t="shared" si="22"/>
        <v>6.7861266374412491E-3</v>
      </c>
      <c r="AN23" s="4">
        <f t="shared" si="10"/>
        <v>7.2968761980663427E-3</v>
      </c>
      <c r="AO23" s="4">
        <f t="shared" si="11"/>
        <v>5.3244402249907124E-5</v>
      </c>
      <c r="AP23" s="4">
        <f t="shared" si="12"/>
        <v>1.3572253274882498E-2</v>
      </c>
      <c r="AQ23" s="7">
        <f>SUM(AP24:$AP$30)</f>
        <v>1.2593372369421157E-2</v>
      </c>
      <c r="AR23" s="4">
        <f t="shared" si="13"/>
        <v>91.769426271240434</v>
      </c>
      <c r="AS23" s="4">
        <f t="shared" si="1"/>
        <v>38.356119936144133</v>
      </c>
      <c r="AT23" s="4">
        <f t="shared" si="14"/>
        <v>1929.1513387560819</v>
      </c>
      <c r="AU23" s="4">
        <f t="shared" si="15"/>
        <v>1967.507458692226</v>
      </c>
      <c r="AV23" s="4">
        <f t="shared" si="16"/>
        <v>1890.7952188199379</v>
      </c>
      <c r="AW23" s="4">
        <f t="shared" si="17"/>
        <v>8.539279611184114E-2</v>
      </c>
      <c r="AX23" s="4">
        <f t="shared" si="18"/>
        <v>-0.13391415918570326</v>
      </c>
      <c r="AY23" s="4">
        <f t="shared" si="19"/>
        <v>3.23743514273288E-2</v>
      </c>
      <c r="AZ23" s="4">
        <f t="shared" si="20"/>
        <v>5.3058398292381279E-2</v>
      </c>
      <c r="BA23" s="4">
        <f t="shared" si="20"/>
        <v>-8.3206911104754519E-2</v>
      </c>
      <c r="BB23" s="4">
        <f t="shared" si="20"/>
        <v>2.0115645706682062E-2</v>
      </c>
      <c r="BF23" s="6" t="s">
        <v>126</v>
      </c>
      <c r="BG23" s="6" t="s">
        <v>127</v>
      </c>
      <c r="BH23" s="6">
        <v>30</v>
      </c>
      <c r="BI23" s="6">
        <v>0.52064446337797599</v>
      </c>
      <c r="BJ23" s="6">
        <v>0.56857848803451316</v>
      </c>
    </row>
    <row r="24" spans="1:62" s="6" customFormat="1" x14ac:dyDescent="0.35">
      <c r="A24" s="4" t="s">
        <v>126</v>
      </c>
      <c r="B24" s="6" t="s">
        <v>135</v>
      </c>
      <c r="C24" s="6" t="s">
        <v>83</v>
      </c>
      <c r="D24" s="23">
        <v>32</v>
      </c>
      <c r="E24" s="23">
        <v>34</v>
      </c>
      <c r="F24" s="23">
        <f t="shared" si="0"/>
        <v>33</v>
      </c>
      <c r="G24" s="23">
        <f t="shared" si="3"/>
        <v>2</v>
      </c>
      <c r="H24" s="23">
        <f t="shared" si="4"/>
        <v>1</v>
      </c>
      <c r="I24" s="4">
        <f t="shared" si="21"/>
        <v>0.54313195214320753</v>
      </c>
      <c r="J24" s="23">
        <v>0.36769304937077973</v>
      </c>
      <c r="K24" s="23">
        <v>0.56609508499138383</v>
      </c>
      <c r="L24" s="18">
        <f t="shared" si="5"/>
        <v>1.9970584369424039E-4</v>
      </c>
      <c r="M24" s="18">
        <f t="shared" si="6"/>
        <v>2.0814922803429265E-4</v>
      </c>
      <c r="N24" s="26">
        <v>-4.7286795649918787</v>
      </c>
      <c r="O24" s="26">
        <v>9.7497987177339223</v>
      </c>
      <c r="P24" s="4">
        <f t="shared" si="7"/>
        <v>-2.5682969631937325E-3</v>
      </c>
      <c r="Q24" s="4">
        <f t="shared" si="7"/>
        <v>5.2954272105661662E-3</v>
      </c>
      <c r="R24" s="4">
        <v>1929.1513387560819</v>
      </c>
      <c r="S24" s="4">
        <v>38.356119936144133</v>
      </c>
      <c r="T24" s="4">
        <v>1967.507458692226</v>
      </c>
      <c r="U24" s="4">
        <v>1890.7952188199379</v>
      </c>
      <c r="V24" s="4" t="e">
        <v>#DIV/0!</v>
      </c>
      <c r="W24" s="4">
        <v>-5.2142917566470083E-2</v>
      </c>
      <c r="X24" s="4">
        <v>5.2142917566470083E-2</v>
      </c>
      <c r="Y24" s="4" t="e">
        <v>#DIV/0!</v>
      </c>
      <c r="Z24" s="4">
        <v>-2.8320484608319246E-2</v>
      </c>
      <c r="AA24" s="4">
        <v>2.8320484608319246E-2</v>
      </c>
      <c r="AC24" s="4" t="s">
        <v>126</v>
      </c>
      <c r="AD24" s="4">
        <v>32</v>
      </c>
      <c r="AE24" s="4">
        <v>34</v>
      </c>
      <c r="AF24" s="4">
        <v>33</v>
      </c>
      <c r="AG24" s="4">
        <v>2</v>
      </c>
      <c r="AH24" s="4">
        <v>0.54313195214320753</v>
      </c>
      <c r="AI24" s="4">
        <v>2.90022</v>
      </c>
      <c r="AJ24" s="4">
        <f t="shared" si="8"/>
        <v>0.82863428571428577</v>
      </c>
      <c r="AK24" s="4">
        <v>0</v>
      </c>
      <c r="AL24" s="4">
        <v>9.7497987177339223</v>
      </c>
      <c r="AM24" s="4">
        <f t="shared" si="22"/>
        <v>0</v>
      </c>
      <c r="AN24" s="4">
        <f t="shared" si="10"/>
        <v>5.2954272105661662E-3</v>
      </c>
      <c r="AO24" s="4">
        <f t="shared" si="11"/>
        <v>2.8041549342404568E-5</v>
      </c>
      <c r="AP24" s="4">
        <f t="shared" si="12"/>
        <v>0</v>
      </c>
      <c r="AQ24" s="7">
        <f>SUM(AP25:$AP$30)</f>
        <v>1.2593372369421157E-2</v>
      </c>
      <c r="AR24" s="4">
        <f t="shared" si="13"/>
        <v>91.769426271240434</v>
      </c>
      <c r="AS24" s="4">
        <f t="shared" si="1"/>
        <v>38.356119936144133</v>
      </c>
      <c r="AT24" s="4">
        <f t="shared" si="14"/>
        <v>1929.1513387560819</v>
      </c>
      <c r="AU24" s="4">
        <f t="shared" si="15"/>
        <v>1967.507458692226</v>
      </c>
      <c r="AV24" s="4">
        <f t="shared" si="16"/>
        <v>1890.7952188199379</v>
      </c>
      <c r="AW24" s="4" t="e">
        <f t="shared" si="17"/>
        <v>#DIV/0!</v>
      </c>
      <c r="AX24" s="4">
        <f t="shared" si="18"/>
        <v>-5.2142917566470083E-2</v>
      </c>
      <c r="AY24" s="4">
        <f t="shared" si="19"/>
        <v>5.2142917566470083E-2</v>
      </c>
      <c r="AZ24" s="4" t="e">
        <f t="shared" si="20"/>
        <v>#DIV/0!</v>
      </c>
      <c r="BA24" s="4">
        <f t="shared" si="20"/>
        <v>-2.8320484608319246E-2</v>
      </c>
      <c r="BB24" s="4">
        <f t="shared" si="20"/>
        <v>2.8320484608319246E-2</v>
      </c>
      <c r="BF24" s="6" t="s">
        <v>126</v>
      </c>
      <c r="BG24" s="6" t="s">
        <v>127</v>
      </c>
      <c r="BH24" s="6">
        <v>32</v>
      </c>
      <c r="BI24" s="6">
        <v>0.51601918705610772</v>
      </c>
      <c r="BJ24" s="6">
        <v>0.62134513341019226</v>
      </c>
    </row>
    <row r="25" spans="1:62" s="6" customFormat="1" x14ac:dyDescent="0.35">
      <c r="A25" s="4" t="s">
        <v>126</v>
      </c>
      <c r="B25" s="6" t="s">
        <v>126</v>
      </c>
      <c r="C25" s="6" t="s">
        <v>84</v>
      </c>
      <c r="D25" s="23">
        <v>34</v>
      </c>
      <c r="E25" s="23">
        <v>36</v>
      </c>
      <c r="F25" s="23">
        <f t="shared" si="0"/>
        <v>35</v>
      </c>
      <c r="G25" s="23">
        <f t="shared" si="3"/>
        <v>2</v>
      </c>
      <c r="H25" s="23">
        <f t="shared" si="4"/>
        <v>1</v>
      </c>
      <c r="I25" s="4">
        <f t="shared" si="21"/>
        <v>0.58709469413004589</v>
      </c>
      <c r="J25" s="23">
        <v>0.33988450628416234</v>
      </c>
      <c r="K25" s="23">
        <v>0.54821265027071819</v>
      </c>
      <c r="L25" s="18">
        <f t="shared" si="5"/>
        <v>1.9954439025644195E-4</v>
      </c>
      <c r="M25" s="18">
        <f t="shared" si="6"/>
        <v>1.8632898597599519E-4</v>
      </c>
      <c r="N25" s="26">
        <v>10.725162818991208</v>
      </c>
      <c r="O25" s="26">
        <v>12.509472270312257</v>
      </c>
      <c r="P25" s="4">
        <f t="shared" si="7"/>
        <v>6.2966861847105838E-3</v>
      </c>
      <c r="Q25" s="4">
        <f t="shared" si="7"/>
        <v>7.3442447962672654E-3</v>
      </c>
      <c r="R25" s="4" t="e">
        <v>#DIV/0!</v>
      </c>
      <c r="S25" s="4" t="e">
        <v>#DIV/0!</v>
      </c>
      <c r="T25" s="4" t="e">
        <v>#DIV/0!</v>
      </c>
      <c r="U25" s="4" t="e">
        <v>#DIV/0!</v>
      </c>
      <c r="V25" s="4" t="e">
        <v>#DIV/0!</v>
      </c>
      <c r="W25" s="4" t="e">
        <v>#DIV/0!</v>
      </c>
      <c r="X25" s="4" t="e">
        <v>#DIV/0!</v>
      </c>
      <c r="Y25" s="4" t="e">
        <v>#DIV/0!</v>
      </c>
      <c r="Z25" s="4" t="e">
        <v>#DIV/0!</v>
      </c>
      <c r="AA25" s="4" t="e">
        <v>#DIV/0!</v>
      </c>
      <c r="AC25" s="39" t="s">
        <v>126</v>
      </c>
      <c r="AD25" s="39">
        <v>34</v>
      </c>
      <c r="AE25" s="39">
        <v>36</v>
      </c>
      <c r="AF25" s="39">
        <v>35</v>
      </c>
      <c r="AG25" s="39">
        <v>2</v>
      </c>
      <c r="AH25" s="39">
        <v>0.58709469413004589</v>
      </c>
      <c r="AI25" s="39">
        <v>3.62405</v>
      </c>
      <c r="AJ25" s="39">
        <f t="shared" si="8"/>
        <v>1.0354428571428571</v>
      </c>
      <c r="AK25" s="39">
        <v>10.725162818991199</v>
      </c>
      <c r="AL25" s="39">
        <v>12.509472270312257</v>
      </c>
      <c r="AM25" s="39">
        <f t="shared" si="22"/>
        <v>6.2966861847105786E-3</v>
      </c>
      <c r="AN25" s="39">
        <f t="shared" si="10"/>
        <v>7.3442447962672654E-3</v>
      </c>
      <c r="AO25" s="39">
        <f t="shared" si="11"/>
        <v>5.3937931627498808E-5</v>
      </c>
      <c r="AP25" s="39">
        <f t="shared" si="12"/>
        <v>1.2593372369421157E-2</v>
      </c>
      <c r="AQ25" s="40">
        <f>SUM(AP26:$AP$30)</f>
        <v>0</v>
      </c>
      <c r="AR25" s="39" t="e">
        <f t="shared" si="13"/>
        <v>#DIV/0!</v>
      </c>
      <c r="AS25" s="39" t="e">
        <f t="shared" si="1"/>
        <v>#DIV/0!</v>
      </c>
      <c r="AT25" s="39" t="e">
        <f t="shared" si="14"/>
        <v>#DIV/0!</v>
      </c>
      <c r="AU25" s="39" t="e">
        <f t="shared" si="15"/>
        <v>#DIV/0!</v>
      </c>
      <c r="AV25" s="39" t="e">
        <f t="shared" si="16"/>
        <v>#DIV/0!</v>
      </c>
      <c r="AW25" s="39" t="e">
        <f t="shared" si="17"/>
        <v>#DIV/0!</v>
      </c>
      <c r="AX25" s="39" t="e">
        <f t="shared" si="18"/>
        <v>#DIV/0!</v>
      </c>
      <c r="AY25" s="39" t="e">
        <f t="shared" si="19"/>
        <v>#DIV/0!</v>
      </c>
      <c r="AZ25" s="39" t="e">
        <f t="shared" si="20"/>
        <v>#DIV/0!</v>
      </c>
      <c r="BA25" s="39" t="e">
        <f t="shared" si="20"/>
        <v>#DIV/0!</v>
      </c>
      <c r="BB25" s="39" t="e">
        <f t="shared" si="20"/>
        <v>#DIV/0!</v>
      </c>
      <c r="BF25" s="6" t="s">
        <v>126</v>
      </c>
      <c r="BG25" s="6" t="s">
        <v>127</v>
      </c>
      <c r="BH25" s="6">
        <v>34</v>
      </c>
      <c r="BI25" s="6">
        <v>0.53065696773054039</v>
      </c>
      <c r="BJ25" s="6">
        <v>0.54313195214320753</v>
      </c>
    </row>
    <row r="26" spans="1:62" s="6" customFormat="1" x14ac:dyDescent="0.35">
      <c r="A26" s="4" t="s">
        <v>126</v>
      </c>
      <c r="B26" s="6" t="s">
        <v>136</v>
      </c>
      <c r="C26" s="6" t="s">
        <v>86</v>
      </c>
      <c r="D26" s="23">
        <v>36</v>
      </c>
      <c r="E26" s="23">
        <v>38</v>
      </c>
      <c r="F26" s="23">
        <f t="shared" si="0"/>
        <v>37</v>
      </c>
      <c r="G26" s="23">
        <f t="shared" si="3"/>
        <v>2</v>
      </c>
      <c r="H26" s="23">
        <f t="shared" si="4"/>
        <v>1</v>
      </c>
      <c r="I26" s="4">
        <f t="shared" si="21"/>
        <v>0.44972200728800449</v>
      </c>
      <c r="J26" s="23">
        <v>0</v>
      </c>
      <c r="K26" s="23">
        <v>0</v>
      </c>
      <c r="L26" s="18">
        <f t="shared" si="5"/>
        <v>0</v>
      </c>
      <c r="M26" s="18">
        <f t="shared" si="6"/>
        <v>0</v>
      </c>
      <c r="N26" s="26">
        <v>-1.2123240219786453</v>
      </c>
      <c r="O26" s="26">
        <v>8.1532798132528406</v>
      </c>
      <c r="P26" s="4">
        <f t="shared" si="7"/>
        <v>-5.4520879264770327E-4</v>
      </c>
      <c r="Q26" s="4">
        <f t="shared" si="7"/>
        <v>3.6667093635968338E-3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C26" s="4" t="s">
        <v>126</v>
      </c>
      <c r="AD26" s="4">
        <v>36</v>
      </c>
      <c r="AE26" s="4">
        <v>38</v>
      </c>
      <c r="AF26" s="4">
        <v>37</v>
      </c>
      <c r="AG26" s="4">
        <v>2</v>
      </c>
      <c r="AH26" s="4">
        <v>0.44972200728800449</v>
      </c>
      <c r="AI26" s="4">
        <v>3.4359799999999998</v>
      </c>
      <c r="AJ26" s="4">
        <f t="shared" si="8"/>
        <v>0.98170857142857137</v>
      </c>
      <c r="AK26" s="4">
        <v>0</v>
      </c>
      <c r="AL26" s="4">
        <v>8.1532798132528406</v>
      </c>
      <c r="AM26" s="4">
        <f t="shared" si="22"/>
        <v>0</v>
      </c>
      <c r="AN26" s="4">
        <f t="shared" si="10"/>
        <v>3.6667093635968338E-3</v>
      </c>
      <c r="AO26" s="4">
        <f t="shared" si="11"/>
        <v>1.3444757557088698E-5</v>
      </c>
      <c r="AP26" s="4">
        <f t="shared" si="12"/>
        <v>0</v>
      </c>
      <c r="AQ26" s="7">
        <f>SUM(AP27:$AP$30)</f>
        <v>0</v>
      </c>
      <c r="BF26" s="6" t="s">
        <v>126</v>
      </c>
      <c r="BG26" s="6" t="s">
        <v>127</v>
      </c>
      <c r="BH26" s="6">
        <v>36</v>
      </c>
      <c r="BI26" s="6">
        <v>0.53710230477458087</v>
      </c>
      <c r="BJ26" s="6">
        <v>0.58709469413004589</v>
      </c>
    </row>
    <row r="27" spans="1:62" s="6" customFormat="1" x14ac:dyDescent="0.35">
      <c r="A27" s="4" t="s">
        <v>126</v>
      </c>
      <c r="B27" s="6" t="s">
        <v>126</v>
      </c>
      <c r="C27" s="6" t="s">
        <v>87</v>
      </c>
      <c r="D27" s="23">
        <v>38</v>
      </c>
      <c r="E27" s="23">
        <v>40</v>
      </c>
      <c r="F27" s="23">
        <f t="shared" si="0"/>
        <v>39</v>
      </c>
      <c r="G27" s="23">
        <f t="shared" si="3"/>
        <v>2</v>
      </c>
      <c r="H27" s="23">
        <f t="shared" si="4"/>
        <v>1</v>
      </c>
      <c r="I27" s="4">
        <f t="shared" si="21"/>
        <v>0.28994970726661656</v>
      </c>
      <c r="J27" s="23">
        <v>0.83939628591415538</v>
      </c>
      <c r="K27" s="23">
        <v>0.6854236897931999</v>
      </c>
      <c r="L27" s="18">
        <f t="shared" si="5"/>
        <v>2.4338270738149452E-4</v>
      </c>
      <c r="M27" s="18">
        <f t="shared" si="6"/>
        <v>5.7534209948998814E-4</v>
      </c>
      <c r="N27" s="26">
        <v>-4.4881281578731489</v>
      </c>
      <c r="O27" s="26">
        <v>11.25213692744007</v>
      </c>
      <c r="P27" s="4">
        <f t="shared" si="7"/>
        <v>-1.3013314455503787E-3</v>
      </c>
      <c r="Q27" s="4">
        <f t="shared" si="7"/>
        <v>3.2625538082351343E-3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C27" s="4" t="s">
        <v>126</v>
      </c>
      <c r="AD27" s="4">
        <v>38</v>
      </c>
      <c r="AE27" s="4">
        <v>40</v>
      </c>
      <c r="AF27" s="4">
        <v>39</v>
      </c>
      <c r="AG27" s="4">
        <v>2</v>
      </c>
      <c r="AH27" s="4">
        <v>0.28994970726661656</v>
      </c>
      <c r="AI27" s="4">
        <v>3.6465800000000002</v>
      </c>
      <c r="AJ27" s="4">
        <f t="shared" si="8"/>
        <v>1.0418800000000001</v>
      </c>
      <c r="AK27" s="4">
        <v>0</v>
      </c>
      <c r="AL27" s="4">
        <v>11.25213692744007</v>
      </c>
      <c r="AM27" s="4">
        <f t="shared" si="22"/>
        <v>0</v>
      </c>
      <c r="AN27" s="4">
        <f t="shared" si="10"/>
        <v>3.2625538082351343E-3</v>
      </c>
      <c r="AO27" s="4">
        <f t="shared" si="11"/>
        <v>1.0644257351629577E-5</v>
      </c>
      <c r="AP27" s="4">
        <f t="shared" si="12"/>
        <v>0</v>
      </c>
      <c r="AQ27" s="7">
        <f>SUM(AP28:$AP$30)</f>
        <v>0</v>
      </c>
      <c r="BF27" s="6" t="s">
        <v>126</v>
      </c>
      <c r="BG27" s="6" t="s">
        <v>127</v>
      </c>
      <c r="BH27" s="6">
        <v>38</v>
      </c>
      <c r="BI27" s="6">
        <v>0.59906800021595941</v>
      </c>
      <c r="BJ27" s="6">
        <v>0.44972200728800449</v>
      </c>
    </row>
    <row r="28" spans="1:62" s="6" customFormat="1" x14ac:dyDescent="0.35">
      <c r="A28" s="4" t="s">
        <v>126</v>
      </c>
      <c r="B28" s="6" t="s">
        <v>137</v>
      </c>
      <c r="C28" s="6" t="s">
        <v>89</v>
      </c>
      <c r="D28" s="23">
        <v>40</v>
      </c>
      <c r="E28" s="23">
        <v>42</v>
      </c>
      <c r="F28" s="23">
        <f t="shared" si="0"/>
        <v>41</v>
      </c>
      <c r="G28" s="23">
        <f t="shared" si="3"/>
        <v>2</v>
      </c>
      <c r="H28" s="23">
        <f t="shared" si="4"/>
        <v>1</v>
      </c>
      <c r="I28" s="4">
        <f>BJ29</f>
        <v>0.17993119488336817</v>
      </c>
      <c r="J28" s="23">
        <v>0</v>
      </c>
      <c r="K28" s="23">
        <v>0</v>
      </c>
      <c r="L28" s="18">
        <f t="shared" si="5"/>
        <v>0</v>
      </c>
      <c r="M28" s="18">
        <f t="shared" si="6"/>
        <v>0</v>
      </c>
      <c r="N28" s="26">
        <v>-0.59858364912415141</v>
      </c>
      <c r="O28" s="26">
        <v>6.4915808006549165</v>
      </c>
      <c r="P28" s="4">
        <f t="shared" si="7"/>
        <v>-1.0770387122455537E-4</v>
      </c>
      <c r="Q28" s="4">
        <f t="shared" si="7"/>
        <v>1.168037890143771E-3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C28" s="4" t="s">
        <v>126</v>
      </c>
      <c r="AD28" s="4">
        <v>40</v>
      </c>
      <c r="AE28" s="4">
        <v>42</v>
      </c>
      <c r="AF28" s="4">
        <v>41</v>
      </c>
      <c r="AG28" s="4">
        <v>2</v>
      </c>
      <c r="AH28" s="4">
        <v>0.17993119488336817</v>
      </c>
      <c r="AI28" s="4">
        <v>3.3895400000000011</v>
      </c>
      <c r="AJ28" s="4">
        <f t="shared" si="8"/>
        <v>0.9684400000000003</v>
      </c>
      <c r="AK28" s="4">
        <v>0</v>
      </c>
      <c r="AL28" s="4">
        <v>6.4915808006549165</v>
      </c>
      <c r="AM28" s="4">
        <f t="shared" si="22"/>
        <v>0</v>
      </c>
      <c r="AN28" s="4">
        <f t="shared" si="10"/>
        <v>1.168037890143771E-3</v>
      </c>
      <c r="AO28" s="4">
        <f t="shared" si="11"/>
        <v>1.3643125128115121E-6</v>
      </c>
      <c r="AP28" s="4">
        <f t="shared" si="12"/>
        <v>0</v>
      </c>
      <c r="AQ28" s="7">
        <f>SUM(AP29:$AP$30)</f>
        <v>0</v>
      </c>
      <c r="BF28" s="6" t="s">
        <v>126</v>
      </c>
      <c r="BG28" s="6" t="s">
        <v>127</v>
      </c>
      <c r="BH28" s="6">
        <v>40</v>
      </c>
      <c r="BI28" s="6">
        <v>0.74940790851041561</v>
      </c>
      <c r="BJ28" s="6">
        <v>0.28994970726661656</v>
      </c>
    </row>
    <row r="29" spans="1:62" s="6" customFormat="1" x14ac:dyDescent="0.35">
      <c r="A29" s="4" t="s">
        <v>126</v>
      </c>
      <c r="B29" s="6" t="s">
        <v>126</v>
      </c>
      <c r="C29" s="6" t="s">
        <v>90</v>
      </c>
      <c r="D29" s="23">
        <v>42</v>
      </c>
      <c r="E29" s="23">
        <v>44</v>
      </c>
      <c r="F29" s="23">
        <f t="shared" si="0"/>
        <v>43</v>
      </c>
      <c r="G29" s="23">
        <f t="shared" si="3"/>
        <v>2</v>
      </c>
      <c r="H29" s="23">
        <f t="shared" si="4"/>
        <v>1</v>
      </c>
      <c r="I29" s="4">
        <f>BJ30</f>
        <v>0.16285328770776641</v>
      </c>
      <c r="J29" s="23">
        <v>0</v>
      </c>
      <c r="K29" s="23">
        <v>0</v>
      </c>
      <c r="L29" s="18">
        <f t="shared" si="5"/>
        <v>0</v>
      </c>
      <c r="M29" s="18">
        <f t="shared" si="6"/>
        <v>0</v>
      </c>
      <c r="N29" s="26">
        <v>-4.6937559337121613</v>
      </c>
      <c r="O29" s="26">
        <v>10.718077361552924</v>
      </c>
      <c r="P29" s="4">
        <f t="shared" si="7"/>
        <v>-7.6439358550286238E-4</v>
      </c>
      <c r="Q29" s="4">
        <f t="shared" si="7"/>
        <v>1.7454741362350763E-3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C29" s="4" t="s">
        <v>126</v>
      </c>
      <c r="AD29" s="4">
        <v>42</v>
      </c>
      <c r="AE29" s="4">
        <v>44</v>
      </c>
      <c r="AF29" s="4">
        <v>43</v>
      </c>
      <c r="AG29" s="4">
        <v>2</v>
      </c>
      <c r="AH29" s="4">
        <v>0.16285328770776641</v>
      </c>
      <c r="AI29" s="4">
        <v>3.1169199999999999</v>
      </c>
      <c r="AJ29" s="4">
        <f t="shared" si="8"/>
        <v>0.89054857142857136</v>
      </c>
      <c r="AK29" s="4">
        <v>0</v>
      </c>
      <c r="AL29" s="4">
        <v>10.718077361552924</v>
      </c>
      <c r="AM29" s="4">
        <f t="shared" si="22"/>
        <v>0</v>
      </c>
      <c r="AN29" s="4">
        <f t="shared" si="10"/>
        <v>1.7454741362350763E-3</v>
      </c>
      <c r="AO29" s="4">
        <f t="shared" si="11"/>
        <v>3.0466799602655856E-6</v>
      </c>
      <c r="AP29" s="4">
        <f t="shared" si="12"/>
        <v>0</v>
      </c>
      <c r="AQ29" s="7">
        <f>SUM(AP30:$AP$30)</f>
        <v>0</v>
      </c>
      <c r="BF29" s="6" t="s">
        <v>126</v>
      </c>
      <c r="BG29" s="6" t="s">
        <v>127</v>
      </c>
      <c r="BH29" s="6">
        <v>42</v>
      </c>
      <c r="BI29" s="6">
        <v>0.82518745150531192</v>
      </c>
      <c r="BJ29" s="6">
        <v>0.17993119488336817</v>
      </c>
    </row>
    <row r="30" spans="1:62" s="6" customFormat="1" x14ac:dyDescent="0.35">
      <c r="A30" s="4" t="s">
        <v>126</v>
      </c>
      <c r="B30" s="6" t="s">
        <v>138</v>
      </c>
      <c r="C30" s="6" t="s">
        <v>139</v>
      </c>
      <c r="D30" s="23">
        <v>44</v>
      </c>
      <c r="E30" s="23">
        <v>48</v>
      </c>
      <c r="F30" s="23">
        <f t="shared" si="0"/>
        <v>46</v>
      </c>
      <c r="G30" s="23">
        <f t="shared" si="3"/>
        <v>4</v>
      </c>
      <c r="H30" s="23">
        <f t="shared" si="4"/>
        <v>2</v>
      </c>
      <c r="I30" s="4"/>
      <c r="J30" s="23">
        <v>0</v>
      </c>
      <c r="K30" s="23">
        <v>0</v>
      </c>
      <c r="L30" s="18">
        <f t="shared" si="5"/>
        <v>0</v>
      </c>
      <c r="M30" s="18">
        <f t="shared" si="6"/>
        <v>0</v>
      </c>
      <c r="N30" s="26">
        <v>3.1473155740055425</v>
      </c>
      <c r="O30" s="26">
        <v>5.3907293981373172</v>
      </c>
      <c r="P30" s="4">
        <f t="shared" si="7"/>
        <v>0</v>
      </c>
      <c r="Q30" s="4">
        <f t="shared" si="7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C30" s="4" t="s">
        <v>126</v>
      </c>
      <c r="AD30" s="4">
        <v>44</v>
      </c>
      <c r="AE30" s="4">
        <v>48</v>
      </c>
      <c r="AF30" s="4">
        <v>46</v>
      </c>
      <c r="AG30" s="4">
        <v>4</v>
      </c>
      <c r="AH30" s="4"/>
      <c r="AI30" s="4">
        <v>3.31358</v>
      </c>
      <c r="AJ30" s="4">
        <f t="shared" si="8"/>
        <v>0.94673714285714283</v>
      </c>
      <c r="AK30" s="4">
        <v>0</v>
      </c>
      <c r="AL30" s="4">
        <v>5.3907293981373172</v>
      </c>
      <c r="AM30" s="4">
        <f t="shared" si="22"/>
        <v>0</v>
      </c>
      <c r="AN30" s="4">
        <f t="shared" si="10"/>
        <v>0</v>
      </c>
      <c r="AO30" s="4">
        <f t="shared" si="11"/>
        <v>0</v>
      </c>
      <c r="AP30" s="4">
        <f t="shared" si="12"/>
        <v>0</v>
      </c>
      <c r="AQ30" s="7">
        <f>SUM(AP$30:$AP31)</f>
        <v>0</v>
      </c>
      <c r="BF30" s="6" t="s">
        <v>126</v>
      </c>
      <c r="BG30" s="6" t="s">
        <v>127</v>
      </c>
      <c r="BH30" s="6">
        <v>44</v>
      </c>
      <c r="BI30" s="6">
        <v>0.83732958283238434</v>
      </c>
      <c r="BJ30" s="6">
        <v>0.16285328770776641</v>
      </c>
    </row>
    <row r="31" spans="1:62" s="6" customFormat="1" ht="16.5" x14ac:dyDescent="0.35">
      <c r="D31" s="6" t="s">
        <v>17</v>
      </c>
      <c r="E31" s="6" t="s">
        <v>47</v>
      </c>
      <c r="F31" s="6" t="s">
        <v>48</v>
      </c>
      <c r="G31" s="6" t="s">
        <v>9</v>
      </c>
      <c r="H31" s="6" t="s">
        <v>106</v>
      </c>
      <c r="I31" s="6" t="s">
        <v>50</v>
      </c>
      <c r="J31" s="6" t="s">
        <v>107</v>
      </c>
      <c r="K31" s="6" t="s">
        <v>51</v>
      </c>
      <c r="W31"/>
      <c r="X31"/>
      <c r="AQ31" s="7"/>
    </row>
    <row r="32" spans="1:62" s="6" customFormat="1" x14ac:dyDescent="0.35">
      <c r="B32" s="19" t="s">
        <v>45</v>
      </c>
      <c r="C32" s="19" t="s">
        <v>46</v>
      </c>
      <c r="D32" s="6">
        <v>2.5</v>
      </c>
      <c r="E32" s="6">
        <v>1963</v>
      </c>
      <c r="F32" s="20">
        <f>R2-E32</f>
        <v>57.920765027322432</v>
      </c>
      <c r="G32" s="21">
        <f>D32/F32</f>
        <v>4.3162413321383063E-2</v>
      </c>
      <c r="H32" s="11">
        <f>G32-((D32-1)/F32)</f>
        <v>1.7264965328553223E-2</v>
      </c>
      <c r="I32" s="6">
        <f>G32*K32</f>
        <v>1.7740959617453794E-2</v>
      </c>
      <c r="J32" s="6">
        <f>H32*K32</f>
        <v>7.0963838469815157E-3</v>
      </c>
      <c r="K32" s="6">
        <f>AVERAGE(AH7:AH8)</f>
        <v>0.41102798134470286</v>
      </c>
      <c r="W32"/>
      <c r="X32"/>
      <c r="AC32"/>
      <c r="AD32"/>
      <c r="AE32"/>
      <c r="AF32"/>
      <c r="AG32"/>
      <c r="AH32"/>
      <c r="AI32" s="42" t="s">
        <v>13</v>
      </c>
      <c r="AJ32" s="42"/>
      <c r="AK32" s="42"/>
      <c r="AL32" s="42"/>
      <c r="AM32" s="1" t="s">
        <v>0</v>
      </c>
      <c r="AN32" s="1">
        <f>LN(2)/22.2</f>
        <v>3.1222845971168707E-2</v>
      </c>
      <c r="AO32" s="1"/>
      <c r="AP32" s="2" t="s">
        <v>1</v>
      </c>
      <c r="AQ32" s="2">
        <f>AQ34</f>
        <v>0.22106866054649404</v>
      </c>
      <c r="AR32" s="3" t="s">
        <v>2</v>
      </c>
      <c r="AS32" s="3"/>
      <c r="AT32" s="6">
        <f>2020+337/366</f>
        <v>2020.9207650273224</v>
      </c>
      <c r="AU32" t="s">
        <v>31</v>
      </c>
      <c r="AV32"/>
      <c r="AW32"/>
      <c r="AX32"/>
      <c r="AY32"/>
      <c r="AZ32"/>
      <c r="BA32"/>
      <c r="BB32"/>
    </row>
    <row r="33" spans="18:54" s="6" customFormat="1" ht="60" x14ac:dyDescent="0.35">
      <c r="W33"/>
      <c r="X33"/>
      <c r="AC33" s="5" t="s">
        <v>3</v>
      </c>
      <c r="AD33" s="5" t="s">
        <v>5</v>
      </c>
      <c r="AE33" s="5" t="s">
        <v>6</v>
      </c>
      <c r="AF33" s="5" t="s">
        <v>7</v>
      </c>
      <c r="AG33" s="5" t="s">
        <v>8</v>
      </c>
      <c r="AH33" s="5" t="s">
        <v>11</v>
      </c>
      <c r="AI33" s="30" t="s">
        <v>105</v>
      </c>
      <c r="AJ33" s="28" t="s">
        <v>12</v>
      </c>
      <c r="AK33" s="29" t="s">
        <v>22</v>
      </c>
      <c r="AL33" s="29" t="s">
        <v>14</v>
      </c>
      <c r="AM33" s="5" t="s">
        <v>25</v>
      </c>
      <c r="AN33" s="5" t="s">
        <v>24</v>
      </c>
      <c r="AO33" s="5" t="s">
        <v>53</v>
      </c>
      <c r="AP33" s="5" t="s">
        <v>52</v>
      </c>
      <c r="AQ33" s="5" t="s">
        <v>26</v>
      </c>
      <c r="AR33" s="5" t="s">
        <v>27</v>
      </c>
      <c r="AS33" s="5" t="s">
        <v>28</v>
      </c>
      <c r="AT33" s="5" t="s">
        <v>23</v>
      </c>
      <c r="AU33" s="5" t="s">
        <v>29</v>
      </c>
      <c r="AV33" s="5" t="s">
        <v>30</v>
      </c>
      <c r="AW33" s="5" t="s">
        <v>9</v>
      </c>
      <c r="AX33" s="5" t="s">
        <v>34</v>
      </c>
      <c r="AY33" s="5" t="s">
        <v>35</v>
      </c>
      <c r="AZ33" s="5" t="s">
        <v>10</v>
      </c>
      <c r="BA33" s="5" t="s">
        <v>54</v>
      </c>
      <c r="BB33" s="5" t="s">
        <v>55</v>
      </c>
    </row>
    <row r="34" spans="18:54" s="6" customFormat="1" x14ac:dyDescent="0.35">
      <c r="W34"/>
      <c r="X34"/>
      <c r="AC34" s="6" t="s">
        <v>126</v>
      </c>
      <c r="AD34" s="7">
        <v>0</v>
      </c>
      <c r="AE34" s="7">
        <v>0</v>
      </c>
      <c r="AF34" s="7">
        <v>0</v>
      </c>
      <c r="AG34" s="6">
        <f>AE34-AD34</f>
        <v>0</v>
      </c>
      <c r="AH34" s="7">
        <v>0</v>
      </c>
      <c r="AI34" s="7"/>
      <c r="AJ34" s="11"/>
      <c r="AK34" s="9"/>
      <c r="AL34" s="9"/>
      <c r="AM34" s="7">
        <v>0</v>
      </c>
      <c r="AN34" s="7">
        <v>0</v>
      </c>
      <c r="AO34" s="7">
        <v>0</v>
      </c>
      <c r="AP34" s="7">
        <v>0</v>
      </c>
      <c r="AQ34" s="7">
        <f>SUM(AP35:$AP$45)</f>
        <v>0.22106866054649404</v>
      </c>
      <c r="AR34" s="7">
        <v>0</v>
      </c>
      <c r="AS34" s="7">
        <v>0</v>
      </c>
      <c r="AT34" s="6">
        <f>AT32</f>
        <v>2020.9207650273224</v>
      </c>
      <c r="AU34" s="6">
        <f>AT32</f>
        <v>2020.9207650273224</v>
      </c>
      <c r="AV34" s="6">
        <f>AT32</f>
        <v>2020.9207650273224</v>
      </c>
      <c r="AW34" s="7"/>
      <c r="AX34" s="7"/>
      <c r="AY34" s="7"/>
      <c r="AZ34" s="7"/>
      <c r="BA34" s="7"/>
      <c r="BB34" s="7"/>
    </row>
    <row r="35" spans="18:54" s="6" customFormat="1" x14ac:dyDescent="0.35">
      <c r="W35"/>
      <c r="X35"/>
      <c r="AC35" s="4" t="s">
        <v>126</v>
      </c>
      <c r="AD35" s="4">
        <v>0</v>
      </c>
      <c r="AE35" s="4">
        <v>2</v>
      </c>
      <c r="AF35" s="4">
        <v>1</v>
      </c>
      <c r="AG35" s="4">
        <v>2</v>
      </c>
      <c r="AH35" s="4">
        <v>0.42353361195378714</v>
      </c>
      <c r="AI35" s="4">
        <v>3.491410000000001</v>
      </c>
      <c r="AJ35" s="4">
        <f>AI35/3.5</f>
        <v>0.99754571428571459</v>
      </c>
      <c r="AK35" s="4">
        <v>49.90568333972044</v>
      </c>
      <c r="AL35" s="4">
        <v>9.4387372950425981</v>
      </c>
      <c r="AM35" s="4">
        <f>AK35*AH35/1000</f>
        <v>2.1136734321893738E-2</v>
      </c>
      <c r="AN35" s="4">
        <f>AL35*AH35/1000</f>
        <v>3.9976224988523103E-3</v>
      </c>
      <c r="AO35" s="4">
        <f>AN35^2</f>
        <v>1.5980985643330191E-5</v>
      </c>
      <c r="AP35" s="4">
        <f>AM35*AG35</f>
        <v>4.2273468643787476E-2</v>
      </c>
      <c r="AQ35" s="7">
        <f>SUM(AP36:$AP$45)</f>
        <v>0.1787951919027066</v>
      </c>
      <c r="AR35" s="4">
        <f>(1/$AN$2)*LN($AQ$2/AQ35)</f>
        <v>6.7973420236830897</v>
      </c>
      <c r="AS35" s="4">
        <f t="shared" ref="AS35:AS45" si="23">ABS((1/$AN$2)*LN($AQ$2/(AQ35+SQRT(SUM($AO$7:$AO$40))))-AR35)</f>
        <v>4.8322463092977346</v>
      </c>
      <c r="AT35" s="4">
        <f>$AT$2-AR35</f>
        <v>2014.1234230036393</v>
      </c>
      <c r="AU35" s="4">
        <f>AT35+AS35</f>
        <v>2018.9556693129371</v>
      </c>
      <c r="AV35" s="4">
        <f>AT35-AS35</f>
        <v>2009.2911766943416</v>
      </c>
      <c r="AW35" s="4">
        <f>AG35/(AT34-AT35)</f>
        <v>0.29423265638710877</v>
      </c>
      <c r="AX35" s="4">
        <f>AG35/(AT34-AU35)</f>
        <v>1.0177621300372877</v>
      </c>
      <c r="AY35" s="4">
        <f>AG35/(AT34-AV35)</f>
        <v>0.17197513297423625</v>
      </c>
      <c r="AZ35" s="4">
        <f>AW35*$AH35</f>
        <v>0.12461741971438972</v>
      </c>
      <c r="BA35" s="4">
        <f t="shared" ref="BA35:BA45" si="24">AX35*$AH35</f>
        <v>0.43105647104447242</v>
      </c>
      <c r="BB35" s="4">
        <f t="shared" ref="BB35:BB45" si="25">AY35*$AH35</f>
        <v>7.2837249234811122E-2</v>
      </c>
    </row>
    <row r="36" spans="18:54" s="6" customFormat="1" x14ac:dyDescent="0.35">
      <c r="R36"/>
      <c r="S36"/>
      <c r="T36"/>
      <c r="U36"/>
      <c r="V36"/>
      <c r="W36"/>
      <c r="X36"/>
      <c r="Y36"/>
      <c r="Z36"/>
      <c r="AA36"/>
      <c r="AB36"/>
      <c r="AC36" s="4" t="s">
        <v>126</v>
      </c>
      <c r="AD36" s="4">
        <v>2</v>
      </c>
      <c r="AE36" s="4">
        <v>3</v>
      </c>
      <c r="AF36" s="4">
        <v>2.5</v>
      </c>
      <c r="AG36" s="4">
        <v>1</v>
      </c>
      <c r="AH36" s="4">
        <v>0.39852235073561859</v>
      </c>
      <c r="AI36" s="4">
        <v>3.2712100000000004</v>
      </c>
      <c r="AJ36" s="4">
        <f t="shared" ref="AJ36:AJ45" si="26">AI36/3.5</f>
        <v>0.93463142857142867</v>
      </c>
      <c r="AK36" s="4">
        <v>51.047017074556962</v>
      </c>
      <c r="AL36" s="4">
        <v>15.14909863044425</v>
      </c>
      <c r="AM36" s="4">
        <f t="shared" ref="AM36:AM42" si="27">AK36*AH36/1000</f>
        <v>2.0343377242593701E-2</v>
      </c>
      <c r="AN36" s="4">
        <f t="shared" ref="AN36:AN45" si="28">AL36*AH36/1000</f>
        <v>6.0372543977303831E-3</v>
      </c>
      <c r="AO36" s="4">
        <f t="shared" ref="AO36:AO45" si="29">AN36^2</f>
        <v>3.644844066291485E-5</v>
      </c>
      <c r="AP36" s="4">
        <f t="shared" ref="AP36:AP45" si="30">AM36*AG36</f>
        <v>2.0343377242593701E-2</v>
      </c>
      <c r="AQ36" s="7">
        <f>SUM(AP37:$AP$45)</f>
        <v>0.15845181466011288</v>
      </c>
      <c r="AR36" s="4">
        <f t="shared" ref="AR36:AR45" si="31">(1/$AN$2)*LN($AQ$2/AQ36)</f>
        <v>10.665997460188589</v>
      </c>
      <c r="AS36" s="4">
        <f t="shared" si="23"/>
        <v>5.4030002242562061</v>
      </c>
      <c r="AT36" s="4">
        <f t="shared" ref="AT36:AT45" si="32">$AT$2-AR36</f>
        <v>2010.2547675671337</v>
      </c>
      <c r="AU36" s="4">
        <f t="shared" ref="AU36:AU45" si="33">AT36+AS36</f>
        <v>2015.6577677913899</v>
      </c>
      <c r="AV36" s="4">
        <f t="shared" ref="AV36:AV45" si="34">AT36-AS36</f>
        <v>2004.8517673428776</v>
      </c>
      <c r="AW36" s="4">
        <f t="shared" ref="AW36:AW39" si="35">AG36/(AT35-AT36)</f>
        <v>0.25848773983946688</v>
      </c>
      <c r="AX36" s="4">
        <f t="shared" ref="AX36:AX45" si="36">AG36/(AT35-AU36)</f>
        <v>-0.651743993907688</v>
      </c>
      <c r="AY36" s="4">
        <f t="shared" ref="AY36:AY45" si="37">AG36/(AT35-AV36)</f>
        <v>0.10785560169496607</v>
      </c>
      <c r="AZ36" s="4">
        <f t="shared" ref="AZ36:AZ45" si="38">AW36*$AH36</f>
        <v>0.10301314171716135</v>
      </c>
      <c r="BA36" s="4">
        <f t="shared" si="24"/>
        <v>-0.25973454852991251</v>
      </c>
      <c r="BB36" s="4">
        <f t="shared" si="25"/>
        <v>4.2982867927482446E-2</v>
      </c>
    </row>
    <row r="37" spans="18:54" s="6" customFormat="1" x14ac:dyDescent="0.35">
      <c r="R37"/>
      <c r="S37"/>
      <c r="T37"/>
      <c r="U37"/>
      <c r="V37"/>
      <c r="W37"/>
      <c r="X37"/>
      <c r="Y37"/>
      <c r="Z37"/>
      <c r="AA37"/>
      <c r="AB37"/>
      <c r="AC37" s="4" t="s">
        <v>126</v>
      </c>
      <c r="AD37" s="4">
        <v>3</v>
      </c>
      <c r="AE37" s="4">
        <v>4</v>
      </c>
      <c r="AF37" s="4">
        <v>3.5</v>
      </c>
      <c r="AG37" s="4">
        <v>1</v>
      </c>
      <c r="AH37" s="4">
        <v>0.47401411904620755</v>
      </c>
      <c r="AI37" s="4">
        <v>3.4960199999999997</v>
      </c>
      <c r="AJ37" s="4">
        <f t="shared" si="26"/>
        <v>0.99886285714285705</v>
      </c>
      <c r="AK37" s="4">
        <v>40.037461597582613</v>
      </c>
      <c r="AL37" s="4">
        <v>14.122671619888704</v>
      </c>
      <c r="AM37" s="4">
        <f t="shared" si="27"/>
        <v>1.8978322088024489E-2</v>
      </c>
      <c r="AN37" s="4">
        <f t="shared" si="28"/>
        <v>6.6943457464804209E-3</v>
      </c>
      <c r="AO37" s="4">
        <f t="shared" si="29"/>
        <v>4.4814264973420506E-5</v>
      </c>
      <c r="AP37" s="4">
        <f t="shared" si="30"/>
        <v>1.8978322088024489E-2</v>
      </c>
      <c r="AQ37" s="7">
        <f>SUM(AP38:$AP$45)</f>
        <v>0.13947349257208841</v>
      </c>
      <c r="AR37" s="4">
        <f t="shared" si="31"/>
        <v>14.751979018699087</v>
      </c>
      <c r="AS37" s="4">
        <f t="shared" si="23"/>
        <v>6.0724791891720926</v>
      </c>
      <c r="AT37" s="4">
        <f t="shared" si="32"/>
        <v>2006.1687860086233</v>
      </c>
      <c r="AU37" s="4">
        <f t="shared" si="33"/>
        <v>2012.2412651977954</v>
      </c>
      <c r="AV37" s="4">
        <f t="shared" si="34"/>
        <v>2000.0963068194512</v>
      </c>
      <c r="AW37" s="4">
        <f t="shared" si="35"/>
        <v>0.24473923479100596</v>
      </c>
      <c r="AX37" s="4">
        <f t="shared" si="36"/>
        <v>-0.50339853648197264</v>
      </c>
      <c r="AY37" s="4">
        <f t="shared" si="37"/>
        <v>9.8440110646500642E-2</v>
      </c>
      <c r="AZ37" s="4">
        <f t="shared" si="38"/>
        <v>0.11600985277550163</v>
      </c>
      <c r="BA37" s="4">
        <f t="shared" si="24"/>
        <v>-0.23861801379965242</v>
      </c>
      <c r="BB37" s="4">
        <f t="shared" si="25"/>
        <v>4.66620023269122E-2</v>
      </c>
    </row>
    <row r="38" spans="18:54" s="6" customFormat="1" x14ac:dyDescent="0.35">
      <c r="R38"/>
      <c r="S38"/>
      <c r="T38"/>
      <c r="U38"/>
      <c r="V38"/>
      <c r="W38"/>
      <c r="X38"/>
      <c r="Y38"/>
      <c r="Z38"/>
      <c r="AA38"/>
      <c r="AB38"/>
      <c r="AC38" s="4" t="s">
        <v>126</v>
      </c>
      <c r="AD38" s="4">
        <v>4</v>
      </c>
      <c r="AE38" s="4">
        <v>6</v>
      </c>
      <c r="AF38" s="4">
        <v>5</v>
      </c>
      <c r="AG38" s="4">
        <v>2</v>
      </c>
      <c r="AH38" s="4">
        <v>0.46059251912495669</v>
      </c>
      <c r="AI38" s="4">
        <v>2.4631199999999995</v>
      </c>
      <c r="AJ38" s="4">
        <f t="shared" si="26"/>
        <v>0.70374857142857128</v>
      </c>
      <c r="AK38" s="4">
        <v>26.748387116959101</v>
      </c>
      <c r="AL38" s="4">
        <v>11.634620279960149</v>
      </c>
      <c r="AM38" s="4">
        <f t="shared" si="27"/>
        <v>1.2320107004729729E-2</v>
      </c>
      <c r="AN38" s="4">
        <f t="shared" si="28"/>
        <v>5.358819063809154E-3</v>
      </c>
      <c r="AO38" s="4">
        <f t="shared" si="29"/>
        <v>2.8716941758644417E-5</v>
      </c>
      <c r="AP38" s="4">
        <f t="shared" si="30"/>
        <v>2.4640214009459458E-2</v>
      </c>
      <c r="AQ38" s="7">
        <f>SUM(AP39:$AP$45)</f>
        <v>0.11483327856262894</v>
      </c>
      <c r="AR38" s="4">
        <f t="shared" si="31"/>
        <v>20.977972675833808</v>
      </c>
      <c r="AS38" s="4">
        <f t="shared" si="23"/>
        <v>7.237936082063035</v>
      </c>
      <c r="AT38" s="4">
        <f t="shared" si="32"/>
        <v>1999.9427923514886</v>
      </c>
      <c r="AU38" s="4">
        <f t="shared" si="33"/>
        <v>2007.1807284335516</v>
      </c>
      <c r="AV38" s="4">
        <f t="shared" si="34"/>
        <v>1992.7048562694256</v>
      </c>
      <c r="AW38" s="4">
        <f t="shared" si="35"/>
        <v>0.32123386404483173</v>
      </c>
      <c r="AX38" s="4">
        <f t="shared" si="36"/>
        <v>-1.9763970268780082</v>
      </c>
      <c r="AY38" s="4">
        <f t="shared" si="37"/>
        <v>0.14854504136168881</v>
      </c>
      <c r="AZ38" s="4">
        <f t="shared" si="38"/>
        <v>0.14795791466865291</v>
      </c>
      <c r="BA38" s="4">
        <f t="shared" si="24"/>
        <v>-0.91031368540081659</v>
      </c>
      <c r="BB38" s="4">
        <f t="shared" si="25"/>
        <v>6.8418734804301135E-2</v>
      </c>
    </row>
    <row r="39" spans="18:54" s="6" customFormat="1" x14ac:dyDescent="0.35">
      <c r="R39"/>
      <c r="S39"/>
      <c r="T39"/>
      <c r="U39"/>
      <c r="V39"/>
      <c r="W39"/>
      <c r="X39"/>
      <c r="Y39"/>
      <c r="Z39"/>
      <c r="AA39"/>
      <c r="AB39"/>
      <c r="AC39" s="4" t="s">
        <v>126</v>
      </c>
      <c r="AD39" s="4">
        <v>6</v>
      </c>
      <c r="AE39" s="4">
        <v>8</v>
      </c>
      <c r="AF39" s="4">
        <v>7</v>
      </c>
      <c r="AG39" s="4">
        <v>2</v>
      </c>
      <c r="AH39" s="4">
        <v>0.49698526679636873</v>
      </c>
      <c r="AI39" s="4">
        <v>3.5828700000000002</v>
      </c>
      <c r="AJ39" s="4">
        <f t="shared" si="26"/>
        <v>1.023677142857143</v>
      </c>
      <c r="AK39" s="4">
        <v>26.790122371083193</v>
      </c>
      <c r="AL39" s="4">
        <v>10.865531363998032</v>
      </c>
      <c r="AM39" s="4">
        <f t="shared" si="27"/>
        <v>1.3314296114100148E-2</v>
      </c>
      <c r="AN39" s="4">
        <f t="shared" si="28"/>
        <v>5.4000090038208741E-3</v>
      </c>
      <c r="AO39" s="4">
        <f t="shared" si="29"/>
        <v>2.9160097241346508E-5</v>
      </c>
      <c r="AP39" s="4">
        <f t="shared" si="30"/>
        <v>2.6628592228200295E-2</v>
      </c>
      <c r="AQ39" s="7">
        <f>SUM(AP40:$AP$45)</f>
        <v>8.8204686334428656E-2</v>
      </c>
      <c r="AR39" s="4">
        <f t="shared" si="31"/>
        <v>29.427594162171744</v>
      </c>
      <c r="AS39" s="4">
        <f t="shared" si="23"/>
        <v>9.1363352886660749</v>
      </c>
      <c r="AT39" s="4">
        <f t="shared" si="32"/>
        <v>1991.4931708651507</v>
      </c>
      <c r="AU39" s="4">
        <f t="shared" si="33"/>
        <v>2000.6295061538167</v>
      </c>
      <c r="AV39" s="4">
        <f t="shared" si="34"/>
        <v>1982.3568355764846</v>
      </c>
      <c r="AW39" s="4">
        <f t="shared" si="35"/>
        <v>0.23669699325984803</v>
      </c>
      <c r="AX39" s="4">
        <f t="shared" si="36"/>
        <v>-2.9124214384793676</v>
      </c>
      <c r="AY39" s="4">
        <f t="shared" si="37"/>
        <v>0.11372710769099155</v>
      </c>
      <c r="AZ39" s="4">
        <f t="shared" si="38"/>
        <v>0.11763491834514386</v>
      </c>
      <c r="BA39" s="4">
        <f t="shared" si="24"/>
        <v>-1.4474305456261325</v>
      </c>
      <c r="BB39" s="4">
        <f t="shared" si="25"/>
        <v>5.6520696957786797E-2</v>
      </c>
    </row>
    <row r="40" spans="18:54" s="6" customFormat="1" x14ac:dyDescent="0.35">
      <c r="R40"/>
      <c r="S40"/>
      <c r="T40"/>
      <c r="U40"/>
      <c r="V40"/>
      <c r="W40"/>
      <c r="X40"/>
      <c r="Y40"/>
      <c r="Z40"/>
      <c r="AA40"/>
      <c r="AB40"/>
      <c r="AC40" s="4" t="s">
        <v>126</v>
      </c>
      <c r="AD40" s="4">
        <v>8</v>
      </c>
      <c r="AE40" s="4">
        <v>10</v>
      </c>
      <c r="AF40" s="4">
        <v>9</v>
      </c>
      <c r="AG40" s="4">
        <v>2</v>
      </c>
      <c r="AH40" s="4">
        <v>0.51906694021446731</v>
      </c>
      <c r="AI40" s="4">
        <v>2.5521499999999993</v>
      </c>
      <c r="AJ40" s="4">
        <f t="shared" si="26"/>
        <v>0.7291857142857141</v>
      </c>
      <c r="AK40" s="4">
        <v>18.510287944317071</v>
      </c>
      <c r="AL40" s="4">
        <v>10.532242170377769</v>
      </c>
      <c r="AM40" s="4">
        <f t="shared" si="27"/>
        <v>9.6080785257454029E-3</v>
      </c>
      <c r="AN40" s="4">
        <f t="shared" si="28"/>
        <v>5.466938716975768E-3</v>
      </c>
      <c r="AO40" s="4">
        <f t="shared" si="29"/>
        <v>2.9887418935168657E-5</v>
      </c>
      <c r="AP40" s="4">
        <f t="shared" si="30"/>
        <v>1.9216157051490806E-2</v>
      </c>
      <c r="AQ40" s="7">
        <f>SUM(AP41:$AP$45)</f>
        <v>6.8988529282937847E-2</v>
      </c>
      <c r="AR40" s="4">
        <f t="shared" si="31"/>
        <v>37.297467599408229</v>
      </c>
      <c r="AS40" s="4">
        <f t="shared" si="23"/>
        <v>11.277220157003171</v>
      </c>
      <c r="AT40" s="4">
        <f t="shared" si="32"/>
        <v>1983.6232974279142</v>
      </c>
      <c r="AU40" s="4">
        <f t="shared" si="33"/>
        <v>1994.9005175849175</v>
      </c>
      <c r="AV40" s="4">
        <f t="shared" si="34"/>
        <v>1972.3460772709109</v>
      </c>
      <c r="AW40" s="4">
        <f>AG40/(AT39-AT40)</f>
        <v>0.2541336929939626</v>
      </c>
      <c r="AX40" s="4">
        <f t="shared" si="36"/>
        <v>-0.58696697591634739</v>
      </c>
      <c r="AY40" s="4">
        <f t="shared" si="37"/>
        <v>0.10445449541238369</v>
      </c>
      <c r="AZ40" s="4">
        <f t="shared" si="38"/>
        <v>0.13191239842777897</v>
      </c>
      <c r="BA40" s="4">
        <f t="shared" si="24"/>
        <v>-0.30467515219583735</v>
      </c>
      <c r="BB40" s="4">
        <f t="shared" si="25"/>
        <v>5.4218875325352113E-2</v>
      </c>
    </row>
    <row r="41" spans="18:54" s="6" customFormat="1" x14ac:dyDescent="0.35">
      <c r="R41"/>
      <c r="S41"/>
      <c r="T41"/>
      <c r="U41"/>
      <c r="V41"/>
      <c r="W41"/>
      <c r="X41"/>
      <c r="Y41"/>
      <c r="Z41"/>
      <c r="AA41"/>
      <c r="AB41"/>
      <c r="AC41" s="4" t="s">
        <v>126</v>
      </c>
      <c r="AD41" s="4">
        <v>14</v>
      </c>
      <c r="AE41" s="4">
        <v>16</v>
      </c>
      <c r="AF41" s="4">
        <v>15</v>
      </c>
      <c r="AG41" s="4">
        <v>2</v>
      </c>
      <c r="AH41" s="4">
        <v>0.49067567653446087</v>
      </c>
      <c r="AI41" s="4">
        <v>3.3442999999999996</v>
      </c>
      <c r="AJ41" s="4">
        <f t="shared" si="26"/>
        <v>0.95551428571428565</v>
      </c>
      <c r="AK41" s="4">
        <v>6.1822910165727691</v>
      </c>
      <c r="AL41" s="4">
        <v>10.93651091750078</v>
      </c>
      <c r="AM41" s="4">
        <f t="shared" si="27"/>
        <v>3.0334998270897633E-3</v>
      </c>
      <c r="AN41" s="4">
        <f t="shared" si="28"/>
        <v>5.3662798933712119E-3</v>
      </c>
      <c r="AO41" s="4">
        <f t="shared" si="29"/>
        <v>2.8796959894000145E-5</v>
      </c>
      <c r="AP41" s="4">
        <f t="shared" si="30"/>
        <v>6.0669996541795265E-3</v>
      </c>
      <c r="AQ41" s="7">
        <f>SUM(AP42:$AP$45)</f>
        <v>6.2921529628758313E-2</v>
      </c>
      <c r="AR41" s="4">
        <f t="shared" si="31"/>
        <v>40.245688911435991</v>
      </c>
      <c r="AS41" s="4">
        <f t="shared" si="23"/>
        <v>12.180906094366211</v>
      </c>
      <c r="AT41" s="4">
        <f t="shared" si="32"/>
        <v>1980.6750761158864</v>
      </c>
      <c r="AU41" s="4">
        <f t="shared" si="33"/>
        <v>1992.8559822102527</v>
      </c>
      <c r="AV41" s="4">
        <f t="shared" si="34"/>
        <v>1968.4941700215202</v>
      </c>
      <c r="AW41" s="4">
        <f t="shared" ref="AW41:AW45" si="39">AG41/(AT40-AT41)</f>
        <v>0.67837512463555216</v>
      </c>
      <c r="AX41" s="4">
        <f t="shared" si="36"/>
        <v>-0.21662171374309847</v>
      </c>
      <c r="AY41" s="4">
        <f t="shared" si="37"/>
        <v>0.13219533065434722</v>
      </c>
      <c r="AZ41" s="4">
        <f t="shared" si="38"/>
        <v>0.33286217322469874</v>
      </c>
      <c r="BA41" s="4">
        <f t="shared" si="24"/>
        <v>-0.10629100594294916</v>
      </c>
      <c r="BB41" s="4">
        <f t="shared" si="25"/>
        <v>6.4865033303518574E-2</v>
      </c>
    </row>
    <row r="42" spans="18:54" s="6" customFormat="1" x14ac:dyDescent="0.35">
      <c r="R42"/>
      <c r="S42"/>
      <c r="T42"/>
      <c r="U42"/>
      <c r="V42"/>
      <c r="W42"/>
      <c r="X42"/>
      <c r="Y42"/>
      <c r="Z42"/>
      <c r="AA42"/>
      <c r="AB42"/>
      <c r="AC42" s="4" t="s">
        <v>126</v>
      </c>
      <c r="AD42" s="4">
        <v>16</v>
      </c>
      <c r="AE42" s="4">
        <v>18</v>
      </c>
      <c r="AF42" s="4">
        <v>17</v>
      </c>
      <c r="AG42" s="4">
        <v>2</v>
      </c>
      <c r="AH42" s="4">
        <v>0.49758329634728743</v>
      </c>
      <c r="AI42" s="4">
        <v>2.5379800000000006</v>
      </c>
      <c r="AJ42" s="4">
        <f t="shared" si="26"/>
        <v>0.72513714285714304</v>
      </c>
      <c r="AK42" s="4">
        <v>15.746389948097132</v>
      </c>
      <c r="AL42" s="4">
        <v>10.61722220140987</v>
      </c>
      <c r="AM42" s="4">
        <f t="shared" si="27"/>
        <v>7.8351406159439634E-3</v>
      </c>
      <c r="AN42" s="4">
        <f t="shared" si="28"/>
        <v>5.282952421029127E-3</v>
      </c>
      <c r="AO42" s="4">
        <f t="shared" si="29"/>
        <v>2.7909586282857515E-5</v>
      </c>
      <c r="AP42" s="4">
        <f t="shared" si="30"/>
        <v>1.5670281231887927E-2</v>
      </c>
      <c r="AQ42" s="7">
        <f>SUM(AP43:$AP$45)</f>
        <v>4.7251248396870393E-2</v>
      </c>
      <c r="AR42" s="4">
        <f t="shared" si="31"/>
        <v>49.418757700963454</v>
      </c>
      <c r="AS42" s="4">
        <f t="shared" si="23"/>
        <v>15.37631585612646</v>
      </c>
      <c r="AT42" s="4">
        <f t="shared" si="32"/>
        <v>1971.502007326359</v>
      </c>
      <c r="AU42" s="4">
        <f t="shared" si="33"/>
        <v>1986.8783231824855</v>
      </c>
      <c r="AV42" s="4">
        <f t="shared" si="34"/>
        <v>1956.1256914702326</v>
      </c>
      <c r="AW42" s="4">
        <f t="shared" si="39"/>
        <v>0.21802954342644143</v>
      </c>
      <c r="AX42" s="4">
        <f t="shared" si="36"/>
        <v>-0.3224117915226794</v>
      </c>
      <c r="AY42" s="4">
        <f t="shared" si="37"/>
        <v>8.1468437146919467E-2</v>
      </c>
      <c r="AZ42" s="4">
        <f t="shared" si="38"/>
        <v>0.10848785891922277</v>
      </c>
      <c r="BA42" s="4">
        <f t="shared" si="24"/>
        <v>-0.16042672200708924</v>
      </c>
      <c r="BB42" s="4">
        <f t="shared" si="25"/>
        <v>4.053733350382599E-2</v>
      </c>
    </row>
    <row r="43" spans="18:54" s="6" customFormat="1" x14ac:dyDescent="0.35">
      <c r="R43"/>
      <c r="S43"/>
      <c r="T43"/>
      <c r="U43"/>
      <c r="V43"/>
      <c r="W43"/>
      <c r="X43"/>
      <c r="Y43"/>
      <c r="Z43"/>
      <c r="AA43"/>
      <c r="AB43"/>
      <c r="AC43" s="4" t="s">
        <v>126</v>
      </c>
      <c r="AD43" s="4">
        <v>18</v>
      </c>
      <c r="AE43" s="4">
        <v>20</v>
      </c>
      <c r="AF43" s="4">
        <v>19</v>
      </c>
      <c r="AG43" s="4">
        <v>2</v>
      </c>
      <c r="AH43" s="4">
        <v>0.57004328193454812</v>
      </c>
      <c r="AI43" s="4">
        <v>3.3508900000000001</v>
      </c>
      <c r="AJ43" s="4">
        <f t="shared" si="26"/>
        <v>0.95739714285714295</v>
      </c>
      <c r="AK43" s="4">
        <v>18.494755942924847</v>
      </c>
      <c r="AL43" s="4">
        <v>13.823609381059647</v>
      </c>
      <c r="AM43" s="4">
        <f>AK43*AH43/1000</f>
        <v>1.0542811376283368E-2</v>
      </c>
      <c r="AN43" s="4">
        <f t="shared" si="28"/>
        <v>7.8800556597604481E-3</v>
      </c>
      <c r="AO43" s="4">
        <f t="shared" si="29"/>
        <v>6.2095277200922665E-5</v>
      </c>
      <c r="AP43" s="4">
        <f t="shared" si="30"/>
        <v>2.1085622752566736E-2</v>
      </c>
      <c r="AQ43" s="7">
        <f>SUM(AP44:$AP$45)</f>
        <v>2.6165625644303657E-2</v>
      </c>
      <c r="AR43" s="4">
        <f t="shared" si="31"/>
        <v>68.348246838486645</v>
      </c>
      <c r="AS43" s="4">
        <f t="shared" si="23"/>
        <v>23.957399913538445</v>
      </c>
      <c r="AT43" s="4">
        <f t="shared" si="32"/>
        <v>1952.5725181888358</v>
      </c>
      <c r="AU43" s="4">
        <f t="shared" si="33"/>
        <v>1976.5299181023743</v>
      </c>
      <c r="AV43" s="4">
        <f t="shared" si="34"/>
        <v>1928.6151182752974</v>
      </c>
      <c r="AW43" s="4">
        <f t="shared" si="39"/>
        <v>0.10565525490254653</v>
      </c>
      <c r="AX43" s="4">
        <f t="shared" si="36"/>
        <v>-0.39777953291069712</v>
      </c>
      <c r="AY43" s="4">
        <f t="shared" si="37"/>
        <v>4.6634298832418833E-2</v>
      </c>
      <c r="AZ43" s="4">
        <f t="shared" si="38"/>
        <v>6.022806825827888E-2</v>
      </c>
      <c r="BA43" s="4">
        <f t="shared" si="24"/>
        <v>-0.22675155042680539</v>
      </c>
      <c r="BB43" s="4">
        <f t="shared" si="25"/>
        <v>2.6583568757148499E-2</v>
      </c>
    </row>
    <row r="44" spans="18:54" s="6" customFormat="1" x14ac:dyDescent="0.35">
      <c r="R44"/>
      <c r="S44"/>
      <c r="T44"/>
      <c r="U44"/>
      <c r="V44"/>
      <c r="W44"/>
      <c r="X44"/>
      <c r="Y44"/>
      <c r="Z44"/>
      <c r="AA44"/>
      <c r="AB44"/>
      <c r="AC44" s="4" t="s">
        <v>126</v>
      </c>
      <c r="AD44" s="4">
        <v>30</v>
      </c>
      <c r="AE44" s="4">
        <v>32</v>
      </c>
      <c r="AF44" s="4">
        <v>31</v>
      </c>
      <c r="AG44" s="4">
        <v>2</v>
      </c>
      <c r="AH44" s="4">
        <v>0.62134513341019226</v>
      </c>
      <c r="AI44" s="4">
        <v>3.3461399999999997</v>
      </c>
      <c r="AJ44" s="4">
        <f t="shared" si="26"/>
        <v>0.95603999999999989</v>
      </c>
      <c r="AK44" s="4">
        <v>10.921670216029945</v>
      </c>
      <c r="AL44" s="4">
        <v>11.743676429906433</v>
      </c>
      <c r="AM44" s="4">
        <f t="shared" ref="AM44:AM45" si="40">AK44*AH44/1000</f>
        <v>6.7861266374412491E-3</v>
      </c>
      <c r="AN44" s="4">
        <f t="shared" si="28"/>
        <v>7.2968761980663427E-3</v>
      </c>
      <c r="AO44" s="4">
        <f t="shared" si="29"/>
        <v>5.3244402249907124E-5</v>
      </c>
      <c r="AP44" s="4">
        <f t="shared" si="30"/>
        <v>1.3572253274882498E-2</v>
      </c>
      <c r="AQ44" s="7">
        <f>SUM(AP45:$AP$45)</f>
        <v>1.2593372369421157E-2</v>
      </c>
      <c r="AR44" s="4">
        <f t="shared" si="31"/>
        <v>91.769426271240434</v>
      </c>
      <c r="AS44" s="4">
        <f t="shared" si="23"/>
        <v>38.356119936144133</v>
      </c>
      <c r="AT44" s="4">
        <f t="shared" si="32"/>
        <v>1929.1513387560819</v>
      </c>
      <c r="AU44" s="4">
        <f t="shared" si="33"/>
        <v>1967.507458692226</v>
      </c>
      <c r="AV44" s="4">
        <f t="shared" si="34"/>
        <v>1890.7952188199379</v>
      </c>
      <c r="AW44" s="4">
        <f t="shared" si="39"/>
        <v>8.539279611184114E-2</v>
      </c>
      <c r="AX44" s="4">
        <f t="shared" si="36"/>
        <v>-0.13391415918570326</v>
      </c>
      <c r="AY44" s="4">
        <f t="shared" si="37"/>
        <v>3.23743514273288E-2</v>
      </c>
      <c r="AZ44" s="4">
        <f t="shared" si="38"/>
        <v>5.3058398292381279E-2</v>
      </c>
      <c r="BA44" s="4">
        <f t="shared" si="24"/>
        <v>-8.3206911104754519E-2</v>
      </c>
      <c r="BB44" s="4">
        <f t="shared" si="25"/>
        <v>2.0115645706682062E-2</v>
      </c>
    </row>
    <row r="45" spans="18:54" s="6" customFormat="1" x14ac:dyDescent="0.35">
      <c r="R45"/>
      <c r="S45"/>
      <c r="T45"/>
      <c r="U45"/>
      <c r="V45"/>
      <c r="W45"/>
      <c r="X45"/>
      <c r="Y45"/>
      <c r="Z45"/>
      <c r="AA45"/>
      <c r="AB45"/>
      <c r="AC45" s="31" t="s">
        <v>126</v>
      </c>
      <c r="AD45" s="31">
        <v>34</v>
      </c>
      <c r="AE45" s="31">
        <v>36</v>
      </c>
      <c r="AF45" s="31">
        <v>35</v>
      </c>
      <c r="AG45" s="31">
        <v>2</v>
      </c>
      <c r="AH45" s="31">
        <v>0.58709469413004589</v>
      </c>
      <c r="AI45" s="31">
        <v>3.62405</v>
      </c>
      <c r="AJ45" s="31">
        <f t="shared" si="26"/>
        <v>1.0354428571428571</v>
      </c>
      <c r="AK45" s="31">
        <v>10.725162818991199</v>
      </c>
      <c r="AL45" s="31">
        <v>12.509472270312257</v>
      </c>
      <c r="AM45" s="31">
        <f t="shared" si="40"/>
        <v>6.2966861847105786E-3</v>
      </c>
      <c r="AN45" s="31">
        <f t="shared" si="28"/>
        <v>7.3442447962672654E-3</v>
      </c>
      <c r="AO45" s="31">
        <f t="shared" si="29"/>
        <v>5.3937931627498808E-5</v>
      </c>
      <c r="AP45" s="31">
        <f t="shared" si="30"/>
        <v>1.2593372369421157E-2</v>
      </c>
      <c r="AQ45" s="32">
        <f>SUM(AP$45:$AP46)</f>
        <v>1.2593372369421157E-2</v>
      </c>
      <c r="AR45" s="31">
        <f t="shared" si="31"/>
        <v>91.769426271240434</v>
      </c>
      <c r="AS45" s="31">
        <f t="shared" si="23"/>
        <v>38.356119936144133</v>
      </c>
      <c r="AT45" s="31">
        <f t="shared" si="32"/>
        <v>1929.1513387560819</v>
      </c>
      <c r="AU45" s="31">
        <f t="shared" si="33"/>
        <v>1967.507458692226</v>
      </c>
      <c r="AV45" s="31">
        <f t="shared" si="34"/>
        <v>1890.7952188199379</v>
      </c>
      <c r="AW45" s="31" t="e">
        <f t="shared" si="39"/>
        <v>#DIV/0!</v>
      </c>
      <c r="AX45" s="31">
        <f t="shared" si="36"/>
        <v>-5.2142917566470083E-2</v>
      </c>
      <c r="AY45" s="31">
        <f t="shared" si="37"/>
        <v>5.2142917566470083E-2</v>
      </c>
      <c r="AZ45" s="31" t="e">
        <f t="shared" si="38"/>
        <v>#DIV/0!</v>
      </c>
      <c r="BA45" s="31">
        <f t="shared" si="24"/>
        <v>-3.0612830239734951E-2</v>
      </c>
      <c r="BB45" s="31">
        <f t="shared" si="25"/>
        <v>3.0612830239734951E-2</v>
      </c>
    </row>
    <row r="46" spans="18:54" s="6" customFormat="1" x14ac:dyDescent="0.35"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</row>
    <row r="47" spans="18:54" s="6" customFormat="1" x14ac:dyDescent="0.35"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</row>
  </sheetData>
  <mergeCells count="3">
    <mergeCell ref="R1:AA1"/>
    <mergeCell ref="AI2:AL2"/>
    <mergeCell ref="AI32:AL32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07D1-258A-4F14-BD2F-0125FD4F86BD}">
  <dimension ref="A1:BJ46"/>
  <sheetViews>
    <sheetView topLeftCell="AB4" zoomScale="60" zoomScaleNormal="60" workbookViewId="0">
      <selection activeCell="AS5" sqref="AS5:AS15"/>
    </sheetView>
  </sheetViews>
  <sheetFormatPr defaultRowHeight="14.5" x14ac:dyDescent="0.35"/>
  <cols>
    <col min="2" max="2" width="21.36328125" style="6" bestFit="1" customWidth="1"/>
    <col min="3" max="3" width="14.08984375" style="6" customWidth="1"/>
    <col min="4" max="4" width="15.54296875" style="6" bestFit="1" customWidth="1"/>
    <col min="5" max="8" width="11.1796875" style="6" customWidth="1"/>
    <col min="9" max="9" width="10.6328125" style="6" customWidth="1"/>
    <col min="10" max="10" width="16.54296875" style="6" bestFit="1" customWidth="1"/>
    <col min="11" max="15" width="11.1796875" style="6" customWidth="1"/>
    <col min="16" max="16" width="10.453125" style="6" customWidth="1"/>
    <col min="17" max="17" width="10.36328125" style="6" customWidth="1"/>
    <col min="18" max="18" width="10" bestFit="1" customWidth="1"/>
    <col min="19" max="19" width="11.453125" customWidth="1"/>
    <col min="20" max="20" width="10" bestFit="1" customWidth="1"/>
    <col min="22" max="22" width="8" customWidth="1"/>
    <col min="23" max="23" width="7.81640625" customWidth="1"/>
    <col min="24" max="24" width="7.6328125" customWidth="1"/>
    <col min="25" max="25" width="11.08984375" customWidth="1"/>
    <col min="26" max="28" width="10.453125" customWidth="1"/>
    <col min="29" max="29" width="3.08984375" bestFit="1" customWidth="1"/>
    <col min="30" max="31" width="5.453125" bestFit="1" customWidth="1"/>
    <col min="32" max="32" width="5.6328125" bestFit="1" customWidth="1"/>
    <col min="33" max="33" width="8.36328125" customWidth="1"/>
    <col min="34" max="35" width="12.36328125" customWidth="1"/>
    <col min="36" max="37" width="10" style="6" bestFit="1" customWidth="1"/>
    <col min="38" max="38" width="8.90625" style="6"/>
    <col min="39" max="39" width="18.08984375" customWidth="1"/>
    <col min="40" max="41" width="13.81640625" customWidth="1"/>
    <col min="42" max="42" width="9.54296875" customWidth="1"/>
    <col min="43" max="43" width="12.90625" bestFit="1" customWidth="1"/>
    <col min="44" max="44" width="9.36328125" customWidth="1"/>
    <col min="45" max="45" width="11.54296875" customWidth="1"/>
    <col min="46" max="47" width="12" bestFit="1" customWidth="1"/>
    <col min="48" max="49" width="10" bestFit="1" customWidth="1"/>
    <col min="52" max="52" width="10.6328125" bestFit="1" customWidth="1"/>
    <col min="53" max="54" width="10.6328125" customWidth="1"/>
  </cols>
  <sheetData>
    <row r="1" spans="1:62" x14ac:dyDescent="0.35">
      <c r="A1" s="6" t="s">
        <v>140</v>
      </c>
      <c r="R1" s="41" t="s">
        <v>39</v>
      </c>
      <c r="S1" s="41"/>
      <c r="T1" s="41"/>
      <c r="U1" s="41"/>
      <c r="V1" s="41"/>
      <c r="W1" s="41"/>
      <c r="X1" s="41"/>
      <c r="Y1" s="41"/>
      <c r="Z1" s="41"/>
      <c r="AA1" s="41"/>
      <c r="AB1" s="22"/>
      <c r="AC1" s="4"/>
    </row>
    <row r="2" spans="1:62" x14ac:dyDescent="0.35">
      <c r="A2" t="s">
        <v>147</v>
      </c>
      <c r="B2" s="6" t="s">
        <v>148</v>
      </c>
      <c r="I2" s="38"/>
      <c r="P2" s="10"/>
      <c r="Q2" s="10"/>
      <c r="R2">
        <f>AT2</f>
        <v>2020.9207650273224</v>
      </c>
      <c r="T2" t="s">
        <v>31</v>
      </c>
      <c r="W2" t="s">
        <v>32</v>
      </c>
      <c r="Z2" t="s">
        <v>32</v>
      </c>
      <c r="AI2" s="42" t="s">
        <v>13</v>
      </c>
      <c r="AJ2" s="42"/>
      <c r="AK2" s="42"/>
      <c r="AL2" s="42"/>
      <c r="AM2" s="1" t="s">
        <v>0</v>
      </c>
      <c r="AN2" s="1">
        <f>LN(2)/22.2</f>
        <v>3.1222845971168707E-2</v>
      </c>
      <c r="AO2" s="1"/>
      <c r="AP2" s="2" t="s">
        <v>1</v>
      </c>
      <c r="AQ2" s="2">
        <f>AQ5</f>
        <v>0.19490303490219041</v>
      </c>
      <c r="AR2" s="3" t="s">
        <v>2</v>
      </c>
      <c r="AS2" s="3"/>
      <c r="AT2" s="6">
        <f>2020+337/366</f>
        <v>2020.9207650273224</v>
      </c>
      <c r="AU2" t="s">
        <v>31</v>
      </c>
    </row>
    <row r="3" spans="1:62" x14ac:dyDescent="0.35">
      <c r="B3" s="6" t="s">
        <v>150</v>
      </c>
      <c r="I3" s="38"/>
      <c r="P3" s="10"/>
      <c r="Q3" s="10"/>
      <c r="AI3" s="27"/>
      <c r="AJ3" s="37"/>
      <c r="AK3" s="37"/>
      <c r="AL3" s="37"/>
      <c r="AM3" s="1"/>
      <c r="AN3" s="1"/>
      <c r="AO3" s="1"/>
      <c r="AP3" s="2"/>
      <c r="AQ3" s="2"/>
      <c r="AR3" s="3"/>
      <c r="AS3" s="3"/>
      <c r="AT3" s="6"/>
    </row>
    <row r="4" spans="1:62" s="5" customFormat="1" ht="86.4" customHeight="1" x14ac:dyDescent="0.35">
      <c r="A4" s="7" t="s">
        <v>20</v>
      </c>
      <c r="B4" s="5" t="s">
        <v>13</v>
      </c>
      <c r="D4" s="8" t="s">
        <v>15</v>
      </c>
      <c r="E4" s="8" t="s">
        <v>16</v>
      </c>
      <c r="F4" s="8" t="s">
        <v>17</v>
      </c>
      <c r="G4" s="8" t="s">
        <v>36</v>
      </c>
      <c r="H4" s="8" t="s">
        <v>42</v>
      </c>
      <c r="I4" s="13" t="s">
        <v>21</v>
      </c>
      <c r="J4" s="14" t="s">
        <v>37</v>
      </c>
      <c r="K4" s="14" t="s">
        <v>38</v>
      </c>
      <c r="L4" s="16" t="s">
        <v>40</v>
      </c>
      <c r="M4" s="16" t="s">
        <v>41</v>
      </c>
      <c r="N4" s="24" t="s">
        <v>43</v>
      </c>
      <c r="O4" s="24" t="s">
        <v>44</v>
      </c>
      <c r="P4" s="13" t="s">
        <v>18</v>
      </c>
      <c r="Q4" s="13" t="s">
        <v>19</v>
      </c>
      <c r="R4" s="5" t="s">
        <v>23</v>
      </c>
      <c r="S4" s="5" t="s">
        <v>33</v>
      </c>
      <c r="T4" s="5" t="s">
        <v>29</v>
      </c>
      <c r="U4" s="5" t="s">
        <v>30</v>
      </c>
      <c r="V4" s="5" t="s">
        <v>9</v>
      </c>
      <c r="W4" s="5" t="s">
        <v>34</v>
      </c>
      <c r="X4" s="5" t="s">
        <v>35</v>
      </c>
      <c r="Y4" s="5" t="s">
        <v>10</v>
      </c>
      <c r="Z4" s="5" t="s">
        <v>54</v>
      </c>
      <c r="AA4" s="5" t="s">
        <v>55</v>
      </c>
      <c r="AC4" s="5" t="s">
        <v>3</v>
      </c>
      <c r="AD4" s="5" t="s">
        <v>5</v>
      </c>
      <c r="AE4" s="5" t="s">
        <v>6</v>
      </c>
      <c r="AF4" s="5" t="s">
        <v>7</v>
      </c>
      <c r="AG4" s="5" t="s">
        <v>8</v>
      </c>
      <c r="AH4" s="5" t="s">
        <v>11</v>
      </c>
      <c r="AI4" s="30" t="s">
        <v>105</v>
      </c>
      <c r="AJ4" s="28" t="s">
        <v>12</v>
      </c>
      <c r="AK4" s="29" t="s">
        <v>22</v>
      </c>
      <c r="AL4" s="29" t="s">
        <v>14</v>
      </c>
      <c r="AM4" s="5" t="s">
        <v>25</v>
      </c>
      <c r="AN4" s="5" t="s">
        <v>24</v>
      </c>
      <c r="AO4" s="5" t="s">
        <v>53</v>
      </c>
      <c r="AP4" s="5" t="s">
        <v>52</v>
      </c>
      <c r="AQ4" s="5" t="s">
        <v>26</v>
      </c>
      <c r="AR4" s="5" t="s">
        <v>27</v>
      </c>
      <c r="AS4" s="5" t="s">
        <v>28</v>
      </c>
      <c r="AT4" s="5" t="s">
        <v>23</v>
      </c>
      <c r="AU4" s="5" t="s">
        <v>29</v>
      </c>
      <c r="AV4" s="5" t="s">
        <v>30</v>
      </c>
      <c r="AW4" s="5" t="s">
        <v>9</v>
      </c>
      <c r="AX4" s="5" t="s">
        <v>34</v>
      </c>
      <c r="AY4" s="5" t="s">
        <v>35</v>
      </c>
      <c r="AZ4" s="5" t="s">
        <v>10</v>
      </c>
      <c r="BA4" s="5" t="s">
        <v>54</v>
      </c>
      <c r="BB4" s="5" t="s">
        <v>55</v>
      </c>
      <c r="BF4" s="5" t="s">
        <v>20</v>
      </c>
      <c r="BG4" s="5" t="s">
        <v>100</v>
      </c>
      <c r="BH4" s="5" t="s">
        <v>4</v>
      </c>
      <c r="BI4" s="5" t="s">
        <v>101</v>
      </c>
      <c r="BJ4" s="5" t="s">
        <v>102</v>
      </c>
    </row>
    <row r="5" spans="1:62" s="6" customFormat="1" x14ac:dyDescent="0.35">
      <c r="A5" s="4" t="s">
        <v>126</v>
      </c>
      <c r="D5" s="12"/>
      <c r="E5" s="33">
        <v>0</v>
      </c>
      <c r="F5" s="12"/>
      <c r="G5" s="12">
        <v>0</v>
      </c>
      <c r="H5" s="12"/>
      <c r="I5" s="9"/>
      <c r="J5" s="15"/>
      <c r="K5" s="15"/>
      <c r="L5" s="17"/>
      <c r="M5" s="17"/>
      <c r="N5" s="25"/>
      <c r="O5" s="25"/>
      <c r="P5" s="9"/>
      <c r="Q5" s="9"/>
      <c r="R5" s="6">
        <v>2020.9207650273224</v>
      </c>
      <c r="S5" s="6">
        <v>0</v>
      </c>
      <c r="T5" s="6">
        <v>2020.9207650273224</v>
      </c>
      <c r="U5" s="6">
        <v>2020.9207650273224</v>
      </c>
      <c r="AC5" s="6" t="s">
        <v>126</v>
      </c>
      <c r="AD5" s="7">
        <v>0</v>
      </c>
      <c r="AE5" s="7">
        <v>0</v>
      </c>
      <c r="AF5" s="7">
        <v>0</v>
      </c>
      <c r="AG5" s="6">
        <f>AE5-AD5</f>
        <v>0</v>
      </c>
      <c r="AH5" s="7">
        <v>0</v>
      </c>
      <c r="AI5" s="7"/>
      <c r="AJ5" s="11"/>
      <c r="AK5" s="9"/>
      <c r="AL5" s="9"/>
      <c r="AM5" s="7">
        <v>0</v>
      </c>
      <c r="AN5" s="7">
        <v>0</v>
      </c>
      <c r="AO5" s="7">
        <v>0</v>
      </c>
      <c r="AP5" s="7">
        <v>0</v>
      </c>
      <c r="AQ5" s="7">
        <f>SUM(AP6:$AP$17)</f>
        <v>0.19490303490219041</v>
      </c>
      <c r="AR5" s="7">
        <v>0</v>
      </c>
      <c r="AS5" s="7">
        <v>0</v>
      </c>
      <c r="AT5" s="6">
        <f>AT2</f>
        <v>2020.9207650273224</v>
      </c>
      <c r="AU5" s="6">
        <f>AT2</f>
        <v>2020.9207650273224</v>
      </c>
      <c r="AV5" s="6">
        <f>AT2</f>
        <v>2020.9207650273224</v>
      </c>
      <c r="AW5" s="7"/>
      <c r="AX5" s="7"/>
      <c r="AY5" s="7"/>
      <c r="AZ5" s="7"/>
      <c r="BA5" s="7"/>
      <c r="BB5" s="7"/>
      <c r="BF5" s="6" t="s">
        <v>126</v>
      </c>
      <c r="BG5" s="6" t="s">
        <v>127</v>
      </c>
      <c r="BH5" s="6">
        <v>0</v>
      </c>
      <c r="BI5" s="6">
        <v>0.6767677472960989</v>
      </c>
    </row>
    <row r="6" spans="1:62" s="6" customFormat="1" x14ac:dyDescent="0.35">
      <c r="A6" s="4" t="s">
        <v>126</v>
      </c>
      <c r="B6" s="6" t="s">
        <v>128</v>
      </c>
      <c r="C6" s="6" t="s">
        <v>57</v>
      </c>
      <c r="D6" s="23">
        <v>0</v>
      </c>
      <c r="E6" s="23">
        <v>2</v>
      </c>
      <c r="F6" s="23">
        <f t="shared" ref="F6:F29" si="0">AVERAGE(D6:E6)</f>
        <v>1</v>
      </c>
      <c r="G6" s="23">
        <f>E6-D6</f>
        <v>2</v>
      </c>
      <c r="H6" s="23">
        <f>G6/2</f>
        <v>1</v>
      </c>
      <c r="I6" s="4">
        <f>AVERAGE(BJ6:BJ7)</f>
        <v>0.42353361195378714</v>
      </c>
      <c r="J6" s="23">
        <v>1.1908107758611335</v>
      </c>
      <c r="K6" s="23">
        <v>0.50446257745410494</v>
      </c>
      <c r="L6" s="18">
        <f>$J6*I6/1000</f>
        <v>5.0434838905395751E-4</v>
      </c>
      <c r="M6" s="18">
        <f>$J6*K6/1000</f>
        <v>6.0071947325102983E-4</v>
      </c>
      <c r="N6" s="26">
        <v>49.90568333972044</v>
      </c>
      <c r="O6" s="26">
        <v>9.4387372950425981</v>
      </c>
      <c r="P6" s="4">
        <f>N6*$I6/1000</f>
        <v>2.1136734321893738E-2</v>
      </c>
      <c r="Q6" s="4">
        <f>O6*$I6/1000</f>
        <v>3.9976224988523103E-3</v>
      </c>
      <c r="R6" s="4">
        <v>2014.1234230036393</v>
      </c>
      <c r="S6" s="4">
        <v>4.8322463092977346</v>
      </c>
      <c r="T6" s="4">
        <v>2018.9556693129371</v>
      </c>
      <c r="U6" s="4">
        <v>2009.2911766943416</v>
      </c>
      <c r="V6" s="4">
        <v>0.29423265638710877</v>
      </c>
      <c r="W6" s="4">
        <v>1.0177621300372877</v>
      </c>
      <c r="X6" s="4">
        <v>0.17197513297423625</v>
      </c>
      <c r="Y6" s="4">
        <v>0.12461741971438972</v>
      </c>
      <c r="Z6" s="4">
        <v>0.43105647104447242</v>
      </c>
      <c r="AA6" s="4">
        <v>7.2837249234811122E-2</v>
      </c>
      <c r="AC6" s="4" t="s">
        <v>126</v>
      </c>
      <c r="AD6" s="4">
        <v>0</v>
      </c>
      <c r="AE6" s="4">
        <v>2</v>
      </c>
      <c r="AF6" s="4">
        <v>1</v>
      </c>
      <c r="AG6" s="4">
        <v>2</v>
      </c>
      <c r="AH6" s="4">
        <v>0.42353361195378714</v>
      </c>
      <c r="AI6" s="4">
        <v>3.491410000000001</v>
      </c>
      <c r="AJ6" s="4">
        <f>AI6/3.5</f>
        <v>0.99754571428571459</v>
      </c>
      <c r="AK6" s="4">
        <v>49.90568333972044</v>
      </c>
      <c r="AL6" s="4">
        <v>9.4387372950425981</v>
      </c>
      <c r="AM6" s="4">
        <f>AK6*AH6/1000</f>
        <v>2.1136734321893738E-2</v>
      </c>
      <c r="AN6" s="4">
        <f>AL6*AH6/1000</f>
        <v>3.9976224988523103E-3</v>
      </c>
      <c r="AO6" s="4">
        <f>AN6^2</f>
        <v>1.5980985643330191E-5</v>
      </c>
      <c r="AP6" s="4">
        <f>AM6*AG6</f>
        <v>4.2273468643787476E-2</v>
      </c>
      <c r="AQ6" s="7">
        <f>SUM(AP7:$AP$17)</f>
        <v>0.15262956625840293</v>
      </c>
      <c r="AR6" s="4">
        <f>(1/$AN$2)*LN($AQ$2/AQ6)</f>
        <v>7.8304305784982633</v>
      </c>
      <c r="AS6" s="4">
        <f t="shared" ref="AS6:AS17" si="1">ABS((1/$AN$2)*LN($AQ$2/(AQ6+SQRT(SUM($AO$6:$AO$39))))-AR6)</f>
        <v>5.592098294208407</v>
      </c>
      <c r="AT6" s="4">
        <f>$AT$2-AR6</f>
        <v>2013.0903344488243</v>
      </c>
      <c r="AU6" s="4">
        <f>AT6+AS6</f>
        <v>2018.6824327430327</v>
      </c>
      <c r="AV6" s="4">
        <f>AT6-AS6</f>
        <v>2007.4982361546158</v>
      </c>
      <c r="AW6" s="4">
        <f>AG6/(AT5-AT6)</f>
        <v>0.25541379620832871</v>
      </c>
      <c r="AX6" s="4">
        <f>AG6/(AT5-AU6)</f>
        <v>0.89352238451701582</v>
      </c>
      <c r="AY6" s="4">
        <f>AG6/(AT5-AV6)</f>
        <v>0.1490032183180327</v>
      </c>
      <c r="AZ6" s="4">
        <f>AW6*$AH6</f>
        <v>0.10817632765094196</v>
      </c>
      <c r="BA6" s="4">
        <f t="shared" ref="BA6:BB17" si="2">AX6*$AH6</f>
        <v>0.37843676287605238</v>
      </c>
      <c r="BB6" s="4">
        <f t="shared" si="2"/>
        <v>6.3107871246975089E-2</v>
      </c>
      <c r="BF6" s="6" t="s">
        <v>126</v>
      </c>
      <c r="BG6" s="6" t="s">
        <v>127</v>
      </c>
      <c r="BH6" s="6">
        <v>1</v>
      </c>
      <c r="BI6" s="6">
        <v>0.62371673064415345</v>
      </c>
      <c r="BJ6" s="6">
        <v>0.44671293454762251</v>
      </c>
    </row>
    <row r="7" spans="1:62" s="6" customFormat="1" x14ac:dyDescent="0.35">
      <c r="A7" s="4" t="s">
        <v>126</v>
      </c>
      <c r="B7" s="6" t="s">
        <v>126</v>
      </c>
      <c r="C7" s="6" t="s">
        <v>59</v>
      </c>
      <c r="D7" s="23">
        <v>2</v>
      </c>
      <c r="E7" s="23">
        <v>3</v>
      </c>
      <c r="F7" s="23">
        <f t="shared" si="0"/>
        <v>2.5</v>
      </c>
      <c r="G7" s="23">
        <f t="shared" ref="G7:G29" si="3">E7-D7</f>
        <v>1</v>
      </c>
      <c r="H7" s="23">
        <f t="shared" ref="H7:H29" si="4">G7/2</f>
        <v>0.5</v>
      </c>
      <c r="I7" s="4">
        <f>BJ8</f>
        <v>0.39852235073561859</v>
      </c>
      <c r="J7" s="23">
        <v>5.4847547041129578</v>
      </c>
      <c r="K7" s="23">
        <v>1.2720696509452831</v>
      </c>
      <c r="L7" s="18">
        <f t="shared" ref="L7:L29" si="5">$J7*I7/1000</f>
        <v>2.1857973378913379E-3</v>
      </c>
      <c r="M7" s="18">
        <f t="shared" ref="M7:M29" si="6">$J7*K7/1000</f>
        <v>6.9769900019814703E-3</v>
      </c>
      <c r="N7" s="26">
        <v>51.047017074556962</v>
      </c>
      <c r="O7" s="26">
        <v>15.14909863044425</v>
      </c>
      <c r="P7" s="4">
        <f t="shared" ref="P7:Q29" si="7">N7*$I7/1000</f>
        <v>2.0343377242593701E-2</v>
      </c>
      <c r="Q7" s="4">
        <f t="shared" si="7"/>
        <v>6.0372543977303831E-3</v>
      </c>
      <c r="R7" s="4">
        <v>2010.2547675671337</v>
      </c>
      <c r="S7" s="4">
        <v>5.4030002242562061</v>
      </c>
      <c r="T7" s="4">
        <v>2015.6577677913899</v>
      </c>
      <c r="U7" s="4">
        <v>2004.8517673428776</v>
      </c>
      <c r="V7" s="4">
        <v>0.25848773983946688</v>
      </c>
      <c r="W7" s="4">
        <v>-0.651743993907688</v>
      </c>
      <c r="X7" s="4">
        <v>0.10785560169496607</v>
      </c>
      <c r="Y7" s="4">
        <v>0.10301314171716135</v>
      </c>
      <c r="Z7" s="4">
        <v>-0.25973454852991251</v>
      </c>
      <c r="AA7" s="4">
        <v>4.2982867927482446E-2</v>
      </c>
      <c r="AC7" s="4" t="s">
        <v>126</v>
      </c>
      <c r="AD7" s="4">
        <v>2</v>
      </c>
      <c r="AE7" s="4">
        <v>3</v>
      </c>
      <c r="AF7" s="4">
        <v>2.5</v>
      </c>
      <c r="AG7" s="4">
        <v>1</v>
      </c>
      <c r="AH7" s="4">
        <v>0.39852235073561859</v>
      </c>
      <c r="AI7" s="4">
        <v>3.2712100000000004</v>
      </c>
      <c r="AJ7" s="4">
        <f t="shared" ref="AJ7:AJ29" si="8">AI7/3.5</f>
        <v>0.93463142857142867</v>
      </c>
      <c r="AK7" s="4">
        <v>51.047017074556962</v>
      </c>
      <c r="AL7" s="4">
        <v>15.14909863044425</v>
      </c>
      <c r="AM7" s="4">
        <f t="shared" ref="AM7:AM15" si="9">AK7*AH7/1000</f>
        <v>2.0343377242593701E-2</v>
      </c>
      <c r="AN7" s="4">
        <f t="shared" ref="AN7:AN29" si="10">AL7*AH7/1000</f>
        <v>6.0372543977303831E-3</v>
      </c>
      <c r="AO7" s="4">
        <f t="shared" ref="AO7:AO29" si="11">AN7^2</f>
        <v>3.644844066291485E-5</v>
      </c>
      <c r="AP7" s="4">
        <f t="shared" ref="AP7:AP29" si="12">AM7*AG7</f>
        <v>2.0343377242593701E-2</v>
      </c>
      <c r="AQ7" s="7">
        <f>SUM(AP8:$AP$17)</f>
        <v>0.13228618901580924</v>
      </c>
      <c r="AR7" s="4">
        <f t="shared" ref="AR7:AR8" si="13">(1/$AN$2)*LN($AQ$2/AQ7)</f>
        <v>12.411889168581384</v>
      </c>
      <c r="AS7" s="4">
        <f t="shared" si="1"/>
        <v>6.3716140258432032</v>
      </c>
      <c r="AT7" s="4">
        <f t="shared" ref="AT7:AT17" si="14">$AT$2-AR7</f>
        <v>2008.508875858741</v>
      </c>
      <c r="AU7" s="4">
        <f t="shared" ref="AU7:AU17" si="15">AT7+AS7</f>
        <v>2014.8804898845842</v>
      </c>
      <c r="AV7" s="4">
        <f t="shared" ref="AV7:AV17" si="16">AT7-AS7</f>
        <v>2002.1372618328978</v>
      </c>
      <c r="AW7" s="4">
        <f t="shared" ref="AW7:AW17" si="17">AG7/(AT6-AT7)</f>
        <v>0.21827109867685901</v>
      </c>
      <c r="AX7" s="4">
        <f t="shared" ref="AX7:AX17" si="18">AG7/(AT6-AU7)</f>
        <v>-0.55861071056965073</v>
      </c>
      <c r="AY7" s="4">
        <f t="shared" ref="AY7:AY17" si="19">AG7/(AT6-AV7)</f>
        <v>9.1298582148167218E-2</v>
      </c>
      <c r="AZ7" s="4">
        <f t="shared" ref="AZ7:AZ17" si="20">AW7*$AH7</f>
        <v>8.6985911342348024E-2</v>
      </c>
      <c r="BA7" s="4">
        <f t="shared" si="2"/>
        <v>-0.22261885352231148</v>
      </c>
      <c r="BB7" s="4">
        <f t="shared" si="2"/>
        <v>3.6384525576516585E-2</v>
      </c>
      <c r="BF7" s="6" t="s">
        <v>126</v>
      </c>
      <c r="BG7" s="6" t="s">
        <v>127</v>
      </c>
      <c r="BH7" s="6">
        <v>2</v>
      </c>
      <c r="BI7" s="6">
        <v>0.59591228606356972</v>
      </c>
      <c r="BJ7" s="6">
        <v>0.40035428935995171</v>
      </c>
    </row>
    <row r="8" spans="1:62" s="6" customFormat="1" x14ac:dyDescent="0.35">
      <c r="A8" s="4" t="s">
        <v>126</v>
      </c>
      <c r="B8" s="6" t="s">
        <v>126</v>
      </c>
      <c r="C8" s="6" t="s">
        <v>60</v>
      </c>
      <c r="D8" s="23">
        <v>3</v>
      </c>
      <c r="E8" s="23">
        <v>4</v>
      </c>
      <c r="F8" s="23">
        <f t="shared" si="0"/>
        <v>3.5</v>
      </c>
      <c r="G8" s="23">
        <f t="shared" si="3"/>
        <v>1</v>
      </c>
      <c r="H8" s="23">
        <f t="shared" si="4"/>
        <v>0.5</v>
      </c>
      <c r="I8" s="4">
        <f>BJ9</f>
        <v>0.47401411904620755</v>
      </c>
      <c r="J8" s="23">
        <v>3.6293894374294373</v>
      </c>
      <c r="K8" s="23">
        <v>1.1546214052183745</v>
      </c>
      <c r="L8" s="18">
        <f t="shared" si="5"/>
        <v>1.7203818368587255E-3</v>
      </c>
      <c r="M8" s="18">
        <f t="shared" si="6"/>
        <v>4.1905707323295028E-3</v>
      </c>
      <c r="N8" s="26">
        <v>40.037461597582613</v>
      </c>
      <c r="O8" s="26">
        <v>14.122671619888704</v>
      </c>
      <c r="P8" s="4">
        <f t="shared" si="7"/>
        <v>1.8978322088024489E-2</v>
      </c>
      <c r="Q8" s="4">
        <f t="shared" si="7"/>
        <v>6.6943457464804209E-3</v>
      </c>
      <c r="R8" s="4">
        <v>2006.1687860086233</v>
      </c>
      <c r="S8" s="4">
        <v>6.0724791891720926</v>
      </c>
      <c r="T8" s="4">
        <v>2012.2412651977954</v>
      </c>
      <c r="U8" s="4">
        <v>2000.0963068194512</v>
      </c>
      <c r="V8" s="4">
        <v>0.24473923479100596</v>
      </c>
      <c r="W8" s="4">
        <v>-0.50339853648197264</v>
      </c>
      <c r="X8" s="4">
        <v>9.8440110646500642E-2</v>
      </c>
      <c r="Y8" s="4">
        <v>0.11600985277550163</v>
      </c>
      <c r="Z8" s="4">
        <v>-0.23861801379965242</v>
      </c>
      <c r="AA8" s="4">
        <v>4.66620023269122E-2</v>
      </c>
      <c r="AC8" s="4" t="s">
        <v>126</v>
      </c>
      <c r="AD8" s="4">
        <v>3</v>
      </c>
      <c r="AE8" s="4">
        <v>4</v>
      </c>
      <c r="AF8" s="4">
        <v>3.5</v>
      </c>
      <c r="AG8" s="4">
        <v>1</v>
      </c>
      <c r="AH8" s="4">
        <v>0.47401411904620755</v>
      </c>
      <c r="AI8" s="4">
        <v>3.4960199999999997</v>
      </c>
      <c r="AJ8" s="4">
        <f t="shared" si="8"/>
        <v>0.99886285714285705</v>
      </c>
      <c r="AK8" s="4">
        <v>40.037461597582613</v>
      </c>
      <c r="AL8" s="4">
        <v>14.122671619888704</v>
      </c>
      <c r="AM8" s="4">
        <f t="shared" si="9"/>
        <v>1.8978322088024489E-2</v>
      </c>
      <c r="AN8" s="4">
        <f t="shared" si="10"/>
        <v>6.6943457464804209E-3</v>
      </c>
      <c r="AO8" s="4">
        <f t="shared" si="11"/>
        <v>4.4814264973420506E-5</v>
      </c>
      <c r="AP8" s="4">
        <f t="shared" si="12"/>
        <v>1.8978322088024489E-2</v>
      </c>
      <c r="AQ8" s="7">
        <f>SUM(AP9:$AP$17)</f>
        <v>0.11330786692778475</v>
      </c>
      <c r="AR8" s="4">
        <f t="shared" si="13"/>
        <v>17.371689254894864</v>
      </c>
      <c r="AS8" s="4">
        <f t="shared" si="1"/>
        <v>7.3250328373976519</v>
      </c>
      <c r="AT8" s="4">
        <f t="shared" si="14"/>
        <v>2003.5490757724276</v>
      </c>
      <c r="AU8" s="4">
        <f t="shared" si="15"/>
        <v>2010.8741086098253</v>
      </c>
      <c r="AV8" s="4">
        <f t="shared" si="16"/>
        <v>1996.22404293503</v>
      </c>
      <c r="AW8" s="4">
        <f t="shared" si="17"/>
        <v>0.20162102959744382</v>
      </c>
      <c r="AX8" s="4">
        <f t="shared" si="18"/>
        <v>-0.42279137202949207</v>
      </c>
      <c r="AY8" s="4">
        <f t="shared" si="19"/>
        <v>8.1401188458158941E-2</v>
      </c>
      <c r="AZ8" s="4">
        <f t="shared" si="20"/>
        <v>9.5571214725821668E-2</v>
      </c>
      <c r="BA8" s="4">
        <f t="shared" si="2"/>
        <v>-0.20040907975289707</v>
      </c>
      <c r="BB8" s="4">
        <f t="shared" si="2"/>
        <v>3.858531263630853E-2</v>
      </c>
      <c r="BF8" s="6" t="s">
        <v>126</v>
      </c>
      <c r="BG8" s="6" t="s">
        <v>127</v>
      </c>
      <c r="BH8" s="6">
        <v>3</v>
      </c>
      <c r="BI8" s="6">
        <v>0.58454666698233071</v>
      </c>
      <c r="BJ8" s="6">
        <v>0.39852235073561859</v>
      </c>
    </row>
    <row r="9" spans="1:62" s="6" customFormat="1" x14ac:dyDescent="0.35">
      <c r="A9" s="4" t="s">
        <v>126</v>
      </c>
      <c r="B9" s="6" t="s">
        <v>129</v>
      </c>
      <c r="C9" s="6" t="s">
        <v>62</v>
      </c>
      <c r="D9" s="23">
        <v>4</v>
      </c>
      <c r="E9" s="23">
        <v>6</v>
      </c>
      <c r="F9" s="23">
        <f t="shared" si="0"/>
        <v>5</v>
      </c>
      <c r="G9" s="23">
        <f t="shared" si="3"/>
        <v>2</v>
      </c>
      <c r="H9" s="23">
        <f t="shared" si="4"/>
        <v>1</v>
      </c>
      <c r="I9" s="4">
        <f>BJ10</f>
        <v>0.46059251912495669</v>
      </c>
      <c r="J9" s="23">
        <v>4.8735010433614683</v>
      </c>
      <c r="K9" s="23">
        <v>0.99589372273624122</v>
      </c>
      <c r="L9" s="18">
        <f t="shared" si="5"/>
        <v>2.2446981225199636E-3</v>
      </c>
      <c r="M9" s="18">
        <f t="shared" si="6"/>
        <v>4.8534890968322088E-3</v>
      </c>
      <c r="N9" s="26">
        <v>26.748387116959101</v>
      </c>
      <c r="O9" s="26">
        <v>11.634620279960149</v>
      </c>
      <c r="P9" s="4">
        <f t="shared" si="7"/>
        <v>1.2320107004729729E-2</v>
      </c>
      <c r="Q9" s="4">
        <f t="shared" si="7"/>
        <v>5.358819063809154E-3</v>
      </c>
      <c r="R9" s="4">
        <v>1999.9427923514886</v>
      </c>
      <c r="S9" s="4">
        <v>7.237936082063035</v>
      </c>
      <c r="T9" s="4">
        <v>2007.1807284335516</v>
      </c>
      <c r="U9" s="4">
        <v>1992.7048562694256</v>
      </c>
      <c r="V9" s="4">
        <v>0.32123386404483173</v>
      </c>
      <c r="W9" s="4">
        <v>-1.9763970268780082</v>
      </c>
      <c r="X9" s="4">
        <v>0.14854504136168881</v>
      </c>
      <c r="Y9" s="4">
        <v>0.14795791466865291</v>
      </c>
      <c r="Z9" s="4">
        <v>-0.91031368540081659</v>
      </c>
      <c r="AA9" s="4">
        <v>6.8418734804301135E-2</v>
      </c>
      <c r="AC9" s="4" t="s">
        <v>126</v>
      </c>
      <c r="AD9" s="4">
        <v>4</v>
      </c>
      <c r="AE9" s="4">
        <v>6</v>
      </c>
      <c r="AF9" s="4">
        <v>5</v>
      </c>
      <c r="AG9" s="4">
        <v>2</v>
      </c>
      <c r="AH9" s="4">
        <v>0.46059251912495669</v>
      </c>
      <c r="AI9" s="4">
        <v>2.4631199999999995</v>
      </c>
      <c r="AJ9" s="4">
        <f t="shared" si="8"/>
        <v>0.70374857142857128</v>
      </c>
      <c r="AK9" s="4">
        <v>26.748387116959101</v>
      </c>
      <c r="AL9" s="4">
        <v>11.634620279960149</v>
      </c>
      <c r="AM9" s="4">
        <f t="shared" si="9"/>
        <v>1.2320107004729729E-2</v>
      </c>
      <c r="AN9" s="4">
        <f t="shared" si="10"/>
        <v>5.358819063809154E-3</v>
      </c>
      <c r="AO9" s="4">
        <f t="shared" si="11"/>
        <v>2.8716941758644417E-5</v>
      </c>
      <c r="AP9" s="4">
        <f t="shared" si="12"/>
        <v>2.4640214009459458E-2</v>
      </c>
      <c r="AQ9" s="7">
        <f>SUM(AP10:$AP$17)</f>
        <v>8.866765291832529E-2</v>
      </c>
      <c r="AR9" s="4">
        <f t="shared" ref="AR9:AR17" si="21">(1/$AN$2)*LN($AQ$2/AQ9)</f>
        <v>25.225344144323973</v>
      </c>
      <c r="AS9" s="4">
        <f t="shared" si="1"/>
        <v>9.0948049387324303</v>
      </c>
      <c r="AT9" s="4">
        <f t="shared" si="14"/>
        <v>1995.6954208829984</v>
      </c>
      <c r="AU9" s="4">
        <f t="shared" si="15"/>
        <v>2004.7902258217309</v>
      </c>
      <c r="AV9" s="4">
        <f t="shared" si="16"/>
        <v>1986.6006159442659</v>
      </c>
      <c r="AW9" s="4">
        <f t="shared" si="17"/>
        <v>0.25465850335388968</v>
      </c>
      <c r="AX9" s="4">
        <f t="shared" si="18"/>
        <v>-1.6114087101093417</v>
      </c>
      <c r="AY9" s="4">
        <f t="shared" si="19"/>
        <v>0.11800482287344953</v>
      </c>
      <c r="AZ9" s="4">
        <f t="shared" si="20"/>
        <v>0.11729380157635928</v>
      </c>
      <c r="BA9" s="4">
        <f t="shared" si="2"/>
        <v>-0.74220279712915882</v>
      </c>
      <c r="BB9" s="4">
        <f t="shared" si="2"/>
        <v>5.4352138636176432E-2</v>
      </c>
      <c r="BF9" s="6" t="s">
        <v>126</v>
      </c>
      <c r="BG9" s="6" t="s">
        <v>127</v>
      </c>
      <c r="BH9" s="6">
        <v>4</v>
      </c>
      <c r="BI9" s="6">
        <v>0.68102420685860998</v>
      </c>
      <c r="BJ9" s="6">
        <v>0.47401411904620755</v>
      </c>
    </row>
    <row r="10" spans="1:62" s="6" customFormat="1" x14ac:dyDescent="0.35">
      <c r="A10" s="4" t="s">
        <v>126</v>
      </c>
      <c r="B10" s="6" t="s">
        <v>126</v>
      </c>
      <c r="C10" s="6" t="s">
        <v>63</v>
      </c>
      <c r="D10" s="23">
        <v>6</v>
      </c>
      <c r="E10" s="23">
        <v>8</v>
      </c>
      <c r="F10" s="23">
        <f t="shared" si="0"/>
        <v>7</v>
      </c>
      <c r="G10" s="23">
        <f t="shared" si="3"/>
        <v>2</v>
      </c>
      <c r="H10" s="23">
        <f t="shared" si="4"/>
        <v>1</v>
      </c>
      <c r="I10" s="4">
        <f t="shared" ref="I10:I26" si="22">BJ11</f>
        <v>0.49698526679636873</v>
      </c>
      <c r="J10" s="23">
        <v>2.8282342235976321</v>
      </c>
      <c r="K10" s="23">
        <v>0.95150674587123052</v>
      </c>
      <c r="L10" s="18">
        <f t="shared" si="5"/>
        <v>1.4055907401772901E-3</v>
      </c>
      <c r="M10" s="18">
        <f t="shared" si="6"/>
        <v>2.6910839426570292E-3</v>
      </c>
      <c r="N10" s="26">
        <v>26.790122371083193</v>
      </c>
      <c r="O10" s="26">
        <v>10.865531363998032</v>
      </c>
      <c r="P10" s="4">
        <f t="shared" si="7"/>
        <v>1.3314296114100148E-2</v>
      </c>
      <c r="Q10" s="4">
        <f t="shared" si="7"/>
        <v>5.4000090038208741E-3</v>
      </c>
      <c r="R10" s="4">
        <v>1991.4931708651507</v>
      </c>
      <c r="S10" s="4">
        <v>9.1363352886660749</v>
      </c>
      <c r="T10" s="4">
        <v>2000.6295061538167</v>
      </c>
      <c r="U10" s="4">
        <v>1982.3568355764846</v>
      </c>
      <c r="V10" s="4">
        <v>0.23669699325984803</v>
      </c>
      <c r="W10" s="4">
        <v>-2.9124214384793676</v>
      </c>
      <c r="X10" s="4">
        <v>0.11372710769099155</v>
      </c>
      <c r="Y10" s="4">
        <v>0.11763491834514386</v>
      </c>
      <c r="Z10" s="4">
        <v>-1.4474305456261325</v>
      </c>
      <c r="AA10" s="4">
        <v>5.6520696957786797E-2</v>
      </c>
      <c r="AC10" s="4" t="s">
        <v>126</v>
      </c>
      <c r="AD10" s="4">
        <v>6</v>
      </c>
      <c r="AE10" s="4">
        <v>8</v>
      </c>
      <c r="AF10" s="4">
        <v>7</v>
      </c>
      <c r="AG10" s="4">
        <v>2</v>
      </c>
      <c r="AH10" s="4">
        <v>0.49698526679636873</v>
      </c>
      <c r="AI10" s="4">
        <v>3.5828700000000002</v>
      </c>
      <c r="AJ10" s="4">
        <f t="shared" si="8"/>
        <v>1.023677142857143</v>
      </c>
      <c r="AK10" s="4">
        <v>26.790122371083193</v>
      </c>
      <c r="AL10" s="4">
        <v>10.865531363998032</v>
      </c>
      <c r="AM10" s="4">
        <f t="shared" si="9"/>
        <v>1.3314296114100148E-2</v>
      </c>
      <c r="AN10" s="4">
        <f t="shared" si="10"/>
        <v>5.4000090038208741E-3</v>
      </c>
      <c r="AO10" s="4">
        <f t="shared" si="11"/>
        <v>2.9160097241346508E-5</v>
      </c>
      <c r="AP10" s="4">
        <f t="shared" si="12"/>
        <v>2.6628592228200295E-2</v>
      </c>
      <c r="AQ10" s="7">
        <f>SUM(AP11:$AP$17)</f>
        <v>6.2039060690124999E-2</v>
      </c>
      <c r="AR10" s="4">
        <f t="shared" si="21"/>
        <v>36.663473318008826</v>
      </c>
      <c r="AS10" s="4">
        <f t="shared" si="1"/>
        <v>12.324708705227703</v>
      </c>
      <c r="AT10" s="4">
        <f t="shared" si="14"/>
        <v>1984.2572917093137</v>
      </c>
      <c r="AU10" s="4">
        <f t="shared" si="15"/>
        <v>1996.5820004145414</v>
      </c>
      <c r="AV10" s="4">
        <f t="shared" si="16"/>
        <v>1971.9325830040859</v>
      </c>
      <c r="AW10" s="4">
        <f t="shared" si="17"/>
        <v>0.17485376932106383</v>
      </c>
      <c r="AX10" s="4">
        <f t="shared" si="18"/>
        <v>-2.2558607872653686</v>
      </c>
      <c r="AY10" s="4">
        <f t="shared" si="19"/>
        <v>8.4165031558576256E-2</v>
      </c>
      <c r="AZ10" s="4">
        <f t="shared" si="20"/>
        <v>8.689974719637962E-2</v>
      </c>
      <c r="BA10" s="4">
        <f t="shared" si="2"/>
        <v>-1.1211295752145456</v>
      </c>
      <c r="BB10" s="4">
        <f t="shared" si="2"/>
        <v>4.1828780664063814E-2</v>
      </c>
      <c r="BF10" s="6" t="s">
        <v>126</v>
      </c>
      <c r="BG10" s="6" t="s">
        <v>127</v>
      </c>
      <c r="BH10" s="6">
        <v>6</v>
      </c>
      <c r="BI10" s="6">
        <v>0.55742856207652769</v>
      </c>
      <c r="BJ10" s="6">
        <v>0.46059251912495669</v>
      </c>
    </row>
    <row r="11" spans="1:62" s="6" customFormat="1" x14ac:dyDescent="0.35">
      <c r="A11" s="4" t="s">
        <v>126</v>
      </c>
      <c r="B11" s="6" t="s">
        <v>126</v>
      </c>
      <c r="C11" s="6" t="s">
        <v>65</v>
      </c>
      <c r="D11" s="23">
        <v>8</v>
      </c>
      <c r="E11" s="23">
        <v>10</v>
      </c>
      <c r="F11" s="23">
        <f t="shared" si="0"/>
        <v>9</v>
      </c>
      <c r="G11" s="23">
        <f t="shared" si="3"/>
        <v>2</v>
      </c>
      <c r="H11" s="23">
        <f t="shared" si="4"/>
        <v>1</v>
      </c>
      <c r="I11" s="4">
        <f t="shared" si="22"/>
        <v>0.51906694021446731</v>
      </c>
      <c r="J11" s="23">
        <v>1.1848328720801642</v>
      </c>
      <c r="K11" s="23">
        <v>0.62928834361101271</v>
      </c>
      <c r="L11" s="18">
        <f t="shared" si="5"/>
        <v>6.1500757357617016E-4</v>
      </c>
      <c r="M11" s="18">
        <f t="shared" si="6"/>
        <v>7.4560151552720548E-4</v>
      </c>
      <c r="N11" s="26">
        <v>18.510287944317071</v>
      </c>
      <c r="O11" s="26">
        <v>10.532242170377769</v>
      </c>
      <c r="P11" s="4">
        <f t="shared" si="7"/>
        <v>9.6080785257454029E-3</v>
      </c>
      <c r="Q11" s="4">
        <f t="shared" si="7"/>
        <v>5.466938716975768E-3</v>
      </c>
      <c r="R11" s="4">
        <v>1983.6232974279142</v>
      </c>
      <c r="S11" s="4">
        <v>11.277220157003171</v>
      </c>
      <c r="T11" s="4">
        <v>1994.9005175849175</v>
      </c>
      <c r="U11" s="4">
        <v>1972.3460772709109</v>
      </c>
      <c r="V11" s="4">
        <v>0.2541336929939626</v>
      </c>
      <c r="W11" s="4">
        <v>-0.58696697591634739</v>
      </c>
      <c r="X11" s="4">
        <v>0.10445449541238369</v>
      </c>
      <c r="Y11" s="4">
        <v>0.13191239842777897</v>
      </c>
      <c r="Z11" s="4">
        <v>-0.30467515219583735</v>
      </c>
      <c r="AA11" s="4">
        <v>5.4218875325352113E-2</v>
      </c>
      <c r="AC11" s="4" t="s">
        <v>126</v>
      </c>
      <c r="AD11" s="4">
        <v>8</v>
      </c>
      <c r="AE11" s="4">
        <v>10</v>
      </c>
      <c r="AF11" s="4">
        <v>9</v>
      </c>
      <c r="AG11" s="4">
        <v>2</v>
      </c>
      <c r="AH11" s="4">
        <v>0.51906694021446731</v>
      </c>
      <c r="AI11" s="4">
        <v>2.5521499999999993</v>
      </c>
      <c r="AJ11" s="4">
        <f t="shared" si="8"/>
        <v>0.7291857142857141</v>
      </c>
      <c r="AK11" s="4">
        <v>18.510287944317071</v>
      </c>
      <c r="AL11" s="4">
        <v>10.532242170377769</v>
      </c>
      <c r="AM11" s="4">
        <f t="shared" si="9"/>
        <v>9.6080785257454029E-3</v>
      </c>
      <c r="AN11" s="4">
        <f t="shared" si="10"/>
        <v>5.466938716975768E-3</v>
      </c>
      <c r="AO11" s="4">
        <f t="shared" si="11"/>
        <v>2.9887418935168657E-5</v>
      </c>
      <c r="AP11" s="4">
        <f t="shared" si="12"/>
        <v>1.9216157051490806E-2</v>
      </c>
      <c r="AQ11" s="7">
        <f>SUM(AP12:$AP$17)</f>
        <v>4.282290363863419E-2</v>
      </c>
      <c r="AR11" s="4">
        <f t="shared" si="21"/>
        <v>48.535905028594378</v>
      </c>
      <c r="AS11" s="4">
        <f t="shared" si="1"/>
        <v>16.614842942628005</v>
      </c>
      <c r="AT11" s="4">
        <f t="shared" si="14"/>
        <v>1972.384859998728</v>
      </c>
      <c r="AU11" s="4">
        <f t="shared" si="15"/>
        <v>1988.999702941356</v>
      </c>
      <c r="AV11" s="4">
        <f t="shared" si="16"/>
        <v>1955.7700170561</v>
      </c>
      <c r="AW11" s="4">
        <f t="shared" si="17"/>
        <v>0.16845748611186004</v>
      </c>
      <c r="AX11" s="4">
        <f t="shared" si="18"/>
        <v>-0.42172639658216943</v>
      </c>
      <c r="AY11" s="4">
        <f t="shared" si="19"/>
        <v>7.0206786164936821E-2</v>
      </c>
      <c r="AZ11" s="4">
        <f t="shared" si="20"/>
        <v>8.7440711872304316E-2</v>
      </c>
      <c r="BA11" s="4">
        <f t="shared" si="2"/>
        <v>-0.21890423028157968</v>
      </c>
      <c r="BB11" s="4">
        <f t="shared" si="2"/>
        <v>3.6442021676925153E-2</v>
      </c>
      <c r="BF11" s="6" t="s">
        <v>126</v>
      </c>
      <c r="BG11" s="6" t="s">
        <v>127</v>
      </c>
      <c r="BH11" s="6">
        <v>8</v>
      </c>
      <c r="BI11" s="6">
        <v>0.56575200664084846</v>
      </c>
      <c r="BJ11" s="6">
        <v>0.49698526679636873</v>
      </c>
    </row>
    <row r="12" spans="1:62" s="6" customFormat="1" x14ac:dyDescent="0.35">
      <c r="A12" s="4" t="s">
        <v>126</v>
      </c>
      <c r="B12" s="6" t="s">
        <v>126</v>
      </c>
      <c r="C12" s="6" t="s">
        <v>66</v>
      </c>
      <c r="D12" s="23">
        <v>10</v>
      </c>
      <c r="E12" s="23">
        <v>12</v>
      </c>
      <c r="F12" s="23">
        <f t="shared" si="0"/>
        <v>11</v>
      </c>
      <c r="G12" s="23">
        <f t="shared" si="3"/>
        <v>2</v>
      </c>
      <c r="H12" s="23">
        <f t="shared" si="4"/>
        <v>1</v>
      </c>
      <c r="I12" s="4">
        <f t="shared" si="22"/>
        <v>0.54157253331422972</v>
      </c>
      <c r="J12" s="23">
        <v>1.2210963230792746</v>
      </c>
      <c r="K12" s="23">
        <v>1.0257067268588305</v>
      </c>
      <c r="L12" s="18">
        <f t="shared" si="5"/>
        <v>6.613122291107338E-4</v>
      </c>
      <c r="M12" s="18">
        <f t="shared" si="6"/>
        <v>1.2524867127249957E-3</v>
      </c>
      <c r="N12" s="26">
        <v>-1.9559548545102174</v>
      </c>
      <c r="O12" s="26">
        <v>11.878254555435726</v>
      </c>
      <c r="P12" s="4">
        <f t="shared" si="7"/>
        <v>-1.0592914256053641E-3</v>
      </c>
      <c r="Q12" s="4">
        <f t="shared" si="7"/>
        <v>6.4329364109386149E-3</v>
      </c>
      <c r="R12" s="4">
        <v>1983.6232974279142</v>
      </c>
      <c r="S12" s="4">
        <v>11.277220157003171</v>
      </c>
      <c r="T12" s="4">
        <v>1994.9005175849175</v>
      </c>
      <c r="U12" s="4">
        <v>1972.3460772709109</v>
      </c>
      <c r="V12" s="4" t="e">
        <v>#DIV/0!</v>
      </c>
      <c r="W12" s="4">
        <v>-0.17734867034213009</v>
      </c>
      <c r="X12" s="4">
        <v>0.17734867034213009</v>
      </c>
      <c r="Y12" s="4" t="e">
        <v>#DIV/0!</v>
      </c>
      <c r="Z12" s="4">
        <v>-9.6047168677097589E-2</v>
      </c>
      <c r="AA12" s="4">
        <v>9.6047168677097589E-2</v>
      </c>
      <c r="AC12" s="4" t="s">
        <v>126</v>
      </c>
      <c r="AD12" s="4">
        <v>10</v>
      </c>
      <c r="AE12" s="4">
        <v>12</v>
      </c>
      <c r="AF12" s="4">
        <v>11</v>
      </c>
      <c r="AG12" s="4">
        <v>2</v>
      </c>
      <c r="AH12" s="4">
        <v>0.54157253331422972</v>
      </c>
      <c r="AI12" s="4">
        <v>3.6006799999999997</v>
      </c>
      <c r="AJ12" s="4">
        <f t="shared" si="8"/>
        <v>1.0287657142857143</v>
      </c>
      <c r="AK12" s="4">
        <v>0</v>
      </c>
      <c r="AL12" s="4">
        <v>11.878254555435726</v>
      </c>
      <c r="AM12" s="4">
        <f t="shared" si="9"/>
        <v>0</v>
      </c>
      <c r="AN12" s="4">
        <f t="shared" si="10"/>
        <v>6.4329364109386149E-3</v>
      </c>
      <c r="AO12" s="4">
        <f t="shared" si="11"/>
        <v>4.1382670867179786E-5</v>
      </c>
      <c r="AP12" s="4">
        <f t="shared" si="12"/>
        <v>0</v>
      </c>
      <c r="AQ12" s="7">
        <f>SUM(AP13:$AP$17)</f>
        <v>4.282290363863419E-2</v>
      </c>
      <c r="AR12" s="4">
        <f t="shared" si="21"/>
        <v>48.535905028594378</v>
      </c>
      <c r="AS12" s="4">
        <f t="shared" si="1"/>
        <v>16.614842942628005</v>
      </c>
      <c r="AT12" s="4">
        <f t="shared" si="14"/>
        <v>1972.384859998728</v>
      </c>
      <c r="AU12" s="4">
        <f t="shared" si="15"/>
        <v>1988.999702941356</v>
      </c>
      <c r="AV12" s="4">
        <f t="shared" si="16"/>
        <v>1955.7700170561</v>
      </c>
      <c r="AW12" s="4" t="e">
        <f t="shared" si="17"/>
        <v>#DIV/0!</v>
      </c>
      <c r="AX12" s="4">
        <f t="shared" si="18"/>
        <v>-0.12037429465364878</v>
      </c>
      <c r="AY12" s="4">
        <f t="shared" si="19"/>
        <v>0.12037429465364878</v>
      </c>
      <c r="AZ12" s="4" t="e">
        <f t="shared" si="20"/>
        <v>#DIV/0!</v>
      </c>
      <c r="BA12" s="4">
        <f t="shared" si="2"/>
        <v>-6.5191411701490107E-2</v>
      </c>
      <c r="BB12" s="4">
        <f t="shared" si="2"/>
        <v>6.5191411701490107E-2</v>
      </c>
      <c r="BF12" s="6" t="s">
        <v>126</v>
      </c>
      <c r="BG12" s="6" t="s">
        <v>127</v>
      </c>
      <c r="BH12" s="6">
        <v>10</v>
      </c>
      <c r="BI12" s="6">
        <v>0.53241342157394234</v>
      </c>
      <c r="BJ12" s="6">
        <v>0.51906694021446731</v>
      </c>
    </row>
    <row r="13" spans="1:62" s="6" customFormat="1" x14ac:dyDescent="0.35">
      <c r="A13" s="4" t="s">
        <v>126</v>
      </c>
      <c r="B13" s="6" t="s">
        <v>130</v>
      </c>
      <c r="C13" s="6" t="s">
        <v>68</v>
      </c>
      <c r="D13" s="23">
        <v>12</v>
      </c>
      <c r="E13" s="23">
        <v>14</v>
      </c>
      <c r="F13" s="23">
        <f t="shared" si="0"/>
        <v>13</v>
      </c>
      <c r="G13" s="23">
        <f t="shared" si="3"/>
        <v>2</v>
      </c>
      <c r="H13" s="23">
        <f t="shared" si="4"/>
        <v>1</v>
      </c>
      <c r="I13" s="4">
        <f t="shared" si="22"/>
        <v>0.55876399040456282</v>
      </c>
      <c r="J13" s="23">
        <v>1.3604391158097184</v>
      </c>
      <c r="K13" s="23">
        <v>0.63713422967125866</v>
      </c>
      <c r="L13" s="18">
        <f t="shared" si="5"/>
        <v>7.6016438905229344E-4</v>
      </c>
      <c r="M13" s="18">
        <f t="shared" si="6"/>
        <v>8.667823280660733E-4</v>
      </c>
      <c r="N13" s="26">
        <v>-3.0603206912368073</v>
      </c>
      <c r="O13" s="26">
        <v>8.4975646664613897</v>
      </c>
      <c r="P13" s="4">
        <f t="shared" si="7"/>
        <v>-1.7099970013531285E-3</v>
      </c>
      <c r="Q13" s="4">
        <f t="shared" si="7"/>
        <v>4.7481331417527839E-3</v>
      </c>
      <c r="R13" s="4">
        <v>1983.6232974279142</v>
      </c>
      <c r="S13" s="4">
        <v>11.277220157003171</v>
      </c>
      <c r="T13" s="4">
        <v>1994.9005175849175</v>
      </c>
      <c r="U13" s="4">
        <v>1972.3460772709109</v>
      </c>
      <c r="V13" s="4" t="e">
        <v>#DIV/0!</v>
      </c>
      <c r="W13" s="4">
        <v>-0.17734867034213009</v>
      </c>
      <c r="X13" s="4">
        <v>0.17734867034213009</v>
      </c>
      <c r="Y13" s="4" t="e">
        <v>#DIV/0!</v>
      </c>
      <c r="Z13" s="4">
        <v>-9.9096050733311944E-2</v>
      </c>
      <c r="AA13" s="4">
        <v>9.9096050733311944E-2</v>
      </c>
      <c r="AC13" s="4" t="s">
        <v>126</v>
      </c>
      <c r="AD13" s="4">
        <v>12</v>
      </c>
      <c r="AE13" s="4">
        <v>14</v>
      </c>
      <c r="AF13" s="4">
        <v>13</v>
      </c>
      <c r="AG13" s="4">
        <v>2</v>
      </c>
      <c r="AH13" s="4">
        <v>0.55876399040456282</v>
      </c>
      <c r="AI13" s="4">
        <v>2.7834499999999998</v>
      </c>
      <c r="AJ13" s="4">
        <f t="shared" si="8"/>
        <v>0.79527142857142852</v>
      </c>
      <c r="AK13" s="4">
        <v>0</v>
      </c>
      <c r="AL13" s="4">
        <v>8.4975646664613897</v>
      </c>
      <c r="AM13" s="4">
        <f t="shared" si="9"/>
        <v>0</v>
      </c>
      <c r="AN13" s="4">
        <f t="shared" si="10"/>
        <v>4.7481331417527839E-3</v>
      </c>
      <c r="AO13" s="4">
        <f t="shared" si="11"/>
        <v>2.2544768331811161E-5</v>
      </c>
      <c r="AP13" s="4">
        <f t="shared" si="12"/>
        <v>0</v>
      </c>
      <c r="AQ13" s="7">
        <f>SUM(AP14:$AP$17)</f>
        <v>4.282290363863419E-2</v>
      </c>
      <c r="AR13" s="4">
        <f t="shared" si="21"/>
        <v>48.535905028594378</v>
      </c>
      <c r="AS13" s="4">
        <f t="shared" si="1"/>
        <v>16.614842942628005</v>
      </c>
      <c r="AT13" s="4">
        <f t="shared" si="14"/>
        <v>1972.384859998728</v>
      </c>
      <c r="AU13" s="4">
        <f t="shared" si="15"/>
        <v>1988.999702941356</v>
      </c>
      <c r="AV13" s="4">
        <f t="shared" si="16"/>
        <v>1955.7700170561</v>
      </c>
      <c r="AW13" s="4" t="e">
        <f t="shared" si="17"/>
        <v>#DIV/0!</v>
      </c>
      <c r="AX13" s="4">
        <f t="shared" si="18"/>
        <v>-0.12037429465364878</v>
      </c>
      <c r="AY13" s="4">
        <f t="shared" si="19"/>
        <v>0.12037429465364878</v>
      </c>
      <c r="AZ13" s="4" t="e">
        <f t="shared" si="20"/>
        <v>#DIV/0!</v>
      </c>
      <c r="BA13" s="4">
        <f t="shared" si="2"/>
        <v>-6.7260821222807424E-2</v>
      </c>
      <c r="BB13" s="4">
        <f t="shared" si="2"/>
        <v>6.7260821222807424E-2</v>
      </c>
      <c r="BF13" s="6" t="s">
        <v>126</v>
      </c>
      <c r="BG13" s="6" t="s">
        <v>127</v>
      </c>
      <c r="BH13" s="6">
        <v>12</v>
      </c>
      <c r="BI13" s="6">
        <v>0.53450452208992127</v>
      </c>
      <c r="BJ13" s="6">
        <v>0.54157253331422972</v>
      </c>
    </row>
    <row r="14" spans="1:62" s="6" customFormat="1" x14ac:dyDescent="0.35">
      <c r="A14" s="4" t="s">
        <v>126</v>
      </c>
      <c r="B14" s="6" t="s">
        <v>126</v>
      </c>
      <c r="C14" s="6" t="s">
        <v>69</v>
      </c>
      <c r="D14" s="23">
        <v>14</v>
      </c>
      <c r="E14" s="23">
        <v>16</v>
      </c>
      <c r="F14" s="23">
        <f t="shared" si="0"/>
        <v>15</v>
      </c>
      <c r="G14" s="23">
        <f t="shared" si="3"/>
        <v>2</v>
      </c>
      <c r="H14" s="23">
        <f t="shared" si="4"/>
        <v>1</v>
      </c>
      <c r="I14" s="4">
        <f t="shared" si="22"/>
        <v>0.49067567653446087</v>
      </c>
      <c r="J14" s="23">
        <v>3.6847598794346285E-2</v>
      </c>
      <c r="K14" s="23">
        <v>0.36912571627584578</v>
      </c>
      <c r="L14" s="18">
        <f t="shared" si="5"/>
        <v>1.8080220467086251E-5</v>
      </c>
      <c r="M14" s="18">
        <f t="shared" si="6"/>
        <v>1.3601396298008064E-5</v>
      </c>
      <c r="N14" s="26">
        <v>6.1822910165727691</v>
      </c>
      <c r="O14" s="26">
        <v>10.93651091750078</v>
      </c>
      <c r="P14" s="4">
        <f t="shared" si="7"/>
        <v>3.0334998270897633E-3</v>
      </c>
      <c r="Q14" s="4">
        <f t="shared" si="7"/>
        <v>5.3662798933712119E-3</v>
      </c>
      <c r="R14" s="4">
        <v>1980.6750761158864</v>
      </c>
      <c r="S14" s="4">
        <v>12.180906094366211</v>
      </c>
      <c r="T14" s="4">
        <v>1992.8559822102527</v>
      </c>
      <c r="U14" s="4">
        <v>1968.4941700215202</v>
      </c>
      <c r="V14" s="4">
        <v>0.67837512463555216</v>
      </c>
      <c r="W14" s="4">
        <v>-0.21662171374309847</v>
      </c>
      <c r="X14" s="4">
        <v>0.13219533065434722</v>
      </c>
      <c r="Y14" s="4">
        <v>0.33286217322469874</v>
      </c>
      <c r="Z14" s="4">
        <v>-0.10629100594294916</v>
      </c>
      <c r="AA14" s="4">
        <v>6.4865033303518574E-2</v>
      </c>
      <c r="AC14" s="4" t="s">
        <v>126</v>
      </c>
      <c r="AD14" s="4">
        <v>14</v>
      </c>
      <c r="AE14" s="4">
        <v>16</v>
      </c>
      <c r="AF14" s="4">
        <v>15</v>
      </c>
      <c r="AG14" s="4">
        <v>2</v>
      </c>
      <c r="AH14" s="4">
        <v>0.49067567653446087</v>
      </c>
      <c r="AI14" s="4">
        <v>3.3442999999999996</v>
      </c>
      <c r="AJ14" s="4">
        <f t="shared" si="8"/>
        <v>0.95551428571428565</v>
      </c>
      <c r="AK14" s="4">
        <v>6.1822910165727691</v>
      </c>
      <c r="AL14" s="4">
        <v>10.93651091750078</v>
      </c>
      <c r="AM14" s="4">
        <f t="shared" si="9"/>
        <v>3.0334998270897633E-3</v>
      </c>
      <c r="AN14" s="4">
        <f t="shared" si="10"/>
        <v>5.3662798933712119E-3</v>
      </c>
      <c r="AO14" s="4">
        <f t="shared" si="11"/>
        <v>2.8796959894000145E-5</v>
      </c>
      <c r="AP14" s="4">
        <f t="shared" si="12"/>
        <v>6.0669996541795265E-3</v>
      </c>
      <c r="AQ14" s="7">
        <f>SUM(AP15:$AP$17)</f>
        <v>3.6755903984454663E-2</v>
      </c>
      <c r="AR14" s="4">
        <f t="shared" si="21"/>
        <v>53.428931946988286</v>
      </c>
      <c r="AS14" s="4">
        <f t="shared" si="1"/>
        <v>18.686106589502408</v>
      </c>
      <c r="AT14" s="4">
        <f t="shared" si="14"/>
        <v>1967.4918330803341</v>
      </c>
      <c r="AU14" s="4">
        <f t="shared" si="15"/>
        <v>1986.1779396698366</v>
      </c>
      <c r="AV14" s="4">
        <f t="shared" si="16"/>
        <v>1948.8057264908316</v>
      </c>
      <c r="AW14" s="4">
        <f t="shared" si="17"/>
        <v>0.40874494119000437</v>
      </c>
      <c r="AX14" s="4">
        <f t="shared" si="18"/>
        <v>-0.14500024995790098</v>
      </c>
      <c r="AY14" s="4">
        <f t="shared" si="19"/>
        <v>8.4820758970223606E-2</v>
      </c>
      <c r="AZ14" s="4">
        <f t="shared" si="20"/>
        <v>0.20056120054844381</v>
      </c>
      <c r="BA14" s="4">
        <f t="shared" si="2"/>
        <v>-7.1148095745758991E-2</v>
      </c>
      <c r="BB14" s="4">
        <f t="shared" si="2"/>
        <v>4.1619483291880907E-2</v>
      </c>
      <c r="BF14" s="6" t="s">
        <v>126</v>
      </c>
      <c r="BG14" s="6" t="s">
        <v>127</v>
      </c>
      <c r="BH14" s="6">
        <v>14</v>
      </c>
      <c r="BI14" s="6">
        <v>0.53043522515100727</v>
      </c>
      <c r="BJ14" s="6">
        <v>0.55876399040456282</v>
      </c>
    </row>
    <row r="15" spans="1:62" s="6" customFormat="1" x14ac:dyDescent="0.35">
      <c r="A15" s="4" t="s">
        <v>126</v>
      </c>
      <c r="B15" s="6" t="s">
        <v>131</v>
      </c>
      <c r="C15" s="6" t="s">
        <v>71</v>
      </c>
      <c r="D15" s="23">
        <v>16</v>
      </c>
      <c r="E15" s="23">
        <v>18</v>
      </c>
      <c r="F15" s="23">
        <f t="shared" si="0"/>
        <v>17</v>
      </c>
      <c r="G15" s="23">
        <f t="shared" si="3"/>
        <v>2</v>
      </c>
      <c r="H15" s="23">
        <f t="shared" si="4"/>
        <v>1</v>
      </c>
      <c r="I15" s="4">
        <f t="shared" si="22"/>
        <v>0.49758329634728743</v>
      </c>
      <c r="J15" s="23">
        <v>0.21620059575243758</v>
      </c>
      <c r="K15" s="23">
        <v>0.60340093518156546</v>
      </c>
      <c r="L15" s="18">
        <f t="shared" si="5"/>
        <v>1.0757780510674523E-4</v>
      </c>
      <c r="M15" s="18">
        <f t="shared" si="6"/>
        <v>1.3045564166383242E-4</v>
      </c>
      <c r="N15" s="26">
        <v>15.746389948097132</v>
      </c>
      <c r="O15" s="26">
        <v>10.61722220140987</v>
      </c>
      <c r="P15" s="4">
        <f t="shared" si="7"/>
        <v>7.8351406159439634E-3</v>
      </c>
      <c r="Q15" s="4">
        <f t="shared" si="7"/>
        <v>5.282952421029127E-3</v>
      </c>
      <c r="R15" s="4">
        <v>1971.502007326359</v>
      </c>
      <c r="S15" s="4">
        <v>15.37631585612646</v>
      </c>
      <c r="T15" s="4">
        <v>1986.8783231824855</v>
      </c>
      <c r="U15" s="4">
        <v>1956.1256914702326</v>
      </c>
      <c r="V15" s="4">
        <v>0.21802954342644143</v>
      </c>
      <c r="W15" s="4">
        <v>-0.3224117915226794</v>
      </c>
      <c r="X15" s="4">
        <v>8.1468437146919467E-2</v>
      </c>
      <c r="Y15" s="4">
        <v>0.10848785891922277</v>
      </c>
      <c r="Z15" s="4">
        <v>-0.16042672200708924</v>
      </c>
      <c r="AA15" s="4">
        <v>4.053733350382599E-2</v>
      </c>
      <c r="AC15" s="4" t="s">
        <v>126</v>
      </c>
      <c r="AD15" s="4">
        <v>16</v>
      </c>
      <c r="AE15" s="4">
        <v>18</v>
      </c>
      <c r="AF15" s="4">
        <v>17</v>
      </c>
      <c r="AG15" s="4">
        <v>2</v>
      </c>
      <c r="AH15" s="4">
        <v>0.49758329634728743</v>
      </c>
      <c r="AI15" s="4">
        <v>2.5379800000000006</v>
      </c>
      <c r="AJ15" s="4">
        <f t="shared" si="8"/>
        <v>0.72513714285714304</v>
      </c>
      <c r="AK15" s="4">
        <v>15.746389948097132</v>
      </c>
      <c r="AL15" s="4">
        <v>10.61722220140987</v>
      </c>
      <c r="AM15" s="4">
        <f t="shared" si="9"/>
        <v>7.8351406159439634E-3</v>
      </c>
      <c r="AN15" s="4">
        <f t="shared" si="10"/>
        <v>5.282952421029127E-3</v>
      </c>
      <c r="AO15" s="4">
        <f t="shared" si="11"/>
        <v>2.7909586282857515E-5</v>
      </c>
      <c r="AP15" s="4">
        <f t="shared" si="12"/>
        <v>1.5670281231887927E-2</v>
      </c>
      <c r="AQ15" s="7">
        <f>SUM(AP16:$AP$17)</f>
        <v>2.1085622752566736E-2</v>
      </c>
      <c r="AR15" s="4">
        <f t="shared" si="21"/>
        <v>71.227035419306361</v>
      </c>
      <c r="AS15" s="4">
        <f t="shared" si="1"/>
        <v>27.783583486196655</v>
      </c>
      <c r="AT15" s="4">
        <f t="shared" si="14"/>
        <v>1949.6937296080162</v>
      </c>
      <c r="AU15" s="4">
        <f t="shared" si="15"/>
        <v>1977.4773130942128</v>
      </c>
      <c r="AV15" s="4">
        <f t="shared" si="16"/>
        <v>1921.9101461218195</v>
      </c>
      <c r="AW15" s="4">
        <f t="shared" si="17"/>
        <v>0.11237152335419742</v>
      </c>
      <c r="AX15" s="4">
        <f t="shared" si="18"/>
        <v>-0.20029082199555964</v>
      </c>
      <c r="AY15" s="4">
        <f t="shared" si="19"/>
        <v>4.3877270312971624E-2</v>
      </c>
      <c r="AZ15" s="4">
        <f t="shared" si="20"/>
        <v>5.5914193006147743E-2</v>
      </c>
      <c r="BA15" s="4">
        <f t="shared" si="2"/>
        <v>-9.9661367436658349E-2</v>
      </c>
      <c r="BB15" s="4">
        <f t="shared" si="2"/>
        <v>2.1832596797049398E-2</v>
      </c>
      <c r="BF15" s="6" t="s">
        <v>126</v>
      </c>
      <c r="BG15" s="6" t="s">
        <v>127</v>
      </c>
      <c r="BH15" s="6">
        <v>16</v>
      </c>
      <c r="BI15" s="6">
        <v>0.5255597602125589</v>
      </c>
      <c r="BJ15" s="6">
        <v>0.49067567653446087</v>
      </c>
    </row>
    <row r="16" spans="1:62" s="6" customFormat="1" x14ac:dyDescent="0.35">
      <c r="A16" s="4" t="s">
        <v>126</v>
      </c>
      <c r="B16" s="6" t="s">
        <v>126</v>
      </c>
      <c r="C16" s="6" t="s">
        <v>72</v>
      </c>
      <c r="D16" s="23">
        <v>18</v>
      </c>
      <c r="E16" s="23">
        <v>20</v>
      </c>
      <c r="F16" s="23">
        <f t="shared" si="0"/>
        <v>19</v>
      </c>
      <c r="G16" s="23">
        <f t="shared" si="3"/>
        <v>2</v>
      </c>
      <c r="H16" s="23">
        <f t="shared" si="4"/>
        <v>1</v>
      </c>
      <c r="I16" s="4">
        <f t="shared" si="22"/>
        <v>0.57004328193454812</v>
      </c>
      <c r="J16" s="23">
        <v>0.95471143377130996</v>
      </c>
      <c r="K16" s="23">
        <v>0.74019548736289331</v>
      </c>
      <c r="L16" s="18">
        <f t="shared" si="5"/>
        <v>5.4422683900743555E-4</v>
      </c>
      <c r="M16" s="18">
        <f t="shared" si="6"/>
        <v>7.066730950112814E-4</v>
      </c>
      <c r="N16" s="26">
        <v>18.494755942924847</v>
      </c>
      <c r="O16" s="26">
        <v>13.823609381059647</v>
      </c>
      <c r="P16" s="4">
        <f t="shared" si="7"/>
        <v>1.0542811376283368E-2</v>
      </c>
      <c r="Q16" s="4">
        <f t="shared" si="7"/>
        <v>7.8800556597604481E-3</v>
      </c>
      <c r="R16" s="4">
        <v>1952.5725181888358</v>
      </c>
      <c r="S16" s="4">
        <v>23.957399913538445</v>
      </c>
      <c r="T16" s="4">
        <v>1976.5299181023743</v>
      </c>
      <c r="U16" s="4">
        <v>1928.6151182752974</v>
      </c>
      <c r="V16" s="4">
        <v>0.10565525490254653</v>
      </c>
      <c r="W16" s="4">
        <v>-0.39777953291069712</v>
      </c>
      <c r="X16" s="4">
        <v>4.6634298832418833E-2</v>
      </c>
      <c r="Y16" s="4">
        <v>6.022806825827888E-2</v>
      </c>
      <c r="Z16" s="4">
        <v>-0.22675155042680539</v>
      </c>
      <c r="AA16" s="4">
        <v>2.6583568757148499E-2</v>
      </c>
      <c r="AC16" s="4" t="s">
        <v>126</v>
      </c>
      <c r="AD16" s="4">
        <v>18</v>
      </c>
      <c r="AE16" s="4">
        <v>20</v>
      </c>
      <c r="AF16" s="4">
        <v>19</v>
      </c>
      <c r="AG16" s="4">
        <v>2</v>
      </c>
      <c r="AH16" s="4">
        <v>0.57004328193454812</v>
      </c>
      <c r="AI16" s="4">
        <v>3.3508900000000001</v>
      </c>
      <c r="AJ16" s="4">
        <f t="shared" si="8"/>
        <v>0.95739714285714295</v>
      </c>
      <c r="AK16" s="4">
        <v>18.494755942924847</v>
      </c>
      <c r="AL16" s="4">
        <v>13.823609381059647</v>
      </c>
      <c r="AM16" s="4">
        <f>AK16*AH16/1000</f>
        <v>1.0542811376283368E-2</v>
      </c>
      <c r="AN16" s="4">
        <f t="shared" si="10"/>
        <v>7.8800556597604481E-3</v>
      </c>
      <c r="AO16" s="4">
        <f t="shared" si="11"/>
        <v>6.2095277200922665E-5</v>
      </c>
      <c r="AP16" s="4">
        <f t="shared" si="12"/>
        <v>2.1085622752566736E-2</v>
      </c>
      <c r="AQ16" s="7">
        <f>SUM(AP17:$AP$17)</f>
        <v>0</v>
      </c>
      <c r="AR16" s="4" t="e">
        <f t="shared" si="21"/>
        <v>#DIV/0!</v>
      </c>
      <c r="AS16" s="4" t="e">
        <f t="shared" si="1"/>
        <v>#DIV/0!</v>
      </c>
      <c r="AT16" s="4" t="e">
        <f t="shared" si="14"/>
        <v>#DIV/0!</v>
      </c>
      <c r="AU16" s="4" t="e">
        <f t="shared" si="15"/>
        <v>#DIV/0!</v>
      </c>
      <c r="AV16" s="4" t="e">
        <f t="shared" si="16"/>
        <v>#DIV/0!</v>
      </c>
      <c r="AW16" s="4" t="e">
        <f t="shared" si="17"/>
        <v>#DIV/0!</v>
      </c>
      <c r="AX16" s="4" t="e">
        <f t="shared" si="18"/>
        <v>#DIV/0!</v>
      </c>
      <c r="AY16" s="4" t="e">
        <f t="shared" si="19"/>
        <v>#DIV/0!</v>
      </c>
      <c r="AZ16" s="4" t="e">
        <f t="shared" si="20"/>
        <v>#DIV/0!</v>
      </c>
      <c r="BA16" s="4" t="e">
        <f t="shared" si="2"/>
        <v>#DIV/0!</v>
      </c>
      <c r="BB16" s="4" t="e">
        <f t="shared" si="2"/>
        <v>#DIV/0!</v>
      </c>
      <c r="BF16" s="6" t="s">
        <v>126</v>
      </c>
      <c r="BG16" s="6" t="s">
        <v>127</v>
      </c>
      <c r="BH16" s="6">
        <v>18</v>
      </c>
      <c r="BI16" s="6">
        <v>0.53507732678834785</v>
      </c>
      <c r="BJ16" s="6">
        <v>0.49758329634728743</v>
      </c>
    </row>
    <row r="17" spans="1:62" s="6" customFormat="1" x14ac:dyDescent="0.35">
      <c r="A17" s="4" t="s">
        <v>126</v>
      </c>
      <c r="B17" s="6" t="s">
        <v>132</v>
      </c>
      <c r="C17" s="6" t="s">
        <v>74</v>
      </c>
      <c r="D17" s="23">
        <v>20</v>
      </c>
      <c r="E17" s="23">
        <v>22</v>
      </c>
      <c r="F17" s="23">
        <f t="shared" si="0"/>
        <v>21</v>
      </c>
      <c r="G17" s="23">
        <f t="shared" si="3"/>
        <v>2</v>
      </c>
      <c r="H17" s="23">
        <f t="shared" si="4"/>
        <v>1</v>
      </c>
      <c r="I17" s="4">
        <f t="shared" si="22"/>
        <v>0.54909710766376352</v>
      </c>
      <c r="J17" s="23">
        <v>0.94068510385566906</v>
      </c>
      <c r="K17" s="23">
        <v>0.62132453824475786</v>
      </c>
      <c r="L17" s="18">
        <f t="shared" si="5"/>
        <v>5.1652746974953487E-4</v>
      </c>
      <c r="M17" s="18">
        <f t="shared" si="6"/>
        <v>5.8447073778684563E-4</v>
      </c>
      <c r="N17" s="26">
        <v>-9.0345430898389907</v>
      </c>
      <c r="O17" s="26">
        <v>8.4420303004077777</v>
      </c>
      <c r="P17" s="4">
        <f t="shared" si="7"/>
        <v>-4.9608414796942311E-3</v>
      </c>
      <c r="Q17" s="4">
        <f t="shared" si="7"/>
        <v>4.6354944207637628E-3</v>
      </c>
      <c r="R17" s="4">
        <v>1952.5725181888358</v>
      </c>
      <c r="S17" s="4">
        <v>23.957399913538445</v>
      </c>
      <c r="T17" s="4">
        <v>1976.5299181023743</v>
      </c>
      <c r="U17" s="4">
        <v>1928.6151182752974</v>
      </c>
      <c r="V17" s="4" t="e">
        <v>#DIV/0!</v>
      </c>
      <c r="W17" s="4">
        <v>-8.3481513320224313E-2</v>
      </c>
      <c r="X17" s="4">
        <v>8.3481513320224313E-2</v>
      </c>
      <c r="Y17" s="4" t="e">
        <v>#DIV/0!</v>
      </c>
      <c r="Z17" s="4">
        <v>-4.5839457507529116E-2</v>
      </c>
      <c r="AA17" s="4">
        <v>4.5839457507529116E-2</v>
      </c>
      <c r="AC17" s="31" t="s">
        <v>126</v>
      </c>
      <c r="AD17" s="31">
        <v>20</v>
      </c>
      <c r="AE17" s="31">
        <v>22</v>
      </c>
      <c r="AF17" s="31">
        <v>21</v>
      </c>
      <c r="AG17" s="31">
        <v>2</v>
      </c>
      <c r="AH17" s="31">
        <v>0.54909710766376352</v>
      </c>
      <c r="AI17" s="31">
        <v>2.5525299999999991</v>
      </c>
      <c r="AJ17" s="31">
        <f t="shared" si="8"/>
        <v>0.72929428571428545</v>
      </c>
      <c r="AK17" s="31">
        <v>0</v>
      </c>
      <c r="AL17" s="31">
        <v>8.4420303004077777</v>
      </c>
      <c r="AM17" s="31">
        <f t="shared" ref="AM17:AM29" si="23">AK17*AH17/1000</f>
        <v>0</v>
      </c>
      <c r="AN17" s="31">
        <f t="shared" si="10"/>
        <v>4.6354944207637628E-3</v>
      </c>
      <c r="AO17" s="31">
        <f t="shared" si="11"/>
        <v>2.1487808524931972E-5</v>
      </c>
      <c r="AP17" s="31">
        <f t="shared" si="12"/>
        <v>0</v>
      </c>
      <c r="AQ17" s="32">
        <f>SUM(AP$17:$AP18)</f>
        <v>0</v>
      </c>
      <c r="AR17" s="31" t="e">
        <f t="shared" si="21"/>
        <v>#DIV/0!</v>
      </c>
      <c r="AS17" s="31" t="e">
        <f t="shared" si="1"/>
        <v>#DIV/0!</v>
      </c>
      <c r="AT17" s="31" t="e">
        <f t="shared" si="14"/>
        <v>#DIV/0!</v>
      </c>
      <c r="AU17" s="31" t="e">
        <f t="shared" si="15"/>
        <v>#DIV/0!</v>
      </c>
      <c r="AV17" s="31" t="e">
        <f t="shared" si="16"/>
        <v>#DIV/0!</v>
      </c>
      <c r="AW17" s="31" t="e">
        <f t="shared" si="17"/>
        <v>#DIV/0!</v>
      </c>
      <c r="AX17" s="31" t="e">
        <f t="shared" si="18"/>
        <v>#DIV/0!</v>
      </c>
      <c r="AY17" s="31" t="e">
        <f t="shared" si="19"/>
        <v>#DIV/0!</v>
      </c>
      <c r="AZ17" s="31" t="e">
        <f t="shared" si="20"/>
        <v>#DIV/0!</v>
      </c>
      <c r="BA17" s="31" t="e">
        <f t="shared" si="2"/>
        <v>#DIV/0!</v>
      </c>
      <c r="BB17" s="31" t="e">
        <f t="shared" si="2"/>
        <v>#DIV/0!</v>
      </c>
      <c r="BF17" s="6" t="s">
        <v>126</v>
      </c>
      <c r="BG17" s="6" t="s">
        <v>127</v>
      </c>
      <c r="BH17" s="6">
        <v>20</v>
      </c>
      <c r="BI17" s="6">
        <v>0.53007582139848353</v>
      </c>
      <c r="BJ17" s="6">
        <v>0.57004328193454812</v>
      </c>
    </row>
    <row r="18" spans="1:62" s="6" customFormat="1" x14ac:dyDescent="0.35">
      <c r="A18" s="4" t="s">
        <v>126</v>
      </c>
      <c r="B18" s="6" t="s">
        <v>126</v>
      </c>
      <c r="C18" s="6" t="s">
        <v>75</v>
      </c>
      <c r="D18" s="23">
        <v>22</v>
      </c>
      <c r="E18" s="23">
        <v>24</v>
      </c>
      <c r="F18" s="23">
        <f t="shared" si="0"/>
        <v>23</v>
      </c>
      <c r="G18" s="23">
        <f t="shared" si="3"/>
        <v>2</v>
      </c>
      <c r="H18" s="23">
        <f t="shared" si="4"/>
        <v>1</v>
      </c>
      <c r="I18" s="4">
        <f t="shared" si="22"/>
        <v>0.58283278733046084</v>
      </c>
      <c r="J18" s="23">
        <v>0.17872615036847336</v>
      </c>
      <c r="K18" s="23">
        <v>0.79228034416514426</v>
      </c>
      <c r="L18" s="18">
        <f t="shared" si="5"/>
        <v>1.041674603881004E-4</v>
      </c>
      <c r="M18" s="18">
        <f t="shared" si="6"/>
        <v>1.4160121592524542E-4</v>
      </c>
      <c r="N18" s="26">
        <v>-1.6930532275327828</v>
      </c>
      <c r="O18" s="26">
        <v>11.1408844211345</v>
      </c>
      <c r="P18" s="4">
        <f t="shared" si="7"/>
        <v>-9.867669317017646E-4</v>
      </c>
      <c r="Q18" s="4">
        <f t="shared" si="7"/>
        <v>6.4932727204963289E-3</v>
      </c>
      <c r="R18" s="4">
        <v>1952.5725181888358</v>
      </c>
      <c r="S18" s="4">
        <v>23.957399913538445</v>
      </c>
      <c r="T18" s="4">
        <v>1976.5299181023743</v>
      </c>
      <c r="U18" s="4">
        <v>1928.6151182752974</v>
      </c>
      <c r="V18" s="4" t="e">
        <v>#DIV/0!</v>
      </c>
      <c r="W18" s="4">
        <v>-8.3481513320224313E-2</v>
      </c>
      <c r="X18" s="4">
        <v>8.3481513320224313E-2</v>
      </c>
      <c r="Y18" s="4" t="e">
        <v>#DIV/0!</v>
      </c>
      <c r="Z18" s="4">
        <v>-4.8655763098991334E-2</v>
      </c>
      <c r="AA18" s="4">
        <v>4.8655763098991334E-2</v>
      </c>
      <c r="AC18" s="4" t="s">
        <v>126</v>
      </c>
      <c r="AD18" s="4">
        <v>22</v>
      </c>
      <c r="AE18" s="4">
        <v>24</v>
      </c>
      <c r="AF18" s="4">
        <v>23</v>
      </c>
      <c r="AG18" s="4">
        <v>2</v>
      </c>
      <c r="AH18" s="4">
        <v>0.58283278733046084</v>
      </c>
      <c r="AI18" s="4">
        <v>3.4329700000000001</v>
      </c>
      <c r="AJ18" s="4">
        <f t="shared" si="8"/>
        <v>0.9808485714285714</v>
      </c>
      <c r="AK18" s="4">
        <v>0</v>
      </c>
      <c r="AL18" s="4">
        <v>11.1408844211345</v>
      </c>
      <c r="AM18" s="4">
        <f t="shared" si="23"/>
        <v>0</v>
      </c>
      <c r="AN18" s="4">
        <f t="shared" si="10"/>
        <v>6.4932727204963289E-3</v>
      </c>
      <c r="AO18" s="4">
        <f t="shared" si="11"/>
        <v>4.2162590622741795E-5</v>
      </c>
      <c r="AP18" s="4">
        <f t="shared" si="12"/>
        <v>0</v>
      </c>
      <c r="AQ18" s="7">
        <v>0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F18" s="6" t="s">
        <v>126</v>
      </c>
      <c r="BG18" s="6" t="s">
        <v>127</v>
      </c>
      <c r="BH18" s="6">
        <v>22</v>
      </c>
      <c r="BI18" s="6">
        <v>0.51544787136682757</v>
      </c>
      <c r="BJ18" s="6">
        <v>0.54909710766376352</v>
      </c>
    </row>
    <row r="19" spans="1:62" s="6" customFormat="1" x14ac:dyDescent="0.35">
      <c r="A19" s="4" t="s">
        <v>126</v>
      </c>
      <c r="B19" s="6" t="s">
        <v>133</v>
      </c>
      <c r="C19" s="6" t="s">
        <v>77</v>
      </c>
      <c r="D19" s="23">
        <v>24</v>
      </c>
      <c r="E19" s="23">
        <v>26</v>
      </c>
      <c r="F19" s="23">
        <f t="shared" si="0"/>
        <v>25</v>
      </c>
      <c r="G19" s="23">
        <f t="shared" si="3"/>
        <v>2</v>
      </c>
      <c r="H19" s="23">
        <f t="shared" si="4"/>
        <v>1</v>
      </c>
      <c r="I19" s="4">
        <f t="shared" si="22"/>
        <v>0.58280629235035686</v>
      </c>
      <c r="J19" s="23">
        <v>1.2384194336603138</v>
      </c>
      <c r="K19" s="23">
        <v>0.45506382798115469</v>
      </c>
      <c r="L19" s="18">
        <f t="shared" si="5"/>
        <v>7.2175863850619624E-4</v>
      </c>
      <c r="M19" s="18">
        <f t="shared" si="6"/>
        <v>5.6355988812771605E-4</v>
      </c>
      <c r="N19" s="26">
        <v>-4.5915050671767226</v>
      </c>
      <c r="O19" s="26">
        <v>7.8418667600858356</v>
      </c>
      <c r="P19" s="4">
        <f t="shared" si="7"/>
        <v>-2.6759580445091416E-3</v>
      </c>
      <c r="Q19" s="4">
        <f t="shared" si="7"/>
        <v>4.5702892915511313E-3</v>
      </c>
      <c r="R19" s="4">
        <v>1952.5725181888358</v>
      </c>
      <c r="S19" s="4">
        <v>23.957399913538445</v>
      </c>
      <c r="T19" s="4">
        <v>1976.5299181023743</v>
      </c>
      <c r="U19" s="4">
        <v>1928.6151182752974</v>
      </c>
      <c r="V19" s="4" t="e">
        <v>#DIV/0!</v>
      </c>
      <c r="W19" s="4">
        <v>-8.3481513320224313E-2</v>
      </c>
      <c r="X19" s="4">
        <v>8.3481513320224313E-2</v>
      </c>
      <c r="Y19" s="4" t="e">
        <v>#DIV/0!</v>
      </c>
      <c r="Z19" s="4">
        <v>-4.865355125795686E-2</v>
      </c>
      <c r="AA19" s="4">
        <v>4.865355125795686E-2</v>
      </c>
      <c r="AC19" s="4" t="s">
        <v>126</v>
      </c>
      <c r="AD19" s="4">
        <v>24</v>
      </c>
      <c r="AE19" s="4">
        <v>26</v>
      </c>
      <c r="AF19" s="4">
        <v>25</v>
      </c>
      <c r="AG19" s="4">
        <v>2</v>
      </c>
      <c r="AH19" s="4">
        <v>0.58280629235035686</v>
      </c>
      <c r="AI19" s="4">
        <v>3.3434600000000012</v>
      </c>
      <c r="AJ19" s="4">
        <f t="shared" si="8"/>
        <v>0.95527428571428608</v>
      </c>
      <c r="AK19" s="4">
        <v>0</v>
      </c>
      <c r="AL19" s="4">
        <v>7.8418667600858356</v>
      </c>
      <c r="AM19" s="4">
        <f t="shared" si="23"/>
        <v>0</v>
      </c>
      <c r="AN19" s="4">
        <f t="shared" si="10"/>
        <v>4.5702892915511313E-3</v>
      </c>
      <c r="AO19" s="4">
        <f t="shared" si="11"/>
        <v>2.0887544208466941E-5</v>
      </c>
      <c r="AP19" s="4">
        <f t="shared" si="12"/>
        <v>0</v>
      </c>
      <c r="AQ19" s="7">
        <v>0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F19" s="6" t="s">
        <v>126</v>
      </c>
      <c r="BG19" s="6" t="s">
        <v>127</v>
      </c>
      <c r="BH19" s="6">
        <v>24</v>
      </c>
      <c r="BI19" s="6">
        <v>0.50862385321100922</v>
      </c>
      <c r="BJ19" s="6">
        <v>0.58283278733046084</v>
      </c>
    </row>
    <row r="20" spans="1:62" s="6" customFormat="1" x14ac:dyDescent="0.35">
      <c r="A20" s="4" t="s">
        <v>126</v>
      </c>
      <c r="B20" s="6" t="s">
        <v>126</v>
      </c>
      <c r="C20" s="6" t="s">
        <v>78</v>
      </c>
      <c r="D20" s="23">
        <v>26</v>
      </c>
      <c r="E20" s="23">
        <v>28</v>
      </c>
      <c r="F20" s="23">
        <f t="shared" si="0"/>
        <v>27</v>
      </c>
      <c r="G20" s="23">
        <f t="shared" si="3"/>
        <v>2</v>
      </c>
      <c r="H20" s="23">
        <f t="shared" si="4"/>
        <v>1</v>
      </c>
      <c r="I20" s="4">
        <f t="shared" si="22"/>
        <v>0.57662539199181129</v>
      </c>
      <c r="J20" s="23">
        <v>1.494585968124263</v>
      </c>
      <c r="K20" s="23">
        <v>0.71890871969543302</v>
      </c>
      <c r="L20" s="18">
        <f t="shared" si="5"/>
        <v>8.6181621973511395E-4</v>
      </c>
      <c r="M20" s="18">
        <f t="shared" si="6"/>
        <v>1.0744708848189732E-3</v>
      </c>
      <c r="N20" s="26">
        <v>-1.6405186055827699</v>
      </c>
      <c r="O20" s="26">
        <v>9.5537326152305102</v>
      </c>
      <c r="P20" s="4">
        <f t="shared" si="7"/>
        <v>-9.4596468401402433E-4</v>
      </c>
      <c r="Q20" s="4">
        <f t="shared" si="7"/>
        <v>5.5089248142422458E-3</v>
      </c>
      <c r="R20" s="4">
        <v>1952.5725181888358</v>
      </c>
      <c r="S20" s="4">
        <v>23.957399913538445</v>
      </c>
      <c r="T20" s="4">
        <v>1976.5299181023743</v>
      </c>
      <c r="U20" s="4">
        <v>1928.6151182752974</v>
      </c>
      <c r="V20" s="4" t="e">
        <v>#DIV/0!</v>
      </c>
      <c r="W20" s="4">
        <v>-8.3481513320224313E-2</v>
      </c>
      <c r="X20" s="4">
        <v>8.3481513320224313E-2</v>
      </c>
      <c r="Y20" s="4" t="e">
        <v>#DIV/0!</v>
      </c>
      <c r="Z20" s="4">
        <v>-4.8137560342343962E-2</v>
      </c>
      <c r="AA20" s="4">
        <v>4.8137560342343962E-2</v>
      </c>
      <c r="AC20" s="4" t="s">
        <v>126</v>
      </c>
      <c r="AD20" s="4">
        <v>26</v>
      </c>
      <c r="AE20" s="4">
        <v>28</v>
      </c>
      <c r="AF20" s="4">
        <v>27</v>
      </c>
      <c r="AG20" s="4">
        <v>2</v>
      </c>
      <c r="AH20" s="4">
        <v>0.57662539199181129</v>
      </c>
      <c r="AI20" s="4">
        <v>3.8507880000000005</v>
      </c>
      <c r="AJ20" s="4">
        <f t="shared" si="8"/>
        <v>1.100225142857143</v>
      </c>
      <c r="AK20" s="4">
        <v>0</v>
      </c>
      <c r="AL20" s="4">
        <v>9.5537326152305102</v>
      </c>
      <c r="AM20" s="4">
        <f t="shared" si="23"/>
        <v>0</v>
      </c>
      <c r="AN20" s="4">
        <f t="shared" si="10"/>
        <v>5.5089248142422458E-3</v>
      </c>
      <c r="AO20" s="4">
        <f t="shared" si="11"/>
        <v>3.0348252608973962E-5</v>
      </c>
      <c r="AP20" s="4">
        <f t="shared" si="12"/>
        <v>0</v>
      </c>
      <c r="AQ20" s="7">
        <v>0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F20" s="6" t="s">
        <v>126</v>
      </c>
      <c r="BG20" s="6" t="s">
        <v>127</v>
      </c>
      <c r="BH20" s="6">
        <v>26</v>
      </c>
      <c r="BI20" s="6">
        <v>0.51195407909375301</v>
      </c>
      <c r="BJ20" s="6">
        <v>0.58280629235035686</v>
      </c>
    </row>
    <row r="21" spans="1:62" s="6" customFormat="1" x14ac:dyDescent="0.35">
      <c r="A21" s="4" t="s">
        <v>126</v>
      </c>
      <c r="B21" s="6" t="s">
        <v>134</v>
      </c>
      <c r="C21" s="6" t="s">
        <v>80</v>
      </c>
      <c r="D21" s="23">
        <v>28</v>
      </c>
      <c r="E21" s="23">
        <v>30</v>
      </c>
      <c r="F21" s="23">
        <f t="shared" si="0"/>
        <v>29</v>
      </c>
      <c r="G21" s="23">
        <f t="shared" si="3"/>
        <v>2</v>
      </c>
      <c r="H21" s="23">
        <f t="shared" si="4"/>
        <v>1</v>
      </c>
      <c r="I21" s="4">
        <f t="shared" si="22"/>
        <v>0.56857848803451316</v>
      </c>
      <c r="J21" s="23">
        <v>0.3529627627636987</v>
      </c>
      <c r="K21" s="23">
        <v>0.46938379464309554</v>
      </c>
      <c r="L21" s="18">
        <f t="shared" si="5"/>
        <v>2.0068703398466836E-4</v>
      </c>
      <c r="M21" s="18">
        <f t="shared" si="6"/>
        <v>1.656750009537356E-4</v>
      </c>
      <c r="N21" s="26">
        <v>-3.530055916590225</v>
      </c>
      <c r="O21" s="26">
        <v>7.136286885281244</v>
      </c>
      <c r="P21" s="4">
        <f t="shared" si="7"/>
        <v>-2.0071138557321575E-3</v>
      </c>
      <c r="Q21" s="4">
        <f t="shared" si="7"/>
        <v>4.0575392074137353E-3</v>
      </c>
      <c r="R21" s="4">
        <v>1952.5725181888358</v>
      </c>
      <c r="S21" s="4">
        <v>23.957399913538445</v>
      </c>
      <c r="T21" s="4">
        <v>1976.5299181023743</v>
      </c>
      <c r="U21" s="4">
        <v>1928.6151182752974</v>
      </c>
      <c r="V21" s="4" t="e">
        <v>#DIV/0!</v>
      </c>
      <c r="W21" s="4">
        <v>-8.3481513320224313E-2</v>
      </c>
      <c r="X21" s="4">
        <v>8.3481513320224313E-2</v>
      </c>
      <c r="Y21" s="4" t="e">
        <v>#DIV/0!</v>
      </c>
      <c r="Z21" s="4">
        <v>-4.7465792622446212E-2</v>
      </c>
      <c r="AA21" s="4">
        <v>4.7465792622446212E-2</v>
      </c>
      <c r="AC21" s="4" t="s">
        <v>126</v>
      </c>
      <c r="AD21" s="4">
        <v>28</v>
      </c>
      <c r="AE21" s="4">
        <v>30</v>
      </c>
      <c r="AF21" s="4">
        <v>29</v>
      </c>
      <c r="AG21" s="4">
        <v>2</v>
      </c>
      <c r="AH21" s="4">
        <v>0.56857848803451316</v>
      </c>
      <c r="AI21" s="4">
        <v>3.3863000000000003</v>
      </c>
      <c r="AJ21" s="4">
        <f t="shared" si="8"/>
        <v>0.96751428571428577</v>
      </c>
      <c r="AK21" s="4">
        <v>0</v>
      </c>
      <c r="AL21" s="4">
        <v>7.136286885281244</v>
      </c>
      <c r="AM21" s="4">
        <f t="shared" si="23"/>
        <v>0</v>
      </c>
      <c r="AN21" s="4">
        <f t="shared" si="10"/>
        <v>4.0575392074137353E-3</v>
      </c>
      <c r="AO21" s="4">
        <f t="shared" si="11"/>
        <v>1.6463624419699684E-5</v>
      </c>
      <c r="AP21" s="4">
        <f t="shared" si="12"/>
        <v>0</v>
      </c>
      <c r="AQ21" s="7">
        <v>0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F21" s="6" t="s">
        <v>126</v>
      </c>
      <c r="BG21" s="6" t="s">
        <v>127</v>
      </c>
      <c r="BH21" s="6">
        <v>28</v>
      </c>
      <c r="BI21" s="6">
        <v>0.51171161353598427</v>
      </c>
      <c r="BJ21" s="6">
        <v>0.57662539199181129</v>
      </c>
    </row>
    <row r="22" spans="1:62" s="6" customFormat="1" x14ac:dyDescent="0.35">
      <c r="A22" s="4" t="s">
        <v>126</v>
      </c>
      <c r="B22" s="6" t="s">
        <v>126</v>
      </c>
      <c r="C22" s="6" t="s">
        <v>81</v>
      </c>
      <c r="D22" s="23">
        <v>30</v>
      </c>
      <c r="E22" s="23">
        <v>32</v>
      </c>
      <c r="F22" s="23">
        <f t="shared" si="0"/>
        <v>31</v>
      </c>
      <c r="G22" s="23">
        <f t="shared" si="3"/>
        <v>2</v>
      </c>
      <c r="H22" s="23">
        <f t="shared" si="4"/>
        <v>1</v>
      </c>
      <c r="I22" s="4">
        <f t="shared" si="22"/>
        <v>0.62134513341019226</v>
      </c>
      <c r="J22" s="23">
        <v>0.50108036248087062</v>
      </c>
      <c r="K22" s="23">
        <v>0.79470370337678531</v>
      </c>
      <c r="L22" s="18">
        <f t="shared" si="5"/>
        <v>3.1134384467490408E-4</v>
      </c>
      <c r="M22" s="18">
        <f t="shared" si="6"/>
        <v>3.9821041975292987E-4</v>
      </c>
      <c r="N22" s="26">
        <v>10.921670216029945</v>
      </c>
      <c r="O22" s="26">
        <v>11.743676429906433</v>
      </c>
      <c r="P22" s="4">
        <f t="shared" si="7"/>
        <v>6.7861266374412491E-3</v>
      </c>
      <c r="Q22" s="4">
        <f t="shared" si="7"/>
        <v>7.2968761980663427E-3</v>
      </c>
      <c r="R22" s="4">
        <v>1929.1513387560819</v>
      </c>
      <c r="S22" s="4">
        <v>38.356119936144133</v>
      </c>
      <c r="T22" s="4">
        <v>1967.507458692226</v>
      </c>
      <c r="U22" s="4">
        <v>1890.7952188199379</v>
      </c>
      <c r="V22" s="4">
        <v>8.539279611184114E-2</v>
      </c>
      <c r="W22" s="4">
        <v>-0.13391415918570326</v>
      </c>
      <c r="X22" s="4">
        <v>3.23743514273288E-2</v>
      </c>
      <c r="Y22" s="4">
        <v>5.3058398292381279E-2</v>
      </c>
      <c r="Z22" s="4">
        <v>-8.3206911104754519E-2</v>
      </c>
      <c r="AA22" s="4">
        <v>2.0115645706682062E-2</v>
      </c>
      <c r="AC22" s="4" t="s">
        <v>126</v>
      </c>
      <c r="AD22" s="4">
        <v>30</v>
      </c>
      <c r="AE22" s="4">
        <v>32</v>
      </c>
      <c r="AF22" s="4">
        <v>31</v>
      </c>
      <c r="AG22" s="4">
        <v>2</v>
      </c>
      <c r="AH22" s="4">
        <v>0.62134513341019226</v>
      </c>
      <c r="AI22" s="4">
        <v>3.3461399999999997</v>
      </c>
      <c r="AJ22" s="4">
        <f t="shared" si="8"/>
        <v>0.95603999999999989</v>
      </c>
      <c r="AK22" s="4">
        <v>10.921670216029945</v>
      </c>
      <c r="AL22" s="4">
        <v>11.743676429906433</v>
      </c>
      <c r="AM22" s="4">
        <f t="shared" si="23"/>
        <v>6.7861266374412491E-3</v>
      </c>
      <c r="AN22" s="4">
        <f t="shared" si="10"/>
        <v>7.2968761980663427E-3</v>
      </c>
      <c r="AO22" s="4">
        <f t="shared" si="11"/>
        <v>5.3244402249907124E-5</v>
      </c>
      <c r="AP22" s="4">
        <f t="shared" si="12"/>
        <v>1.3572253274882498E-2</v>
      </c>
      <c r="AQ22" s="7">
        <v>0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F22" s="6" t="s">
        <v>126</v>
      </c>
      <c r="BG22" s="6" t="s">
        <v>127</v>
      </c>
      <c r="BH22" s="6">
        <v>30</v>
      </c>
      <c r="BI22" s="6">
        <v>0.52064446337797599</v>
      </c>
      <c r="BJ22" s="6">
        <v>0.56857848803451316</v>
      </c>
    </row>
    <row r="23" spans="1:62" s="6" customFormat="1" x14ac:dyDescent="0.35">
      <c r="A23" s="4" t="s">
        <v>126</v>
      </c>
      <c r="B23" s="6" t="s">
        <v>135</v>
      </c>
      <c r="C23" s="6" t="s">
        <v>83</v>
      </c>
      <c r="D23" s="23">
        <v>32</v>
      </c>
      <c r="E23" s="23">
        <v>34</v>
      </c>
      <c r="F23" s="23">
        <f t="shared" si="0"/>
        <v>33</v>
      </c>
      <c r="G23" s="23">
        <f t="shared" si="3"/>
        <v>2</v>
      </c>
      <c r="H23" s="23">
        <f t="shared" si="4"/>
        <v>1</v>
      </c>
      <c r="I23" s="4">
        <f t="shared" si="22"/>
        <v>0.54313195214320753</v>
      </c>
      <c r="J23" s="23">
        <v>0.36769304937077973</v>
      </c>
      <c r="K23" s="23">
        <v>0.56609508499138383</v>
      </c>
      <c r="L23" s="18">
        <f t="shared" si="5"/>
        <v>1.9970584369424039E-4</v>
      </c>
      <c r="M23" s="18">
        <f t="shared" si="6"/>
        <v>2.0814922803429265E-4</v>
      </c>
      <c r="N23" s="26">
        <v>-4.7286795649918787</v>
      </c>
      <c r="O23" s="26">
        <v>9.7497987177339223</v>
      </c>
      <c r="P23" s="4">
        <f t="shared" si="7"/>
        <v>-2.5682969631937325E-3</v>
      </c>
      <c r="Q23" s="4">
        <f t="shared" si="7"/>
        <v>5.2954272105661662E-3</v>
      </c>
      <c r="R23" s="4">
        <v>1929.1513387560819</v>
      </c>
      <c r="S23" s="4">
        <v>38.356119936144133</v>
      </c>
      <c r="T23" s="4">
        <v>1967.507458692226</v>
      </c>
      <c r="U23" s="4">
        <v>1890.7952188199379</v>
      </c>
      <c r="V23" s="4" t="e">
        <v>#DIV/0!</v>
      </c>
      <c r="W23" s="4">
        <v>-5.2142917566470083E-2</v>
      </c>
      <c r="X23" s="4">
        <v>5.2142917566470083E-2</v>
      </c>
      <c r="Y23" s="4" t="e">
        <v>#DIV/0!</v>
      </c>
      <c r="Z23" s="4">
        <v>-2.8320484608319246E-2</v>
      </c>
      <c r="AA23" s="4">
        <v>2.8320484608319246E-2</v>
      </c>
      <c r="AC23" s="4" t="s">
        <v>126</v>
      </c>
      <c r="AD23" s="4">
        <v>32</v>
      </c>
      <c r="AE23" s="4">
        <v>34</v>
      </c>
      <c r="AF23" s="4">
        <v>33</v>
      </c>
      <c r="AG23" s="4">
        <v>2</v>
      </c>
      <c r="AH23" s="4">
        <v>0.54313195214320753</v>
      </c>
      <c r="AI23" s="4">
        <v>2.90022</v>
      </c>
      <c r="AJ23" s="4">
        <f t="shared" si="8"/>
        <v>0.82863428571428577</v>
      </c>
      <c r="AK23" s="4">
        <v>0</v>
      </c>
      <c r="AL23" s="4">
        <v>9.7497987177339223</v>
      </c>
      <c r="AM23" s="4">
        <f t="shared" si="23"/>
        <v>0</v>
      </c>
      <c r="AN23" s="4">
        <f t="shared" si="10"/>
        <v>5.2954272105661662E-3</v>
      </c>
      <c r="AO23" s="4">
        <f t="shared" si="11"/>
        <v>2.8041549342404568E-5</v>
      </c>
      <c r="AP23" s="4">
        <f t="shared" si="12"/>
        <v>0</v>
      </c>
      <c r="AQ23" s="7">
        <v>0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F23" s="6" t="s">
        <v>126</v>
      </c>
      <c r="BG23" s="6" t="s">
        <v>127</v>
      </c>
      <c r="BH23" s="6">
        <v>32</v>
      </c>
      <c r="BI23" s="6">
        <v>0.51601918705610772</v>
      </c>
      <c r="BJ23" s="6">
        <v>0.62134513341019226</v>
      </c>
    </row>
    <row r="24" spans="1:62" s="6" customFormat="1" x14ac:dyDescent="0.35">
      <c r="A24" s="4" t="s">
        <v>126</v>
      </c>
      <c r="B24" s="6" t="s">
        <v>126</v>
      </c>
      <c r="C24" s="6" t="s">
        <v>84</v>
      </c>
      <c r="D24" s="23">
        <v>34</v>
      </c>
      <c r="E24" s="23">
        <v>36</v>
      </c>
      <c r="F24" s="23">
        <f t="shared" si="0"/>
        <v>35</v>
      </c>
      <c r="G24" s="23">
        <f t="shared" si="3"/>
        <v>2</v>
      </c>
      <c r="H24" s="23">
        <f t="shared" si="4"/>
        <v>1</v>
      </c>
      <c r="I24" s="4">
        <f t="shared" si="22"/>
        <v>0.58709469413004589</v>
      </c>
      <c r="J24" s="23">
        <v>0.33988450628416234</v>
      </c>
      <c r="K24" s="23">
        <v>0.54821265027071819</v>
      </c>
      <c r="L24" s="18">
        <f t="shared" si="5"/>
        <v>1.9954439025644195E-4</v>
      </c>
      <c r="M24" s="18">
        <f t="shared" si="6"/>
        <v>1.8632898597599519E-4</v>
      </c>
      <c r="N24" s="26">
        <v>10.725162818991208</v>
      </c>
      <c r="O24" s="26">
        <v>12.509472270312257</v>
      </c>
      <c r="P24" s="4">
        <f t="shared" si="7"/>
        <v>6.2966861847105838E-3</v>
      </c>
      <c r="Q24" s="4">
        <f t="shared" si="7"/>
        <v>7.3442447962672654E-3</v>
      </c>
      <c r="R24" s="4" t="e">
        <v>#DIV/0!</v>
      </c>
      <c r="S24" s="4" t="e">
        <v>#DIV/0!</v>
      </c>
      <c r="T24" s="4" t="e">
        <v>#DIV/0!</v>
      </c>
      <c r="U24" s="4" t="e">
        <v>#DIV/0!</v>
      </c>
      <c r="V24" s="4" t="e">
        <v>#DIV/0!</v>
      </c>
      <c r="W24" s="4" t="e">
        <v>#DIV/0!</v>
      </c>
      <c r="X24" s="4" t="e">
        <v>#DIV/0!</v>
      </c>
      <c r="Y24" s="4" t="e">
        <v>#DIV/0!</v>
      </c>
      <c r="Z24" s="4" t="e">
        <v>#DIV/0!</v>
      </c>
      <c r="AA24" s="4" t="e">
        <v>#DIV/0!</v>
      </c>
      <c r="AC24" s="4" t="s">
        <v>126</v>
      </c>
      <c r="AD24" s="4">
        <v>34</v>
      </c>
      <c r="AE24" s="4">
        <v>36</v>
      </c>
      <c r="AF24" s="4">
        <v>35</v>
      </c>
      <c r="AG24" s="4">
        <v>2</v>
      </c>
      <c r="AH24" s="4">
        <v>0.58709469413004589</v>
      </c>
      <c r="AI24" s="4">
        <v>3.62405</v>
      </c>
      <c r="AJ24" s="4">
        <f t="shared" si="8"/>
        <v>1.0354428571428571</v>
      </c>
      <c r="AK24" s="4">
        <v>10.725162818991199</v>
      </c>
      <c r="AL24" s="4">
        <v>12.509472270312257</v>
      </c>
      <c r="AM24" s="4">
        <f t="shared" si="23"/>
        <v>6.2966861847105786E-3</v>
      </c>
      <c r="AN24" s="4">
        <f t="shared" si="10"/>
        <v>7.3442447962672654E-3</v>
      </c>
      <c r="AO24" s="4">
        <f t="shared" si="11"/>
        <v>5.3937931627498808E-5</v>
      </c>
      <c r="AP24" s="4">
        <f t="shared" si="12"/>
        <v>1.2593372369421157E-2</v>
      </c>
      <c r="AQ24" s="7">
        <f>SUM(AP25:$AP$29)</f>
        <v>0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F24" s="6" t="s">
        <v>126</v>
      </c>
      <c r="BG24" s="6" t="s">
        <v>127</v>
      </c>
      <c r="BH24" s="6">
        <v>34</v>
      </c>
      <c r="BI24" s="6">
        <v>0.53065696773054039</v>
      </c>
      <c r="BJ24" s="6">
        <v>0.54313195214320753</v>
      </c>
    </row>
    <row r="25" spans="1:62" s="6" customFormat="1" x14ac:dyDescent="0.35">
      <c r="A25" s="4" t="s">
        <v>126</v>
      </c>
      <c r="B25" s="6" t="s">
        <v>136</v>
      </c>
      <c r="C25" s="6" t="s">
        <v>86</v>
      </c>
      <c r="D25" s="23">
        <v>36</v>
      </c>
      <c r="E25" s="23">
        <v>38</v>
      </c>
      <c r="F25" s="23">
        <f t="shared" si="0"/>
        <v>37</v>
      </c>
      <c r="G25" s="23">
        <f t="shared" si="3"/>
        <v>2</v>
      </c>
      <c r="H25" s="23">
        <f t="shared" si="4"/>
        <v>1</v>
      </c>
      <c r="I25" s="4">
        <f t="shared" si="22"/>
        <v>0.44972200728800449</v>
      </c>
      <c r="J25" s="23">
        <v>0</v>
      </c>
      <c r="K25" s="23">
        <v>0</v>
      </c>
      <c r="L25" s="18">
        <f t="shared" si="5"/>
        <v>0</v>
      </c>
      <c r="M25" s="18">
        <f t="shared" si="6"/>
        <v>0</v>
      </c>
      <c r="N25" s="26">
        <v>-1.2123240219786453</v>
      </c>
      <c r="O25" s="26">
        <v>8.1532798132528406</v>
      </c>
      <c r="P25" s="4">
        <f t="shared" si="7"/>
        <v>-5.4520879264770327E-4</v>
      </c>
      <c r="Q25" s="4">
        <f t="shared" si="7"/>
        <v>3.6667093635968338E-3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C25" s="4" t="s">
        <v>126</v>
      </c>
      <c r="AD25" s="4">
        <v>36</v>
      </c>
      <c r="AE25" s="4">
        <v>38</v>
      </c>
      <c r="AF25" s="4">
        <v>37</v>
      </c>
      <c r="AG25" s="4">
        <v>2</v>
      </c>
      <c r="AH25" s="4">
        <v>0.44972200728800449</v>
      </c>
      <c r="AI25" s="4">
        <v>3.4359799999999998</v>
      </c>
      <c r="AJ25" s="4">
        <f t="shared" si="8"/>
        <v>0.98170857142857137</v>
      </c>
      <c r="AK25" s="4">
        <v>0</v>
      </c>
      <c r="AL25" s="4">
        <v>8.1532798132528406</v>
      </c>
      <c r="AM25" s="4">
        <f t="shared" si="23"/>
        <v>0</v>
      </c>
      <c r="AN25" s="4">
        <f t="shared" si="10"/>
        <v>3.6667093635968338E-3</v>
      </c>
      <c r="AO25" s="4">
        <f t="shared" si="11"/>
        <v>1.3444757557088698E-5</v>
      </c>
      <c r="AP25" s="4">
        <f t="shared" si="12"/>
        <v>0</v>
      </c>
      <c r="AQ25" s="7">
        <f>SUM(AP26:$AP$29)</f>
        <v>0</v>
      </c>
      <c r="BF25" s="6" t="s">
        <v>126</v>
      </c>
      <c r="BG25" s="6" t="s">
        <v>127</v>
      </c>
      <c r="BH25" s="6">
        <v>36</v>
      </c>
      <c r="BI25" s="6">
        <v>0.53710230477458087</v>
      </c>
      <c r="BJ25" s="6">
        <v>0.58709469413004589</v>
      </c>
    </row>
    <row r="26" spans="1:62" s="6" customFormat="1" x14ac:dyDescent="0.35">
      <c r="A26" s="4" t="s">
        <v>126</v>
      </c>
      <c r="B26" s="6" t="s">
        <v>126</v>
      </c>
      <c r="C26" s="6" t="s">
        <v>87</v>
      </c>
      <c r="D26" s="23">
        <v>38</v>
      </c>
      <c r="E26" s="23">
        <v>40</v>
      </c>
      <c r="F26" s="23">
        <f t="shared" si="0"/>
        <v>39</v>
      </c>
      <c r="G26" s="23">
        <f t="shared" si="3"/>
        <v>2</v>
      </c>
      <c r="H26" s="23">
        <f t="shared" si="4"/>
        <v>1</v>
      </c>
      <c r="I26" s="4">
        <f t="shared" si="22"/>
        <v>0.28994970726661656</v>
      </c>
      <c r="J26" s="23">
        <v>0.83939628591415538</v>
      </c>
      <c r="K26" s="23">
        <v>0.6854236897931999</v>
      </c>
      <c r="L26" s="18">
        <f t="shared" si="5"/>
        <v>2.4338270738149452E-4</v>
      </c>
      <c r="M26" s="18">
        <f t="shared" si="6"/>
        <v>5.7534209948998814E-4</v>
      </c>
      <c r="N26" s="26">
        <v>-4.4881281578731489</v>
      </c>
      <c r="O26" s="26">
        <v>11.25213692744007</v>
      </c>
      <c r="P26" s="4">
        <f t="shared" si="7"/>
        <v>-1.3013314455503787E-3</v>
      </c>
      <c r="Q26" s="4">
        <f t="shared" si="7"/>
        <v>3.2625538082351343E-3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C26" s="4" t="s">
        <v>126</v>
      </c>
      <c r="AD26" s="4">
        <v>38</v>
      </c>
      <c r="AE26" s="4">
        <v>40</v>
      </c>
      <c r="AF26" s="4">
        <v>39</v>
      </c>
      <c r="AG26" s="4">
        <v>2</v>
      </c>
      <c r="AH26" s="4">
        <v>0.28994970726661656</v>
      </c>
      <c r="AI26" s="4">
        <v>3.6465800000000002</v>
      </c>
      <c r="AJ26" s="4">
        <f t="shared" si="8"/>
        <v>1.0418800000000001</v>
      </c>
      <c r="AK26" s="4">
        <v>0</v>
      </c>
      <c r="AL26" s="4">
        <v>11.25213692744007</v>
      </c>
      <c r="AM26" s="4">
        <f t="shared" si="23"/>
        <v>0</v>
      </c>
      <c r="AN26" s="4">
        <f t="shared" si="10"/>
        <v>3.2625538082351343E-3</v>
      </c>
      <c r="AO26" s="4">
        <f t="shared" si="11"/>
        <v>1.0644257351629577E-5</v>
      </c>
      <c r="AP26" s="4">
        <f t="shared" si="12"/>
        <v>0</v>
      </c>
      <c r="AQ26" s="7">
        <f>SUM(AP27:$AP$29)</f>
        <v>0</v>
      </c>
      <c r="BF26" s="6" t="s">
        <v>126</v>
      </c>
      <c r="BG26" s="6" t="s">
        <v>127</v>
      </c>
      <c r="BH26" s="6">
        <v>38</v>
      </c>
      <c r="BI26" s="6">
        <v>0.59906800021595941</v>
      </c>
      <c r="BJ26" s="6">
        <v>0.44972200728800449</v>
      </c>
    </row>
    <row r="27" spans="1:62" s="6" customFormat="1" x14ac:dyDescent="0.35">
      <c r="A27" s="4" t="s">
        <v>126</v>
      </c>
      <c r="B27" s="6" t="s">
        <v>137</v>
      </c>
      <c r="C27" s="6" t="s">
        <v>89</v>
      </c>
      <c r="D27" s="23">
        <v>40</v>
      </c>
      <c r="E27" s="23">
        <v>42</v>
      </c>
      <c r="F27" s="23">
        <f t="shared" si="0"/>
        <v>41</v>
      </c>
      <c r="G27" s="23">
        <f t="shared" si="3"/>
        <v>2</v>
      </c>
      <c r="H27" s="23">
        <f t="shared" si="4"/>
        <v>1</v>
      </c>
      <c r="I27" s="4">
        <f>BJ28</f>
        <v>0.17993119488336817</v>
      </c>
      <c r="J27" s="23">
        <v>0</v>
      </c>
      <c r="K27" s="23">
        <v>0</v>
      </c>
      <c r="L27" s="18">
        <f t="shared" si="5"/>
        <v>0</v>
      </c>
      <c r="M27" s="18">
        <f t="shared" si="6"/>
        <v>0</v>
      </c>
      <c r="N27" s="26">
        <v>-0.59858364912415141</v>
      </c>
      <c r="O27" s="26">
        <v>6.4915808006549165</v>
      </c>
      <c r="P27" s="4">
        <f t="shared" si="7"/>
        <v>-1.0770387122455537E-4</v>
      </c>
      <c r="Q27" s="4">
        <f t="shared" si="7"/>
        <v>1.168037890143771E-3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C27" s="4" t="s">
        <v>126</v>
      </c>
      <c r="AD27" s="4">
        <v>40</v>
      </c>
      <c r="AE27" s="4">
        <v>42</v>
      </c>
      <c r="AF27" s="4">
        <v>41</v>
      </c>
      <c r="AG27" s="4">
        <v>2</v>
      </c>
      <c r="AH27" s="4">
        <v>0.17993119488336817</v>
      </c>
      <c r="AI27" s="4">
        <v>3.3895400000000011</v>
      </c>
      <c r="AJ27" s="4">
        <f t="shared" si="8"/>
        <v>0.9684400000000003</v>
      </c>
      <c r="AK27" s="4">
        <v>0</v>
      </c>
      <c r="AL27" s="4">
        <v>6.4915808006549165</v>
      </c>
      <c r="AM27" s="4">
        <f t="shared" si="23"/>
        <v>0</v>
      </c>
      <c r="AN27" s="4">
        <f t="shared" si="10"/>
        <v>1.168037890143771E-3</v>
      </c>
      <c r="AO27" s="4">
        <f t="shared" si="11"/>
        <v>1.3643125128115121E-6</v>
      </c>
      <c r="AP27" s="4">
        <f t="shared" si="12"/>
        <v>0</v>
      </c>
      <c r="AQ27" s="7">
        <f>SUM(AP28:$AP$29)</f>
        <v>0</v>
      </c>
      <c r="BF27" s="6" t="s">
        <v>126</v>
      </c>
      <c r="BG27" s="6" t="s">
        <v>127</v>
      </c>
      <c r="BH27" s="6">
        <v>40</v>
      </c>
      <c r="BI27" s="6">
        <v>0.74940790851041561</v>
      </c>
      <c r="BJ27" s="6">
        <v>0.28994970726661656</v>
      </c>
    </row>
    <row r="28" spans="1:62" s="6" customFormat="1" x14ac:dyDescent="0.35">
      <c r="A28" s="4" t="s">
        <v>126</v>
      </c>
      <c r="B28" s="6" t="s">
        <v>126</v>
      </c>
      <c r="C28" s="6" t="s">
        <v>90</v>
      </c>
      <c r="D28" s="23">
        <v>42</v>
      </c>
      <c r="E28" s="23">
        <v>44</v>
      </c>
      <c r="F28" s="23">
        <f t="shared" si="0"/>
        <v>43</v>
      </c>
      <c r="G28" s="23">
        <f t="shared" si="3"/>
        <v>2</v>
      </c>
      <c r="H28" s="23">
        <f t="shared" si="4"/>
        <v>1</v>
      </c>
      <c r="I28" s="4">
        <f>BJ29</f>
        <v>0.16285328770776641</v>
      </c>
      <c r="J28" s="23">
        <v>0</v>
      </c>
      <c r="K28" s="23">
        <v>0</v>
      </c>
      <c r="L28" s="18">
        <f t="shared" si="5"/>
        <v>0</v>
      </c>
      <c r="M28" s="18">
        <f t="shared" si="6"/>
        <v>0</v>
      </c>
      <c r="N28" s="26">
        <v>-4.6937559337121613</v>
      </c>
      <c r="O28" s="26">
        <v>10.718077361552924</v>
      </c>
      <c r="P28" s="4">
        <f t="shared" si="7"/>
        <v>-7.6439358550286238E-4</v>
      </c>
      <c r="Q28" s="4">
        <f t="shared" si="7"/>
        <v>1.7454741362350763E-3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C28" s="4" t="s">
        <v>126</v>
      </c>
      <c r="AD28" s="4">
        <v>42</v>
      </c>
      <c r="AE28" s="4">
        <v>44</v>
      </c>
      <c r="AF28" s="4">
        <v>43</v>
      </c>
      <c r="AG28" s="4">
        <v>2</v>
      </c>
      <c r="AH28" s="4">
        <v>0.16285328770776641</v>
      </c>
      <c r="AI28" s="4">
        <v>3.1169199999999999</v>
      </c>
      <c r="AJ28" s="4">
        <f t="shared" si="8"/>
        <v>0.89054857142857136</v>
      </c>
      <c r="AK28" s="4">
        <v>0</v>
      </c>
      <c r="AL28" s="4">
        <v>10.718077361552924</v>
      </c>
      <c r="AM28" s="4">
        <f t="shared" si="23"/>
        <v>0</v>
      </c>
      <c r="AN28" s="4">
        <f t="shared" si="10"/>
        <v>1.7454741362350763E-3</v>
      </c>
      <c r="AO28" s="4">
        <f t="shared" si="11"/>
        <v>3.0466799602655856E-6</v>
      </c>
      <c r="AP28" s="4">
        <f t="shared" si="12"/>
        <v>0</v>
      </c>
      <c r="AQ28" s="7">
        <f>SUM(AP29:$AP$29)</f>
        <v>0</v>
      </c>
      <c r="BF28" s="6" t="s">
        <v>126</v>
      </c>
      <c r="BG28" s="6" t="s">
        <v>127</v>
      </c>
      <c r="BH28" s="6">
        <v>42</v>
      </c>
      <c r="BI28" s="6">
        <v>0.82518745150531192</v>
      </c>
      <c r="BJ28" s="6">
        <v>0.17993119488336817</v>
      </c>
    </row>
    <row r="29" spans="1:62" s="6" customFormat="1" x14ac:dyDescent="0.35">
      <c r="A29" s="4" t="s">
        <v>126</v>
      </c>
      <c r="B29" s="6" t="s">
        <v>138</v>
      </c>
      <c r="C29" s="6" t="s">
        <v>139</v>
      </c>
      <c r="D29" s="23">
        <v>44</v>
      </c>
      <c r="E29" s="23">
        <v>48</v>
      </c>
      <c r="F29" s="23">
        <f t="shared" si="0"/>
        <v>46</v>
      </c>
      <c r="G29" s="23">
        <f t="shared" si="3"/>
        <v>4</v>
      </c>
      <c r="H29" s="23">
        <f t="shared" si="4"/>
        <v>2</v>
      </c>
      <c r="I29" s="4"/>
      <c r="J29" s="23">
        <v>0</v>
      </c>
      <c r="K29" s="23">
        <v>0</v>
      </c>
      <c r="L29" s="18">
        <f t="shared" si="5"/>
        <v>0</v>
      </c>
      <c r="M29" s="18">
        <f t="shared" si="6"/>
        <v>0</v>
      </c>
      <c r="N29" s="26">
        <v>3.1473155740055425</v>
      </c>
      <c r="O29" s="26">
        <v>5.3907293981373172</v>
      </c>
      <c r="P29" s="4">
        <f t="shared" si="7"/>
        <v>0</v>
      </c>
      <c r="Q29" s="4">
        <f t="shared" si="7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C29" s="4" t="s">
        <v>126</v>
      </c>
      <c r="AD29" s="4">
        <v>44</v>
      </c>
      <c r="AE29" s="4">
        <v>48</v>
      </c>
      <c r="AF29" s="4">
        <v>46</v>
      </c>
      <c r="AG29" s="4">
        <v>4</v>
      </c>
      <c r="AH29" s="4"/>
      <c r="AI29" s="4">
        <v>3.31358</v>
      </c>
      <c r="AJ29" s="4">
        <f t="shared" si="8"/>
        <v>0.94673714285714283</v>
      </c>
      <c r="AK29" s="4">
        <v>0</v>
      </c>
      <c r="AL29" s="4">
        <v>5.3907293981373172</v>
      </c>
      <c r="AM29" s="4">
        <f t="shared" si="23"/>
        <v>0</v>
      </c>
      <c r="AN29" s="4">
        <f t="shared" si="10"/>
        <v>0</v>
      </c>
      <c r="AO29" s="4">
        <f t="shared" si="11"/>
        <v>0</v>
      </c>
      <c r="AP29" s="4">
        <f t="shared" si="12"/>
        <v>0</v>
      </c>
      <c r="AQ29" s="7">
        <f>SUM(AP$29:$AP30)</f>
        <v>0</v>
      </c>
      <c r="BF29" s="6" t="s">
        <v>126</v>
      </c>
      <c r="BG29" s="6" t="s">
        <v>127</v>
      </c>
      <c r="BH29" s="6">
        <v>44</v>
      </c>
      <c r="BI29" s="6">
        <v>0.83732958283238434</v>
      </c>
      <c r="BJ29" s="6">
        <v>0.16285328770776641</v>
      </c>
    </row>
    <row r="30" spans="1:62" s="6" customFormat="1" ht="16.5" x14ac:dyDescent="0.35">
      <c r="D30" s="6" t="s">
        <v>17</v>
      </c>
      <c r="E30" s="6" t="s">
        <v>47</v>
      </c>
      <c r="F30" s="6" t="s">
        <v>48</v>
      </c>
      <c r="G30" s="6" t="s">
        <v>9</v>
      </c>
      <c r="H30" s="6" t="s">
        <v>106</v>
      </c>
      <c r="I30" s="6" t="s">
        <v>50</v>
      </c>
      <c r="J30" s="6" t="s">
        <v>107</v>
      </c>
      <c r="K30" s="6" t="s">
        <v>51</v>
      </c>
      <c r="W30"/>
      <c r="X30"/>
      <c r="AQ30" s="7"/>
    </row>
    <row r="31" spans="1:62" s="6" customFormat="1" x14ac:dyDescent="0.35">
      <c r="B31" s="19" t="s">
        <v>45</v>
      </c>
      <c r="C31" s="19" t="s">
        <v>46</v>
      </c>
      <c r="D31" s="6">
        <v>2.5</v>
      </c>
      <c r="E31" s="6">
        <v>1963</v>
      </c>
      <c r="F31" s="20">
        <f>R2-E31</f>
        <v>57.920765027322432</v>
      </c>
      <c r="G31" s="21">
        <f>D31/F31</f>
        <v>4.3162413321383063E-2</v>
      </c>
      <c r="H31" s="11">
        <f>G31-((D31-1)/F31)</f>
        <v>1.7264965328553223E-2</v>
      </c>
      <c r="I31" s="6">
        <f>G31*K31</f>
        <v>1.7740959617453794E-2</v>
      </c>
      <c r="J31" s="6">
        <f>H31*K31</f>
        <v>7.0963838469815157E-3</v>
      </c>
      <c r="K31" s="6">
        <f>AVERAGE(AH6:AH7)</f>
        <v>0.41102798134470286</v>
      </c>
      <c r="W31"/>
      <c r="X31"/>
      <c r="AC31"/>
      <c r="AD31"/>
      <c r="AE31"/>
      <c r="AF31"/>
      <c r="AG31"/>
      <c r="AH31"/>
      <c r="AI31" s="42" t="s">
        <v>13</v>
      </c>
      <c r="AJ31" s="42"/>
      <c r="AK31" s="42"/>
      <c r="AL31" s="42"/>
      <c r="AM31" s="1" t="s">
        <v>0</v>
      </c>
      <c r="AN31" s="1">
        <f>LN(2)/22.2</f>
        <v>3.1222845971168707E-2</v>
      </c>
      <c r="AO31" s="1"/>
      <c r="AP31" s="2" t="s">
        <v>1</v>
      </c>
      <c r="AQ31" s="2">
        <f>AQ33</f>
        <v>0.19490303490219041</v>
      </c>
      <c r="AR31" s="3" t="s">
        <v>2</v>
      </c>
      <c r="AS31" s="3"/>
      <c r="AT31" s="6">
        <f>2020+337/366</f>
        <v>2020.9207650273224</v>
      </c>
      <c r="AU31" t="s">
        <v>31</v>
      </c>
      <c r="AV31"/>
      <c r="AW31"/>
      <c r="AX31"/>
      <c r="AY31"/>
      <c r="AZ31"/>
      <c r="BA31"/>
      <c r="BB31"/>
    </row>
    <row r="32" spans="1:62" s="6" customFormat="1" ht="60" x14ac:dyDescent="0.35">
      <c r="W32"/>
      <c r="X32"/>
      <c r="AC32" s="5" t="s">
        <v>3</v>
      </c>
      <c r="AD32" s="5" t="s">
        <v>5</v>
      </c>
      <c r="AE32" s="5" t="s">
        <v>6</v>
      </c>
      <c r="AF32" s="5" t="s">
        <v>7</v>
      </c>
      <c r="AG32" s="5" t="s">
        <v>8</v>
      </c>
      <c r="AH32" s="5" t="s">
        <v>11</v>
      </c>
      <c r="AI32" s="30" t="s">
        <v>105</v>
      </c>
      <c r="AJ32" s="28" t="s">
        <v>12</v>
      </c>
      <c r="AK32" s="29" t="s">
        <v>22</v>
      </c>
      <c r="AL32" s="29" t="s">
        <v>14</v>
      </c>
      <c r="AM32" s="5" t="s">
        <v>25</v>
      </c>
      <c r="AN32" s="5" t="s">
        <v>24</v>
      </c>
      <c r="AO32" s="5" t="s">
        <v>53</v>
      </c>
      <c r="AP32" s="5" t="s">
        <v>52</v>
      </c>
      <c r="AQ32" s="5" t="s">
        <v>26</v>
      </c>
      <c r="AR32" s="5" t="s">
        <v>27</v>
      </c>
      <c r="AS32" s="5" t="s">
        <v>28</v>
      </c>
      <c r="AT32" s="5" t="s">
        <v>23</v>
      </c>
      <c r="AU32" s="5" t="s">
        <v>29</v>
      </c>
      <c r="AV32" s="5" t="s">
        <v>30</v>
      </c>
      <c r="AW32" s="5" t="s">
        <v>9</v>
      </c>
      <c r="AX32" s="5" t="s">
        <v>34</v>
      </c>
      <c r="AY32" s="5" t="s">
        <v>35</v>
      </c>
      <c r="AZ32" s="5" t="s">
        <v>10</v>
      </c>
      <c r="BA32" s="5" t="s">
        <v>54</v>
      </c>
      <c r="BB32" s="5" t="s">
        <v>55</v>
      </c>
    </row>
    <row r="33" spans="18:54" s="6" customFormat="1" x14ac:dyDescent="0.35">
      <c r="W33"/>
      <c r="X33"/>
      <c r="AC33" s="6" t="s">
        <v>126</v>
      </c>
      <c r="AD33" s="7">
        <v>0</v>
      </c>
      <c r="AE33" s="7">
        <v>0</v>
      </c>
      <c r="AF33" s="7">
        <v>0</v>
      </c>
      <c r="AG33" s="6">
        <f>AE33-AD33</f>
        <v>0</v>
      </c>
      <c r="AH33" s="7">
        <v>0</v>
      </c>
      <c r="AI33" s="7"/>
      <c r="AJ33" s="11"/>
      <c r="AK33" s="9"/>
      <c r="AL33" s="9"/>
      <c r="AM33" s="7">
        <v>0</v>
      </c>
      <c r="AN33" s="7">
        <v>0</v>
      </c>
      <c r="AO33" s="7">
        <v>0</v>
      </c>
      <c r="AP33" s="7">
        <v>0</v>
      </c>
      <c r="AQ33" s="7">
        <f>SUM(AP34:$AP$43)</f>
        <v>0.19490303490219041</v>
      </c>
      <c r="AR33" s="7">
        <v>0</v>
      </c>
      <c r="AS33" s="7">
        <v>0</v>
      </c>
      <c r="AT33" s="6">
        <f>AT31</f>
        <v>2020.9207650273224</v>
      </c>
      <c r="AU33" s="6">
        <f>AT31</f>
        <v>2020.9207650273224</v>
      </c>
      <c r="AV33" s="6">
        <f>AT31</f>
        <v>2020.9207650273224</v>
      </c>
      <c r="AW33" s="7"/>
      <c r="AX33" s="7"/>
      <c r="AY33" s="7"/>
      <c r="AZ33" s="7"/>
      <c r="BA33" s="7"/>
      <c r="BB33" s="7"/>
    </row>
    <row r="34" spans="18:54" s="6" customFormat="1" x14ac:dyDescent="0.35">
      <c r="W34"/>
      <c r="X34"/>
      <c r="AC34" s="4" t="s">
        <v>126</v>
      </c>
      <c r="AD34" s="4">
        <v>0</v>
      </c>
      <c r="AE34" s="4">
        <v>2</v>
      </c>
      <c r="AF34" s="4">
        <v>1</v>
      </c>
      <c r="AG34" s="4">
        <v>2</v>
      </c>
      <c r="AH34" s="4">
        <v>0.42353361195378714</v>
      </c>
      <c r="AI34" s="4">
        <v>3.491410000000001</v>
      </c>
      <c r="AJ34" s="4">
        <f>AI34/3.5</f>
        <v>0.99754571428571459</v>
      </c>
      <c r="AK34" s="4">
        <v>49.90568333972044</v>
      </c>
      <c r="AL34" s="4">
        <v>9.4387372950425981</v>
      </c>
      <c r="AM34" s="4">
        <f>AK34*AH34/1000</f>
        <v>2.1136734321893738E-2</v>
      </c>
      <c r="AN34" s="4">
        <f>AL34*AH34/1000</f>
        <v>3.9976224988523103E-3</v>
      </c>
      <c r="AO34" s="4">
        <f>AN34^2</f>
        <v>1.5980985643330191E-5</v>
      </c>
      <c r="AP34" s="4">
        <f>AM34*AG34</f>
        <v>4.2273468643787476E-2</v>
      </c>
      <c r="AQ34" s="7">
        <f>SUM(AP35:$AP$43)</f>
        <v>0.15262956625840293</v>
      </c>
      <c r="AR34" s="4">
        <f>(1/$AN$2)*LN($AQ$2/AQ34)</f>
        <v>7.8304305784982633</v>
      </c>
      <c r="AS34" s="4">
        <f t="shared" ref="AS34:AS43" si="24">ABS((1/$AN$2)*LN($AQ$2/(AQ34+SQRT(SUM($AO$6:$AO$39))))-AR34)</f>
        <v>5.592098294208407</v>
      </c>
      <c r="AT34" s="4">
        <f>$AT$2-AR34</f>
        <v>2013.0903344488243</v>
      </c>
      <c r="AU34" s="4">
        <f>AT34+AS34</f>
        <v>2018.6824327430327</v>
      </c>
      <c r="AV34" s="4">
        <f>AT34-AS34</f>
        <v>2007.4982361546158</v>
      </c>
      <c r="AW34" s="4">
        <f>AG34/(AT33-AT34)</f>
        <v>0.25541379620832871</v>
      </c>
      <c r="AX34" s="4">
        <f>AG34/(AT33-AU34)</f>
        <v>0.89352238451701582</v>
      </c>
      <c r="AY34" s="4">
        <f>AG34/(AT33-AV34)</f>
        <v>0.1490032183180327</v>
      </c>
      <c r="AZ34" s="4">
        <f>AW34*$AH34</f>
        <v>0.10817632765094196</v>
      </c>
      <c r="BA34" s="4">
        <f t="shared" ref="BA34:BA43" si="25">AX34*$AH34</f>
        <v>0.37843676287605238</v>
      </c>
      <c r="BB34" s="4">
        <f t="shared" ref="BB34:BB43" si="26">AY34*$AH34</f>
        <v>6.3107871246975089E-2</v>
      </c>
    </row>
    <row r="35" spans="18:54" s="6" customFormat="1" x14ac:dyDescent="0.35">
      <c r="R35"/>
      <c r="S35"/>
      <c r="T35"/>
      <c r="U35"/>
      <c r="V35"/>
      <c r="W35"/>
      <c r="X35"/>
      <c r="Y35"/>
      <c r="Z35"/>
      <c r="AA35"/>
      <c r="AB35"/>
      <c r="AC35" s="4" t="s">
        <v>126</v>
      </c>
      <c r="AD35" s="4">
        <v>2</v>
      </c>
      <c r="AE35" s="4">
        <v>3</v>
      </c>
      <c r="AF35" s="4">
        <v>2.5</v>
      </c>
      <c r="AG35" s="4">
        <v>1</v>
      </c>
      <c r="AH35" s="4">
        <v>0.39852235073561859</v>
      </c>
      <c r="AI35" s="4">
        <v>3.2712100000000004</v>
      </c>
      <c r="AJ35" s="4">
        <f t="shared" ref="AJ35:AJ43" si="27">AI35/3.5</f>
        <v>0.93463142857142867</v>
      </c>
      <c r="AK35" s="4">
        <v>51.047017074556962</v>
      </c>
      <c r="AL35" s="4">
        <v>15.14909863044425</v>
      </c>
      <c r="AM35" s="4">
        <f t="shared" ref="AM35:AM41" si="28">AK35*AH35/1000</f>
        <v>2.0343377242593701E-2</v>
      </c>
      <c r="AN35" s="4">
        <f t="shared" ref="AN35:AN43" si="29">AL35*AH35/1000</f>
        <v>6.0372543977303831E-3</v>
      </c>
      <c r="AO35" s="4">
        <f t="shared" ref="AO35:AO43" si="30">AN35^2</f>
        <v>3.644844066291485E-5</v>
      </c>
      <c r="AP35" s="4">
        <f t="shared" ref="AP35:AP43" si="31">AM35*AG35</f>
        <v>2.0343377242593701E-2</v>
      </c>
      <c r="AQ35" s="7">
        <f>SUM(AP36:$AP$43)</f>
        <v>0.13228618901580924</v>
      </c>
      <c r="AR35" s="4">
        <f t="shared" ref="AR35:AR43" si="32">(1/$AN$2)*LN($AQ$2/AQ35)</f>
        <v>12.411889168581384</v>
      </c>
      <c r="AS35" s="4">
        <f t="shared" si="24"/>
        <v>6.3716140258432032</v>
      </c>
      <c r="AT35" s="4">
        <f t="shared" ref="AT35:AT43" si="33">$AT$2-AR35</f>
        <v>2008.508875858741</v>
      </c>
      <c r="AU35" s="4">
        <f t="shared" ref="AU35:AU43" si="34">AT35+AS35</f>
        <v>2014.8804898845842</v>
      </c>
      <c r="AV35" s="4">
        <f t="shared" ref="AV35:AV43" si="35">AT35-AS35</f>
        <v>2002.1372618328978</v>
      </c>
      <c r="AW35" s="4">
        <f t="shared" ref="AW35:AW41" si="36">AG35/(AT34-AT35)</f>
        <v>0.21827109867685901</v>
      </c>
      <c r="AX35" s="4">
        <f t="shared" ref="AX35:AX41" si="37">AG35/(AT34-AU35)</f>
        <v>-0.55861071056965073</v>
      </c>
      <c r="AY35" s="4">
        <f t="shared" ref="AY35:AY41" si="38">AG35/(AT34-AV35)</f>
        <v>9.1298582148167218E-2</v>
      </c>
      <c r="AZ35" s="4">
        <f t="shared" ref="AZ35:AZ41" si="39">AW35*$AH35</f>
        <v>8.6985911342348024E-2</v>
      </c>
      <c r="BA35" s="4">
        <f t="shared" si="25"/>
        <v>-0.22261885352231148</v>
      </c>
      <c r="BB35" s="4">
        <f t="shared" si="26"/>
        <v>3.6384525576516585E-2</v>
      </c>
    </row>
    <row r="36" spans="18:54" s="6" customFormat="1" x14ac:dyDescent="0.35">
      <c r="R36"/>
      <c r="S36"/>
      <c r="T36"/>
      <c r="U36"/>
      <c r="V36"/>
      <c r="W36"/>
      <c r="X36"/>
      <c r="Y36"/>
      <c r="Z36"/>
      <c r="AA36"/>
      <c r="AB36"/>
      <c r="AC36" s="4" t="s">
        <v>126</v>
      </c>
      <c r="AD36" s="4">
        <v>3</v>
      </c>
      <c r="AE36" s="4">
        <v>4</v>
      </c>
      <c r="AF36" s="4">
        <v>3.5</v>
      </c>
      <c r="AG36" s="4">
        <v>1</v>
      </c>
      <c r="AH36" s="4">
        <v>0.47401411904620755</v>
      </c>
      <c r="AI36" s="4">
        <v>3.4960199999999997</v>
      </c>
      <c r="AJ36" s="4">
        <f t="shared" si="27"/>
        <v>0.99886285714285705</v>
      </c>
      <c r="AK36" s="4">
        <v>40.037461597582613</v>
      </c>
      <c r="AL36" s="4">
        <v>14.122671619888704</v>
      </c>
      <c r="AM36" s="4">
        <f t="shared" si="28"/>
        <v>1.8978322088024489E-2</v>
      </c>
      <c r="AN36" s="4">
        <f t="shared" si="29"/>
        <v>6.6943457464804209E-3</v>
      </c>
      <c r="AO36" s="4">
        <f t="shared" si="30"/>
        <v>4.4814264973420506E-5</v>
      </c>
      <c r="AP36" s="4">
        <f t="shared" si="31"/>
        <v>1.8978322088024489E-2</v>
      </c>
      <c r="AQ36" s="7">
        <f>SUM(AP37:$AP$43)</f>
        <v>0.11330786692778475</v>
      </c>
      <c r="AR36" s="4">
        <f t="shared" si="32"/>
        <v>17.371689254894864</v>
      </c>
      <c r="AS36" s="4">
        <f t="shared" si="24"/>
        <v>7.3250328373976519</v>
      </c>
      <c r="AT36" s="4">
        <f t="shared" si="33"/>
        <v>2003.5490757724276</v>
      </c>
      <c r="AU36" s="4">
        <f t="shared" si="34"/>
        <v>2010.8741086098253</v>
      </c>
      <c r="AV36" s="4">
        <f t="shared" si="35"/>
        <v>1996.22404293503</v>
      </c>
      <c r="AW36" s="4">
        <f t="shared" si="36"/>
        <v>0.20162102959744382</v>
      </c>
      <c r="AX36" s="4">
        <f t="shared" si="37"/>
        <v>-0.42279137202949207</v>
      </c>
      <c r="AY36" s="4">
        <f t="shared" si="38"/>
        <v>8.1401188458158941E-2</v>
      </c>
      <c r="AZ36" s="4">
        <f t="shared" si="39"/>
        <v>9.5571214725821668E-2</v>
      </c>
      <c r="BA36" s="4">
        <f t="shared" si="25"/>
        <v>-0.20040907975289707</v>
      </c>
      <c r="BB36" s="4">
        <f t="shared" si="26"/>
        <v>3.858531263630853E-2</v>
      </c>
    </row>
    <row r="37" spans="18:54" s="6" customFormat="1" x14ac:dyDescent="0.35">
      <c r="R37"/>
      <c r="S37"/>
      <c r="T37"/>
      <c r="U37"/>
      <c r="V37"/>
      <c r="W37"/>
      <c r="X37"/>
      <c r="Y37"/>
      <c r="Z37"/>
      <c r="AA37"/>
      <c r="AB37"/>
      <c r="AC37" s="4" t="s">
        <v>126</v>
      </c>
      <c r="AD37" s="4">
        <v>4</v>
      </c>
      <c r="AE37" s="4">
        <v>6</v>
      </c>
      <c r="AF37" s="4">
        <v>5</v>
      </c>
      <c r="AG37" s="4">
        <v>2</v>
      </c>
      <c r="AH37" s="4">
        <v>0.46059251912495669</v>
      </c>
      <c r="AI37" s="4">
        <v>2.4631199999999995</v>
      </c>
      <c r="AJ37" s="4">
        <f t="shared" si="27"/>
        <v>0.70374857142857128</v>
      </c>
      <c r="AK37" s="4">
        <v>26.748387116959101</v>
      </c>
      <c r="AL37" s="4">
        <v>11.634620279960149</v>
      </c>
      <c r="AM37" s="4">
        <f t="shared" si="28"/>
        <v>1.2320107004729729E-2</v>
      </c>
      <c r="AN37" s="4">
        <f t="shared" si="29"/>
        <v>5.358819063809154E-3</v>
      </c>
      <c r="AO37" s="4">
        <f t="shared" si="30"/>
        <v>2.8716941758644417E-5</v>
      </c>
      <c r="AP37" s="4">
        <f t="shared" si="31"/>
        <v>2.4640214009459458E-2</v>
      </c>
      <c r="AQ37" s="7">
        <f>SUM(AP38:$AP$43)</f>
        <v>8.866765291832529E-2</v>
      </c>
      <c r="AR37" s="4">
        <f t="shared" si="32"/>
        <v>25.225344144323973</v>
      </c>
      <c r="AS37" s="4">
        <f t="shared" si="24"/>
        <v>9.0948049387324303</v>
      </c>
      <c r="AT37" s="4">
        <f t="shared" si="33"/>
        <v>1995.6954208829984</v>
      </c>
      <c r="AU37" s="4">
        <f t="shared" si="34"/>
        <v>2004.7902258217309</v>
      </c>
      <c r="AV37" s="4">
        <f t="shared" si="35"/>
        <v>1986.6006159442659</v>
      </c>
      <c r="AW37" s="4">
        <f t="shared" si="36"/>
        <v>0.25465850335388968</v>
      </c>
      <c r="AX37" s="4">
        <f t="shared" si="37"/>
        <v>-1.6114087101093417</v>
      </c>
      <c r="AY37" s="4">
        <f t="shared" si="38"/>
        <v>0.11800482287344953</v>
      </c>
      <c r="AZ37" s="4">
        <f t="shared" si="39"/>
        <v>0.11729380157635928</v>
      </c>
      <c r="BA37" s="4">
        <f t="shared" si="25"/>
        <v>-0.74220279712915882</v>
      </c>
      <c r="BB37" s="4">
        <f t="shared" si="26"/>
        <v>5.4352138636176432E-2</v>
      </c>
    </row>
    <row r="38" spans="18:54" s="6" customFormat="1" x14ac:dyDescent="0.35">
      <c r="R38"/>
      <c r="S38"/>
      <c r="T38"/>
      <c r="U38"/>
      <c r="V38"/>
      <c r="W38"/>
      <c r="X38"/>
      <c r="Y38"/>
      <c r="Z38"/>
      <c r="AA38"/>
      <c r="AB38"/>
      <c r="AC38" s="4" t="s">
        <v>126</v>
      </c>
      <c r="AD38" s="4">
        <v>6</v>
      </c>
      <c r="AE38" s="4">
        <v>8</v>
      </c>
      <c r="AF38" s="4">
        <v>7</v>
      </c>
      <c r="AG38" s="4">
        <v>2</v>
      </c>
      <c r="AH38" s="4">
        <v>0.49698526679636873</v>
      </c>
      <c r="AI38" s="4">
        <v>3.5828700000000002</v>
      </c>
      <c r="AJ38" s="4">
        <f t="shared" si="27"/>
        <v>1.023677142857143</v>
      </c>
      <c r="AK38" s="4">
        <v>26.790122371083193</v>
      </c>
      <c r="AL38" s="4">
        <v>10.865531363998032</v>
      </c>
      <c r="AM38" s="4">
        <f t="shared" si="28"/>
        <v>1.3314296114100148E-2</v>
      </c>
      <c r="AN38" s="4">
        <f t="shared" si="29"/>
        <v>5.4000090038208741E-3</v>
      </c>
      <c r="AO38" s="4">
        <f t="shared" si="30"/>
        <v>2.9160097241346508E-5</v>
      </c>
      <c r="AP38" s="4">
        <f t="shared" si="31"/>
        <v>2.6628592228200295E-2</v>
      </c>
      <c r="AQ38" s="7">
        <f>SUM(AP39:$AP$43)</f>
        <v>6.2039060690124999E-2</v>
      </c>
      <c r="AR38" s="4">
        <f t="shared" si="32"/>
        <v>36.663473318008826</v>
      </c>
      <c r="AS38" s="4">
        <f t="shared" si="24"/>
        <v>12.324708705227703</v>
      </c>
      <c r="AT38" s="4">
        <f t="shared" si="33"/>
        <v>1984.2572917093137</v>
      </c>
      <c r="AU38" s="4">
        <f t="shared" si="34"/>
        <v>1996.5820004145414</v>
      </c>
      <c r="AV38" s="4">
        <f t="shared" si="35"/>
        <v>1971.9325830040859</v>
      </c>
      <c r="AW38" s="4">
        <f t="shared" si="36"/>
        <v>0.17485376932106383</v>
      </c>
      <c r="AX38" s="4">
        <f t="shared" si="37"/>
        <v>-2.2558607872653686</v>
      </c>
      <c r="AY38" s="4">
        <f t="shared" si="38"/>
        <v>8.4165031558576256E-2</v>
      </c>
      <c r="AZ38" s="4">
        <f t="shared" si="39"/>
        <v>8.689974719637962E-2</v>
      </c>
      <c r="BA38" s="4">
        <f t="shared" si="25"/>
        <v>-1.1211295752145456</v>
      </c>
      <c r="BB38" s="4">
        <f t="shared" si="26"/>
        <v>4.1828780664063814E-2</v>
      </c>
    </row>
    <row r="39" spans="18:54" s="6" customFormat="1" x14ac:dyDescent="0.35">
      <c r="R39"/>
      <c r="S39"/>
      <c r="T39"/>
      <c r="U39"/>
      <c r="V39"/>
      <c r="W39"/>
      <c r="X39"/>
      <c r="Y39"/>
      <c r="Z39"/>
      <c r="AA39"/>
      <c r="AB39"/>
      <c r="AC39" s="4" t="s">
        <v>126</v>
      </c>
      <c r="AD39" s="4">
        <v>8</v>
      </c>
      <c r="AE39" s="4">
        <v>10</v>
      </c>
      <c r="AF39" s="4">
        <v>9</v>
      </c>
      <c r="AG39" s="4">
        <v>2</v>
      </c>
      <c r="AH39" s="4">
        <v>0.51906694021446731</v>
      </c>
      <c r="AI39" s="4">
        <v>2.5521499999999993</v>
      </c>
      <c r="AJ39" s="4">
        <f t="shared" si="27"/>
        <v>0.7291857142857141</v>
      </c>
      <c r="AK39" s="4">
        <v>18.510287944317071</v>
      </c>
      <c r="AL39" s="4">
        <v>10.532242170377769</v>
      </c>
      <c r="AM39" s="4">
        <f t="shared" si="28"/>
        <v>9.6080785257454029E-3</v>
      </c>
      <c r="AN39" s="4">
        <f t="shared" si="29"/>
        <v>5.466938716975768E-3</v>
      </c>
      <c r="AO39" s="4">
        <f t="shared" si="30"/>
        <v>2.9887418935168657E-5</v>
      </c>
      <c r="AP39" s="4">
        <f t="shared" si="31"/>
        <v>1.9216157051490806E-2</v>
      </c>
      <c r="AQ39" s="7">
        <f>SUM(AP40:$AP$43)</f>
        <v>4.282290363863419E-2</v>
      </c>
      <c r="AR39" s="4">
        <f t="shared" si="32"/>
        <v>48.535905028594378</v>
      </c>
      <c r="AS39" s="4">
        <f t="shared" si="24"/>
        <v>16.614842942628005</v>
      </c>
      <c r="AT39" s="4">
        <f t="shared" si="33"/>
        <v>1972.384859998728</v>
      </c>
      <c r="AU39" s="4">
        <f t="shared" si="34"/>
        <v>1988.999702941356</v>
      </c>
      <c r="AV39" s="4">
        <f t="shared" si="35"/>
        <v>1955.7700170561</v>
      </c>
      <c r="AW39" s="4">
        <f t="shared" si="36"/>
        <v>0.16845748611186004</v>
      </c>
      <c r="AX39" s="4">
        <f t="shared" si="37"/>
        <v>-0.42172639658216943</v>
      </c>
      <c r="AY39" s="4">
        <f t="shared" si="38"/>
        <v>7.0206786164936821E-2</v>
      </c>
      <c r="AZ39" s="4">
        <f t="shared" si="39"/>
        <v>8.7440711872304316E-2</v>
      </c>
      <c r="BA39" s="4">
        <f t="shared" si="25"/>
        <v>-0.21890423028157968</v>
      </c>
      <c r="BB39" s="4">
        <f t="shared" si="26"/>
        <v>3.6442021676925153E-2</v>
      </c>
    </row>
    <row r="40" spans="18:54" s="6" customFormat="1" x14ac:dyDescent="0.35">
      <c r="R40"/>
      <c r="S40"/>
      <c r="T40"/>
      <c r="U40"/>
      <c r="V40"/>
      <c r="W40"/>
      <c r="X40"/>
      <c r="Y40"/>
      <c r="Z40"/>
      <c r="AA40"/>
      <c r="AB40"/>
      <c r="AC40" s="4" t="s">
        <v>126</v>
      </c>
      <c r="AD40" s="4">
        <v>14</v>
      </c>
      <c r="AE40" s="4">
        <v>16</v>
      </c>
      <c r="AF40" s="4">
        <v>15</v>
      </c>
      <c r="AG40" s="4">
        <v>2</v>
      </c>
      <c r="AH40" s="4">
        <v>0.49067567653446087</v>
      </c>
      <c r="AI40" s="4">
        <v>3.3442999999999996</v>
      </c>
      <c r="AJ40" s="4">
        <f t="shared" si="27"/>
        <v>0.95551428571428565</v>
      </c>
      <c r="AK40" s="4">
        <v>6.1822910165727691</v>
      </c>
      <c r="AL40" s="4">
        <v>10.93651091750078</v>
      </c>
      <c r="AM40" s="4">
        <f t="shared" si="28"/>
        <v>3.0334998270897633E-3</v>
      </c>
      <c r="AN40" s="4">
        <f t="shared" si="29"/>
        <v>5.3662798933712119E-3</v>
      </c>
      <c r="AO40" s="4">
        <f t="shared" si="30"/>
        <v>2.8796959894000145E-5</v>
      </c>
      <c r="AP40" s="4">
        <f t="shared" si="31"/>
        <v>6.0669996541795265E-3</v>
      </c>
      <c r="AQ40" s="7">
        <f>SUM(AP41:$AP$43)</f>
        <v>3.6755903984454663E-2</v>
      </c>
      <c r="AR40" s="4">
        <f t="shared" si="32"/>
        <v>53.428931946988286</v>
      </c>
      <c r="AS40" s="4">
        <f t="shared" si="24"/>
        <v>18.686106589502408</v>
      </c>
      <c r="AT40" s="4">
        <f t="shared" si="33"/>
        <v>1967.4918330803341</v>
      </c>
      <c r="AU40" s="4">
        <f t="shared" si="34"/>
        <v>1986.1779396698366</v>
      </c>
      <c r="AV40" s="4">
        <f t="shared" si="35"/>
        <v>1948.8057264908316</v>
      </c>
      <c r="AW40" s="4">
        <f t="shared" si="36"/>
        <v>0.40874494119000437</v>
      </c>
      <c r="AX40" s="4">
        <f t="shared" si="37"/>
        <v>-0.14500024995790098</v>
      </c>
      <c r="AY40" s="4">
        <f t="shared" si="38"/>
        <v>8.4820758970223606E-2</v>
      </c>
      <c r="AZ40" s="4">
        <f t="shared" si="39"/>
        <v>0.20056120054844381</v>
      </c>
      <c r="BA40" s="4">
        <f t="shared" si="25"/>
        <v>-7.1148095745758991E-2</v>
      </c>
      <c r="BB40" s="4">
        <f t="shared" si="26"/>
        <v>4.1619483291880907E-2</v>
      </c>
    </row>
    <row r="41" spans="18:54" s="6" customFormat="1" x14ac:dyDescent="0.35">
      <c r="R41"/>
      <c r="S41"/>
      <c r="T41"/>
      <c r="U41"/>
      <c r="V41"/>
      <c r="W41"/>
      <c r="X41"/>
      <c r="Y41"/>
      <c r="Z41"/>
      <c r="AA41"/>
      <c r="AB41"/>
      <c r="AC41" s="4" t="s">
        <v>126</v>
      </c>
      <c r="AD41" s="4">
        <v>16</v>
      </c>
      <c r="AE41" s="4">
        <v>18</v>
      </c>
      <c r="AF41" s="4">
        <v>17</v>
      </c>
      <c r="AG41" s="4">
        <v>2</v>
      </c>
      <c r="AH41" s="4">
        <v>0.49758329634728743</v>
      </c>
      <c r="AI41" s="4">
        <v>2.5379800000000006</v>
      </c>
      <c r="AJ41" s="4">
        <f t="shared" si="27"/>
        <v>0.72513714285714304</v>
      </c>
      <c r="AK41" s="4">
        <v>15.746389948097132</v>
      </c>
      <c r="AL41" s="4">
        <v>10.61722220140987</v>
      </c>
      <c r="AM41" s="4">
        <f t="shared" si="28"/>
        <v>7.8351406159439634E-3</v>
      </c>
      <c r="AN41" s="4">
        <f t="shared" si="29"/>
        <v>5.282952421029127E-3</v>
      </c>
      <c r="AO41" s="4">
        <f t="shared" si="30"/>
        <v>2.7909586282857515E-5</v>
      </c>
      <c r="AP41" s="4">
        <f t="shared" si="31"/>
        <v>1.5670281231887927E-2</v>
      </c>
      <c r="AQ41" s="7">
        <f>SUM(AP42:$AP$43)</f>
        <v>2.1085622752566736E-2</v>
      </c>
      <c r="AR41" s="4">
        <f t="shared" si="32"/>
        <v>71.227035419306361</v>
      </c>
      <c r="AS41" s="4">
        <f t="shared" si="24"/>
        <v>27.783583486196655</v>
      </c>
      <c r="AT41" s="4">
        <f t="shared" si="33"/>
        <v>1949.6937296080162</v>
      </c>
      <c r="AU41" s="4">
        <f t="shared" si="34"/>
        <v>1977.4773130942128</v>
      </c>
      <c r="AV41" s="4">
        <f t="shared" si="35"/>
        <v>1921.9101461218195</v>
      </c>
      <c r="AW41" s="4">
        <f t="shared" si="36"/>
        <v>0.11237152335419742</v>
      </c>
      <c r="AX41" s="4">
        <f t="shared" si="37"/>
        <v>-0.20029082199555964</v>
      </c>
      <c r="AY41" s="4">
        <f t="shared" si="38"/>
        <v>4.3877270312971624E-2</v>
      </c>
      <c r="AZ41" s="4">
        <f t="shared" si="39"/>
        <v>5.5914193006147743E-2</v>
      </c>
      <c r="BA41" s="4">
        <f t="shared" si="25"/>
        <v>-9.9661367436658349E-2</v>
      </c>
      <c r="BB41" s="4">
        <f t="shared" si="26"/>
        <v>2.1832596797049398E-2</v>
      </c>
    </row>
    <row r="42" spans="18:54" s="6" customFormat="1" x14ac:dyDescent="0.35">
      <c r="R42"/>
      <c r="S42"/>
      <c r="T42"/>
      <c r="U42"/>
      <c r="V42"/>
      <c r="W42"/>
      <c r="X42"/>
      <c r="Y42"/>
      <c r="Z42"/>
      <c r="AA42"/>
      <c r="AB42"/>
      <c r="AC42" s="4" t="s">
        <v>126</v>
      </c>
      <c r="AD42" s="4">
        <v>18</v>
      </c>
      <c r="AE42" s="4">
        <v>20</v>
      </c>
      <c r="AF42" s="4">
        <v>19</v>
      </c>
      <c r="AG42" s="4">
        <v>2</v>
      </c>
      <c r="AH42" s="4">
        <v>0.57004328193454812</v>
      </c>
      <c r="AI42" s="4">
        <v>3.3508900000000001</v>
      </c>
      <c r="AJ42" s="4">
        <f t="shared" si="27"/>
        <v>0.95739714285714295</v>
      </c>
      <c r="AK42" s="4">
        <v>18.494755942924847</v>
      </c>
      <c r="AL42" s="4">
        <v>13.823609381059647</v>
      </c>
      <c r="AM42" s="4">
        <f>AK42*AH42/1000</f>
        <v>1.0542811376283368E-2</v>
      </c>
      <c r="AN42" s="4">
        <f t="shared" si="29"/>
        <v>7.8800556597604481E-3</v>
      </c>
      <c r="AO42" s="4">
        <f t="shared" si="30"/>
        <v>6.2095277200922665E-5</v>
      </c>
      <c r="AP42" s="4">
        <f t="shared" si="31"/>
        <v>2.1085622752566736E-2</v>
      </c>
      <c r="AQ42" s="7">
        <f>SUM(AP43:$AP$43)</f>
        <v>0</v>
      </c>
      <c r="AR42" s="4" t="e">
        <f t="shared" si="32"/>
        <v>#DIV/0!</v>
      </c>
      <c r="AS42" s="4" t="e">
        <f t="shared" si="24"/>
        <v>#DIV/0!</v>
      </c>
      <c r="AT42" s="4" t="e">
        <f t="shared" si="33"/>
        <v>#DIV/0!</v>
      </c>
      <c r="AU42" s="4" t="e">
        <f t="shared" si="34"/>
        <v>#DIV/0!</v>
      </c>
      <c r="AV42" s="4" t="e">
        <f t="shared" si="35"/>
        <v>#DIV/0!</v>
      </c>
      <c r="AW42" s="4" t="e">
        <f t="shared" ref="AW42:AW43" si="40">AG42/(AT41-AT42)</f>
        <v>#DIV/0!</v>
      </c>
      <c r="AX42" s="4" t="e">
        <f t="shared" ref="AX42:AX43" si="41">AG42/(AT41-AU42)</f>
        <v>#DIV/0!</v>
      </c>
      <c r="AY42" s="4" t="e">
        <f t="shared" ref="AY42:AY43" si="42">AG42/(AT41-AV42)</f>
        <v>#DIV/0!</v>
      </c>
      <c r="AZ42" s="4" t="e">
        <f t="shared" ref="AZ42:AZ43" si="43">AW42*$AH42</f>
        <v>#DIV/0!</v>
      </c>
      <c r="BA42" s="4" t="e">
        <f t="shared" si="25"/>
        <v>#DIV/0!</v>
      </c>
      <c r="BB42" s="4" t="e">
        <f t="shared" si="26"/>
        <v>#DIV/0!</v>
      </c>
    </row>
    <row r="43" spans="18:54" s="6" customFormat="1" x14ac:dyDescent="0.35">
      <c r="R43"/>
      <c r="S43"/>
      <c r="T43"/>
      <c r="U43"/>
      <c r="V43"/>
      <c r="W43"/>
      <c r="X43"/>
      <c r="Y43"/>
      <c r="Z43"/>
      <c r="AA43"/>
      <c r="AB43"/>
      <c r="AC43" s="31" t="s">
        <v>126</v>
      </c>
      <c r="AD43" s="31">
        <v>20</v>
      </c>
      <c r="AE43" s="31">
        <v>22</v>
      </c>
      <c r="AF43" s="31">
        <v>21</v>
      </c>
      <c r="AG43" s="31">
        <v>2</v>
      </c>
      <c r="AH43" s="31">
        <v>0.54909710766376352</v>
      </c>
      <c r="AI43" s="31">
        <v>2.5525299999999991</v>
      </c>
      <c r="AJ43" s="31">
        <f t="shared" si="27"/>
        <v>0.72929428571428545</v>
      </c>
      <c r="AK43" s="31">
        <v>0</v>
      </c>
      <c r="AL43" s="31">
        <v>8.4420303004077777</v>
      </c>
      <c r="AM43" s="31">
        <f t="shared" ref="AM43" si="44">AK43*AH43/1000</f>
        <v>0</v>
      </c>
      <c r="AN43" s="31">
        <f t="shared" si="29"/>
        <v>4.6354944207637628E-3</v>
      </c>
      <c r="AO43" s="31">
        <f t="shared" si="30"/>
        <v>2.1487808524931972E-5</v>
      </c>
      <c r="AP43" s="31">
        <f t="shared" si="31"/>
        <v>0</v>
      </c>
      <c r="AQ43" s="32">
        <f>SUM(AP$43:$AP44)</f>
        <v>0</v>
      </c>
      <c r="AR43" s="31" t="e">
        <f t="shared" si="32"/>
        <v>#DIV/0!</v>
      </c>
      <c r="AS43" s="31" t="e">
        <f t="shared" si="24"/>
        <v>#DIV/0!</v>
      </c>
      <c r="AT43" s="31" t="e">
        <f t="shared" si="33"/>
        <v>#DIV/0!</v>
      </c>
      <c r="AU43" s="31" t="e">
        <f t="shared" si="34"/>
        <v>#DIV/0!</v>
      </c>
      <c r="AV43" s="31" t="e">
        <f t="shared" si="35"/>
        <v>#DIV/0!</v>
      </c>
      <c r="AW43" s="31" t="e">
        <f t="shared" si="40"/>
        <v>#DIV/0!</v>
      </c>
      <c r="AX43" s="31" t="e">
        <f t="shared" si="41"/>
        <v>#DIV/0!</v>
      </c>
      <c r="AY43" s="31" t="e">
        <f t="shared" si="42"/>
        <v>#DIV/0!</v>
      </c>
      <c r="AZ43" s="4" t="e">
        <f t="shared" si="43"/>
        <v>#DIV/0!</v>
      </c>
      <c r="BA43" s="31" t="e">
        <f t="shared" si="25"/>
        <v>#DIV/0!</v>
      </c>
      <c r="BB43" s="31" t="e">
        <f t="shared" si="26"/>
        <v>#DIV/0!</v>
      </c>
    </row>
    <row r="44" spans="18:54" s="6" customFormat="1" x14ac:dyDescent="0.35"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</row>
    <row r="45" spans="18:54" s="6" customFormat="1" x14ac:dyDescent="0.35"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</row>
    <row r="46" spans="18:54" s="6" customFormat="1" x14ac:dyDescent="0.35"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</row>
  </sheetData>
  <mergeCells count="3">
    <mergeCell ref="R1:AA1"/>
    <mergeCell ref="AI2:AL2"/>
    <mergeCell ref="AI31:AL3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AC2</vt:lpstr>
      <vt:lpstr>M6-deep</vt:lpstr>
      <vt:lpstr>S3-deep</vt:lpstr>
      <vt:lpstr>S3-shallow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Balint, Sawyer</cp:lastModifiedBy>
  <dcterms:created xsi:type="dcterms:W3CDTF">2017-10-19T17:35:09Z</dcterms:created>
  <dcterms:modified xsi:type="dcterms:W3CDTF">2022-09-16T11:17:29Z</dcterms:modified>
</cp:coreProperties>
</file>