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erturk/Dropbox/Data/"/>
    </mc:Choice>
  </mc:AlternateContent>
  <xr:revisionPtr revIDLastSave="0" documentId="13_ncr:1_{E837BF87-DA0C-9D41-AC75-322D859CD68B}" xr6:coauthVersionLast="47" xr6:coauthVersionMax="47" xr10:uidLastSave="{00000000-0000-0000-0000-000000000000}"/>
  <bookViews>
    <workbookView xWindow="1460" yWindow="500" windowWidth="27340" windowHeight="15840" xr2:uid="{583B913C-6D25-4D2E-B396-F8F586C4A905}"/>
  </bookViews>
  <sheets>
    <sheet name="Bay_gascompilation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50" i="1" l="1"/>
  <c r="AM151" i="1"/>
  <c r="AM152" i="1"/>
  <c r="AM153" i="1"/>
  <c r="AM160" i="1"/>
  <c r="AM161" i="1"/>
  <c r="AM162" i="1"/>
  <c r="AM155" i="1"/>
  <c r="AM156" i="1"/>
  <c r="AM157" i="1"/>
  <c r="AM158" i="1"/>
  <c r="AM169" i="1"/>
  <c r="AM170" i="1"/>
  <c r="AM171" i="1"/>
  <c r="AM172" i="1"/>
  <c r="AM164" i="1"/>
  <c r="AM165" i="1"/>
  <c r="AM166" i="1"/>
  <c r="AM167" i="1"/>
  <c r="AM125" i="1"/>
  <c r="AM126" i="1"/>
  <c r="AM127" i="1"/>
  <c r="AM128" i="1"/>
  <c r="AM135" i="1"/>
  <c r="AM136" i="1"/>
  <c r="AM137" i="1"/>
  <c r="AM138" i="1"/>
  <c r="AM145" i="1"/>
  <c r="AM146" i="1"/>
  <c r="AM147" i="1"/>
  <c r="AM148" i="1"/>
  <c r="AM115" i="1"/>
  <c r="AM116" i="1"/>
  <c r="AM117" i="1"/>
  <c r="AM118" i="1"/>
  <c r="AM108" i="1"/>
  <c r="AM109" i="1"/>
  <c r="AM110" i="1"/>
  <c r="AM111" i="1"/>
  <c r="AM112" i="1"/>
  <c r="AM113" i="1"/>
  <c r="AM120" i="1"/>
  <c r="AM121" i="1"/>
  <c r="AM122" i="1"/>
  <c r="AM123" i="1"/>
  <c r="AM130" i="1"/>
  <c r="AM131" i="1"/>
  <c r="AM132" i="1"/>
  <c r="AM133" i="1"/>
  <c r="AM140" i="1" l="1"/>
  <c r="AM141" i="1"/>
  <c r="AM142" i="1"/>
  <c r="AM143" i="1"/>
  <c r="Q12" i="1" l="1"/>
  <c r="O12" i="1"/>
  <c r="O13" i="1"/>
  <c r="Q13" i="1"/>
  <c r="Q11" i="1"/>
  <c r="O11" i="1"/>
  <c r="O14" i="1"/>
  <c r="Q14" i="1"/>
  <c r="Q26" i="1"/>
  <c r="Q27" i="1"/>
  <c r="Q28" i="1"/>
  <c r="Q29" i="1"/>
  <c r="Q30" i="1"/>
  <c r="Q31" i="1"/>
  <c r="Q32" i="1"/>
  <c r="O34" i="1"/>
  <c r="Q34" i="1"/>
  <c r="Q35" i="1"/>
  <c r="O35" i="1"/>
  <c r="O36" i="1"/>
  <c r="Q36" i="1"/>
  <c r="Q37" i="1"/>
  <c r="O37" i="1"/>
  <c r="O61" i="1"/>
  <c r="O60" i="1"/>
  <c r="O59" i="1"/>
  <c r="O58" i="1"/>
  <c r="Q58" i="1"/>
  <c r="Q59" i="1"/>
  <c r="Q60" i="1"/>
  <c r="Q61" i="1"/>
  <c r="P129" i="1" l="1"/>
  <c r="R129" i="1"/>
  <c r="P139" i="1" l="1"/>
  <c r="R139" i="1"/>
  <c r="R149" i="1" l="1"/>
  <c r="P149" i="1"/>
  <c r="P119" i="1" l="1"/>
  <c r="R119" i="1"/>
  <c r="P114" i="1" l="1"/>
  <c r="R114" i="1"/>
  <c r="R124" i="1" l="1"/>
  <c r="P124" i="1"/>
  <c r="R134" i="1" l="1"/>
  <c r="P134" i="1"/>
  <c r="P144" i="1" l="1"/>
  <c r="I87" i="1" l="1"/>
  <c r="I86" i="1"/>
  <c r="F87" i="1"/>
  <c r="F86" i="1"/>
  <c r="E87" i="1"/>
  <c r="D87" i="1"/>
  <c r="E86" i="1"/>
  <c r="D86" i="1"/>
  <c r="D88" i="1"/>
  <c r="I134" i="1" l="1"/>
  <c r="I133" i="1"/>
  <c r="I132" i="1"/>
  <c r="I131" i="1"/>
  <c r="I130" i="1"/>
  <c r="I124" i="1"/>
  <c r="I123" i="1"/>
  <c r="I122" i="1"/>
  <c r="I121" i="1"/>
  <c r="I120" i="1"/>
  <c r="I114" i="1"/>
  <c r="I113" i="1"/>
  <c r="I112" i="1"/>
  <c r="I111" i="1"/>
  <c r="I110" i="1"/>
  <c r="I109" i="1"/>
  <c r="I108" i="1"/>
  <c r="I119" i="1"/>
  <c r="I118" i="1"/>
  <c r="I117" i="1"/>
  <c r="I116" i="1"/>
  <c r="I115" i="1"/>
  <c r="I139" i="1"/>
  <c r="I138" i="1"/>
  <c r="I137" i="1"/>
  <c r="I136" i="1"/>
  <c r="I135" i="1"/>
  <c r="I129" i="1"/>
  <c r="I128" i="1"/>
  <c r="I127" i="1"/>
  <c r="I126" i="1"/>
  <c r="I125" i="1"/>
  <c r="I107" i="1"/>
  <c r="I106" i="1"/>
  <c r="I105" i="1"/>
  <c r="I104" i="1"/>
  <c r="I93" i="1"/>
  <c r="I94" i="1"/>
  <c r="I95" i="1"/>
  <c r="I92" i="1"/>
  <c r="I97" i="1"/>
  <c r="I98" i="1"/>
  <c r="I99" i="1"/>
  <c r="I96" i="1"/>
  <c r="I91" i="1"/>
  <c r="I90" i="1"/>
  <c r="I89" i="1"/>
  <c r="I88" i="1"/>
  <c r="I85" i="1"/>
  <c r="I84" i="1"/>
  <c r="I83" i="1"/>
  <c r="I82" i="1"/>
  <c r="I81" i="1"/>
  <c r="I80" i="1"/>
  <c r="R151" i="1" l="1"/>
  <c r="R152" i="1"/>
  <c r="R153" i="1"/>
  <c r="R154" i="1"/>
  <c r="R160" i="1"/>
  <c r="R161" i="1"/>
  <c r="R162" i="1"/>
  <c r="R163" i="1"/>
  <c r="R155" i="1"/>
  <c r="R156" i="1"/>
  <c r="R157" i="1"/>
  <c r="R158" i="1"/>
  <c r="R159" i="1"/>
  <c r="R169" i="1"/>
  <c r="R170" i="1"/>
  <c r="R171" i="1"/>
  <c r="R172" i="1"/>
  <c r="R173" i="1"/>
  <c r="R164" i="1"/>
  <c r="R165" i="1"/>
  <c r="R166" i="1"/>
  <c r="R167" i="1"/>
  <c r="R168" i="1"/>
  <c r="R150" i="1"/>
  <c r="P151" i="1"/>
  <c r="P152" i="1"/>
  <c r="P153" i="1"/>
  <c r="P154" i="1"/>
  <c r="P160" i="1"/>
  <c r="P161" i="1"/>
  <c r="P162" i="1"/>
  <c r="P163" i="1"/>
  <c r="P155" i="1"/>
  <c r="P156" i="1"/>
  <c r="P157" i="1"/>
  <c r="P158" i="1"/>
  <c r="P159" i="1"/>
  <c r="P169" i="1"/>
  <c r="P170" i="1"/>
  <c r="P171" i="1"/>
  <c r="P172" i="1"/>
  <c r="P173" i="1"/>
  <c r="P164" i="1"/>
  <c r="P165" i="1"/>
  <c r="P166" i="1"/>
  <c r="P167" i="1"/>
  <c r="P168" i="1"/>
  <c r="P150" i="1"/>
  <c r="P38" i="1" l="1"/>
  <c r="P44" i="1" l="1"/>
  <c r="R44" i="1"/>
  <c r="R61" i="1"/>
  <c r="P61" i="1"/>
  <c r="P60" i="1"/>
  <c r="R58" i="1"/>
  <c r="P58" i="1"/>
  <c r="R20" i="1" l="1"/>
  <c r="P20" i="1"/>
  <c r="F20" i="1"/>
  <c r="E20" i="1"/>
  <c r="D20" i="1"/>
  <c r="R13" i="1"/>
  <c r="R34" i="1" l="1"/>
  <c r="R38" i="1"/>
  <c r="R103" i="1" l="1"/>
  <c r="P103" i="1"/>
  <c r="R102" i="1"/>
  <c r="P102" i="1"/>
  <c r="P101" i="1"/>
  <c r="R101" i="1"/>
  <c r="R100" i="1"/>
  <c r="P100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R107" i="1"/>
  <c r="P107" i="1"/>
  <c r="D107" i="1"/>
  <c r="E107" i="1"/>
  <c r="F107" i="1"/>
  <c r="R99" i="1"/>
  <c r="P99" i="1"/>
  <c r="D99" i="1"/>
  <c r="E99" i="1"/>
  <c r="F99" i="1"/>
  <c r="D104" i="1"/>
  <c r="E104" i="1"/>
  <c r="F104" i="1"/>
  <c r="P104" i="1"/>
  <c r="R104" i="1"/>
  <c r="R95" i="1"/>
  <c r="D95" i="1"/>
  <c r="E95" i="1"/>
  <c r="F95" i="1"/>
  <c r="R91" i="1" l="1"/>
  <c r="P91" i="1"/>
  <c r="D91" i="1"/>
  <c r="E91" i="1"/>
  <c r="F91" i="1"/>
  <c r="P83" i="1"/>
  <c r="P81" i="1"/>
  <c r="R75" i="1" l="1"/>
  <c r="P75" i="1"/>
  <c r="D75" i="1"/>
  <c r="E75" i="1"/>
  <c r="F75" i="1"/>
  <c r="R79" i="1" l="1"/>
  <c r="P79" i="1"/>
  <c r="D79" i="1"/>
  <c r="E79" i="1"/>
  <c r="F79" i="1"/>
  <c r="R67" i="1" l="1"/>
  <c r="P67" i="1"/>
  <c r="D67" i="1"/>
  <c r="E67" i="1"/>
  <c r="F67" i="1"/>
  <c r="R71" i="1" l="1"/>
  <c r="P71" i="1"/>
  <c r="R62" i="1" l="1"/>
  <c r="P62" i="1"/>
  <c r="R52" i="1"/>
  <c r="P52" i="1"/>
  <c r="R42" i="1"/>
  <c r="P42" i="1"/>
  <c r="R25" i="1"/>
  <c r="P25" i="1"/>
  <c r="R21" i="1"/>
  <c r="P21" i="1"/>
  <c r="R10" i="1"/>
  <c r="P10" i="1"/>
  <c r="R57" i="1"/>
  <c r="P57" i="1"/>
  <c r="F57" i="1"/>
  <c r="E57" i="1"/>
  <c r="D57" i="1"/>
  <c r="F62" i="1"/>
  <c r="E62" i="1"/>
  <c r="D62" i="1"/>
  <c r="D52" i="1"/>
  <c r="E52" i="1"/>
  <c r="F52" i="1"/>
  <c r="R47" i="1"/>
  <c r="P47" i="1"/>
  <c r="F47" i="1"/>
  <c r="E47" i="1"/>
  <c r="D47" i="1"/>
  <c r="F25" i="1"/>
  <c r="E25" i="1"/>
  <c r="D25" i="1"/>
  <c r="F21" i="1"/>
  <c r="E21" i="1"/>
  <c r="D21" i="1"/>
  <c r="D42" i="1"/>
  <c r="E42" i="1"/>
  <c r="F42" i="1"/>
  <c r="R33" i="1"/>
  <c r="P33" i="1"/>
  <c r="D33" i="1"/>
  <c r="E33" i="1"/>
  <c r="F33" i="1"/>
  <c r="D38" i="1"/>
  <c r="E38" i="1"/>
  <c r="F38" i="1"/>
  <c r="R15" i="1"/>
  <c r="P15" i="1"/>
  <c r="D15" i="1"/>
  <c r="F15" i="1"/>
  <c r="R6" i="1"/>
  <c r="D10" i="1" l="1"/>
  <c r="E10" i="1"/>
  <c r="F10" i="1"/>
  <c r="D6" i="1"/>
  <c r="E6" i="1"/>
  <c r="F6" i="1"/>
  <c r="D173" i="1" l="1"/>
  <c r="E173" i="1"/>
  <c r="F173" i="1"/>
  <c r="D168" i="1"/>
  <c r="E168" i="1"/>
  <c r="F168" i="1"/>
  <c r="D159" i="1"/>
  <c r="E159" i="1"/>
  <c r="F159" i="1"/>
  <c r="F163" i="1"/>
  <c r="E163" i="1"/>
  <c r="D163" i="1"/>
  <c r="F154" i="1"/>
  <c r="E154" i="1"/>
  <c r="D154" i="1"/>
  <c r="R145" i="1" l="1"/>
  <c r="R146" i="1"/>
  <c r="R147" i="1"/>
  <c r="R148" i="1"/>
  <c r="P145" i="1"/>
  <c r="P146" i="1"/>
  <c r="P147" i="1"/>
  <c r="P148" i="1"/>
  <c r="R140" i="1"/>
  <c r="R141" i="1"/>
  <c r="R142" i="1"/>
  <c r="R143" i="1"/>
  <c r="P140" i="1"/>
  <c r="P141" i="1"/>
  <c r="P142" i="1"/>
  <c r="P143" i="1"/>
  <c r="R135" i="1"/>
  <c r="R136" i="1"/>
  <c r="R137" i="1"/>
  <c r="R138" i="1"/>
  <c r="P135" i="1"/>
  <c r="P136" i="1"/>
  <c r="P137" i="1"/>
  <c r="P138" i="1"/>
  <c r="R130" i="1"/>
  <c r="R131" i="1"/>
  <c r="R132" i="1"/>
  <c r="R133" i="1"/>
  <c r="P130" i="1"/>
  <c r="P131" i="1"/>
  <c r="P132" i="1"/>
  <c r="P133" i="1"/>
  <c r="R125" i="1"/>
  <c r="R126" i="1"/>
  <c r="R127" i="1"/>
  <c r="R128" i="1"/>
  <c r="P125" i="1"/>
  <c r="P126" i="1"/>
  <c r="P127" i="1"/>
  <c r="P128" i="1"/>
  <c r="R121" i="1"/>
  <c r="R122" i="1"/>
  <c r="R123" i="1"/>
  <c r="R120" i="1"/>
  <c r="P121" i="1"/>
  <c r="P122" i="1"/>
  <c r="P123" i="1"/>
  <c r="P120" i="1"/>
  <c r="R116" i="1"/>
  <c r="R117" i="1"/>
  <c r="R118" i="1"/>
  <c r="R115" i="1"/>
  <c r="P116" i="1"/>
  <c r="P117" i="1"/>
  <c r="P118" i="1"/>
  <c r="P115" i="1"/>
  <c r="R109" i="1"/>
  <c r="R110" i="1"/>
  <c r="R111" i="1"/>
  <c r="R112" i="1"/>
  <c r="R113" i="1"/>
  <c r="R108" i="1"/>
  <c r="P109" i="1"/>
  <c r="P110" i="1"/>
  <c r="P111" i="1"/>
  <c r="P112" i="1"/>
  <c r="P113" i="1"/>
  <c r="P108" i="1"/>
  <c r="F167" i="1" l="1"/>
  <c r="E167" i="1"/>
  <c r="D167" i="1"/>
  <c r="F166" i="1"/>
  <c r="E166" i="1"/>
  <c r="D166" i="1"/>
  <c r="F165" i="1"/>
  <c r="E165" i="1"/>
  <c r="D165" i="1"/>
  <c r="F164" i="1"/>
  <c r="E164" i="1"/>
  <c r="D164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62" i="1"/>
  <c r="E162" i="1"/>
  <c r="D162" i="1"/>
  <c r="F161" i="1"/>
  <c r="E161" i="1"/>
  <c r="D161" i="1"/>
  <c r="F160" i="1"/>
  <c r="E160" i="1"/>
  <c r="D160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R106" i="1"/>
  <c r="P106" i="1"/>
  <c r="F106" i="1"/>
  <c r="E106" i="1"/>
  <c r="D106" i="1"/>
  <c r="R105" i="1"/>
  <c r="P105" i="1"/>
  <c r="F105" i="1"/>
  <c r="E105" i="1"/>
  <c r="D105" i="1"/>
  <c r="R98" i="1"/>
  <c r="P98" i="1"/>
  <c r="F98" i="1"/>
  <c r="E98" i="1"/>
  <c r="D98" i="1"/>
  <c r="R97" i="1"/>
  <c r="P97" i="1"/>
  <c r="F97" i="1"/>
  <c r="E97" i="1"/>
  <c r="D97" i="1"/>
  <c r="R96" i="1"/>
  <c r="P96" i="1"/>
  <c r="F96" i="1"/>
  <c r="E96" i="1"/>
  <c r="D96" i="1"/>
  <c r="R94" i="1"/>
  <c r="P94" i="1"/>
  <c r="F94" i="1"/>
  <c r="E94" i="1"/>
  <c r="D94" i="1"/>
  <c r="R93" i="1"/>
  <c r="P93" i="1"/>
  <c r="F93" i="1"/>
  <c r="E93" i="1"/>
  <c r="D93" i="1"/>
  <c r="R92" i="1"/>
  <c r="P92" i="1"/>
  <c r="F92" i="1"/>
  <c r="E92" i="1"/>
  <c r="D92" i="1"/>
  <c r="R90" i="1"/>
  <c r="P90" i="1"/>
  <c r="F90" i="1"/>
  <c r="E90" i="1"/>
  <c r="D90" i="1"/>
  <c r="R89" i="1"/>
  <c r="P89" i="1"/>
  <c r="F89" i="1"/>
  <c r="E89" i="1"/>
  <c r="D89" i="1"/>
  <c r="R88" i="1"/>
  <c r="P88" i="1"/>
  <c r="F88" i="1"/>
  <c r="E88" i="1"/>
  <c r="R85" i="1"/>
  <c r="P85" i="1"/>
  <c r="F85" i="1"/>
  <c r="E85" i="1"/>
  <c r="D85" i="1"/>
  <c r="R84" i="1"/>
  <c r="P84" i="1"/>
  <c r="F84" i="1"/>
  <c r="E84" i="1"/>
  <c r="D84" i="1"/>
  <c r="R82" i="1"/>
  <c r="P82" i="1"/>
  <c r="F82" i="1"/>
  <c r="E82" i="1"/>
  <c r="D82" i="1"/>
  <c r="R81" i="1"/>
  <c r="F81" i="1"/>
  <c r="E81" i="1"/>
  <c r="D81" i="1"/>
  <c r="R80" i="1"/>
  <c r="P80" i="1"/>
  <c r="F80" i="1"/>
  <c r="E80" i="1"/>
  <c r="D80" i="1"/>
  <c r="R78" i="1"/>
  <c r="P78" i="1"/>
  <c r="F78" i="1"/>
  <c r="E78" i="1"/>
  <c r="D78" i="1"/>
  <c r="R77" i="1"/>
  <c r="P77" i="1"/>
  <c r="F77" i="1"/>
  <c r="E77" i="1"/>
  <c r="D77" i="1"/>
  <c r="F76" i="1"/>
  <c r="E76" i="1"/>
  <c r="D76" i="1"/>
  <c r="R74" i="1"/>
  <c r="P74" i="1"/>
  <c r="F74" i="1"/>
  <c r="E74" i="1"/>
  <c r="D74" i="1"/>
  <c r="R73" i="1"/>
  <c r="P73" i="1"/>
  <c r="F73" i="1"/>
  <c r="E73" i="1"/>
  <c r="D73" i="1"/>
  <c r="R72" i="1"/>
  <c r="P72" i="1"/>
  <c r="F72" i="1"/>
  <c r="E72" i="1"/>
  <c r="D72" i="1"/>
  <c r="R70" i="1"/>
  <c r="P70" i="1"/>
  <c r="F70" i="1"/>
  <c r="E70" i="1"/>
  <c r="D70" i="1"/>
  <c r="R69" i="1"/>
  <c r="P69" i="1"/>
  <c r="F69" i="1"/>
  <c r="E69" i="1"/>
  <c r="D69" i="1"/>
  <c r="R68" i="1"/>
  <c r="P68" i="1"/>
  <c r="F68" i="1"/>
  <c r="E68" i="1"/>
  <c r="D68" i="1"/>
  <c r="R66" i="1"/>
  <c r="P66" i="1"/>
  <c r="F66" i="1"/>
  <c r="E66" i="1"/>
  <c r="D66" i="1"/>
  <c r="R65" i="1"/>
  <c r="P65" i="1"/>
  <c r="F65" i="1"/>
  <c r="E65" i="1"/>
  <c r="D65" i="1"/>
  <c r="R64" i="1"/>
  <c r="P64" i="1"/>
  <c r="F64" i="1"/>
  <c r="E64" i="1"/>
  <c r="D64" i="1"/>
  <c r="R63" i="1"/>
  <c r="P63" i="1"/>
  <c r="F63" i="1"/>
  <c r="E63" i="1"/>
  <c r="D63" i="1"/>
  <c r="R56" i="1"/>
  <c r="P56" i="1"/>
  <c r="F56" i="1"/>
  <c r="E56" i="1"/>
  <c r="D56" i="1"/>
  <c r="R55" i="1"/>
  <c r="P55" i="1"/>
  <c r="F55" i="1"/>
  <c r="E55" i="1"/>
  <c r="D55" i="1"/>
  <c r="R54" i="1"/>
  <c r="P54" i="1"/>
  <c r="F54" i="1"/>
  <c r="E54" i="1"/>
  <c r="D54" i="1"/>
  <c r="R53" i="1"/>
  <c r="P53" i="1"/>
  <c r="F53" i="1"/>
  <c r="E53" i="1"/>
  <c r="D53" i="1"/>
  <c r="F61" i="1"/>
  <c r="E61" i="1"/>
  <c r="D61" i="1"/>
  <c r="R60" i="1"/>
  <c r="F60" i="1"/>
  <c r="E60" i="1"/>
  <c r="D60" i="1"/>
  <c r="R59" i="1"/>
  <c r="P59" i="1"/>
  <c r="F59" i="1"/>
  <c r="E59" i="1"/>
  <c r="D59" i="1"/>
  <c r="F58" i="1"/>
  <c r="E58" i="1"/>
  <c r="D58" i="1"/>
  <c r="R51" i="1"/>
  <c r="P51" i="1"/>
  <c r="F51" i="1"/>
  <c r="E51" i="1"/>
  <c r="D51" i="1"/>
  <c r="R50" i="1"/>
  <c r="P50" i="1"/>
  <c r="F50" i="1"/>
  <c r="E50" i="1"/>
  <c r="D50" i="1"/>
  <c r="R49" i="1"/>
  <c r="P49" i="1"/>
  <c r="F49" i="1"/>
  <c r="E49" i="1"/>
  <c r="D49" i="1"/>
  <c r="R48" i="1"/>
  <c r="P48" i="1"/>
  <c r="F48" i="1"/>
  <c r="E48" i="1"/>
  <c r="D48" i="1"/>
  <c r="R46" i="1"/>
  <c r="P46" i="1"/>
  <c r="F46" i="1"/>
  <c r="E46" i="1"/>
  <c r="D46" i="1"/>
  <c r="R45" i="1"/>
  <c r="P45" i="1"/>
  <c r="F45" i="1"/>
  <c r="E45" i="1"/>
  <c r="D45" i="1"/>
  <c r="F44" i="1"/>
  <c r="E44" i="1"/>
  <c r="D44" i="1"/>
  <c r="R43" i="1"/>
  <c r="P43" i="1"/>
  <c r="F43" i="1"/>
  <c r="E43" i="1"/>
  <c r="D43" i="1"/>
  <c r="R41" i="1"/>
  <c r="P41" i="1"/>
  <c r="F41" i="1"/>
  <c r="E41" i="1"/>
  <c r="D41" i="1"/>
  <c r="R40" i="1"/>
  <c r="P40" i="1"/>
  <c r="F40" i="1"/>
  <c r="E40" i="1"/>
  <c r="D40" i="1"/>
  <c r="R39" i="1"/>
  <c r="P39" i="1"/>
  <c r="F39" i="1"/>
  <c r="E39" i="1"/>
  <c r="D39" i="1"/>
  <c r="R37" i="1"/>
  <c r="P37" i="1"/>
  <c r="F37" i="1"/>
  <c r="E37" i="1"/>
  <c r="D37" i="1"/>
  <c r="R36" i="1"/>
  <c r="P36" i="1"/>
  <c r="F36" i="1"/>
  <c r="E36" i="1"/>
  <c r="D36" i="1"/>
  <c r="R35" i="1"/>
  <c r="P35" i="1"/>
  <c r="F35" i="1"/>
  <c r="E35" i="1"/>
  <c r="D35" i="1"/>
  <c r="P34" i="1"/>
  <c r="F34" i="1"/>
  <c r="E34" i="1"/>
  <c r="D34" i="1"/>
  <c r="R32" i="1"/>
  <c r="P32" i="1"/>
  <c r="F32" i="1"/>
  <c r="E32" i="1"/>
  <c r="D32" i="1"/>
  <c r="R31" i="1"/>
  <c r="P31" i="1"/>
  <c r="F31" i="1"/>
  <c r="E31" i="1"/>
  <c r="D31" i="1"/>
  <c r="R30" i="1"/>
  <c r="P30" i="1"/>
  <c r="F30" i="1"/>
  <c r="E30" i="1"/>
  <c r="D30" i="1"/>
  <c r="R29" i="1"/>
  <c r="P29" i="1"/>
  <c r="F29" i="1"/>
  <c r="E29" i="1"/>
  <c r="D29" i="1"/>
  <c r="R28" i="1"/>
  <c r="P28" i="1"/>
  <c r="F28" i="1"/>
  <c r="E28" i="1"/>
  <c r="D28" i="1"/>
  <c r="R27" i="1"/>
  <c r="P27" i="1"/>
  <c r="F27" i="1"/>
  <c r="E27" i="1"/>
  <c r="D27" i="1"/>
  <c r="R26" i="1"/>
  <c r="P26" i="1"/>
  <c r="F26" i="1"/>
  <c r="E26" i="1"/>
  <c r="D26" i="1"/>
  <c r="R24" i="1"/>
  <c r="P24" i="1"/>
  <c r="F24" i="1"/>
  <c r="E24" i="1"/>
  <c r="D24" i="1"/>
  <c r="R23" i="1"/>
  <c r="P23" i="1"/>
  <c r="F23" i="1"/>
  <c r="E23" i="1"/>
  <c r="D23" i="1"/>
  <c r="R22" i="1"/>
  <c r="P22" i="1"/>
  <c r="F22" i="1"/>
  <c r="E22" i="1"/>
  <c r="D22" i="1"/>
  <c r="R19" i="1"/>
  <c r="P19" i="1"/>
  <c r="F19" i="1"/>
  <c r="E19" i="1"/>
  <c r="D19" i="1"/>
  <c r="R18" i="1"/>
  <c r="P18" i="1"/>
  <c r="F18" i="1"/>
  <c r="E18" i="1"/>
  <c r="D18" i="1"/>
  <c r="R17" i="1"/>
  <c r="P17" i="1"/>
  <c r="F17" i="1"/>
  <c r="E17" i="1"/>
  <c r="D17" i="1"/>
  <c r="R16" i="1"/>
  <c r="P16" i="1"/>
  <c r="F16" i="1"/>
  <c r="E16" i="1"/>
  <c r="D16" i="1"/>
  <c r="R14" i="1"/>
  <c r="P14" i="1"/>
  <c r="F14" i="1"/>
  <c r="D14" i="1"/>
  <c r="R11" i="1"/>
  <c r="P11" i="1"/>
  <c r="F11" i="1"/>
  <c r="D11" i="1"/>
  <c r="P13" i="1"/>
  <c r="F13" i="1"/>
  <c r="D13" i="1"/>
  <c r="R12" i="1"/>
  <c r="P12" i="1"/>
  <c r="F12" i="1"/>
  <c r="D12" i="1"/>
  <c r="R9" i="1"/>
  <c r="P9" i="1"/>
  <c r="F9" i="1"/>
  <c r="E9" i="1"/>
  <c r="D9" i="1"/>
  <c r="R8" i="1"/>
  <c r="P8" i="1"/>
  <c r="F8" i="1"/>
  <c r="E8" i="1"/>
  <c r="D8" i="1"/>
  <c r="R7" i="1"/>
  <c r="P7" i="1"/>
  <c r="F7" i="1"/>
  <c r="E7" i="1"/>
  <c r="D7" i="1"/>
  <c r="R5" i="1"/>
  <c r="P5" i="1"/>
  <c r="F5" i="1"/>
  <c r="E5" i="1"/>
  <c r="D5" i="1"/>
  <c r="R4" i="1"/>
  <c r="P4" i="1"/>
  <c r="F4" i="1"/>
  <c r="E4" i="1"/>
  <c r="D4" i="1"/>
  <c r="R3" i="1"/>
  <c r="P3" i="1"/>
  <c r="F3" i="1"/>
  <c r="E3" i="1"/>
  <c r="D3" i="1"/>
  <c r="R2" i="1"/>
  <c r="P2" i="1"/>
  <c r="F2" i="1"/>
  <c r="E2" i="1"/>
  <c r="D2" i="1"/>
</calcChain>
</file>

<file path=xl/sharedStrings.xml><?xml version="1.0" encoding="utf-8"?>
<sst xmlns="http://schemas.openxmlformats.org/spreadsheetml/2006/main" count="3307" uniqueCount="131">
  <si>
    <t>Site</t>
  </si>
  <si>
    <t>Coring Date</t>
  </si>
  <si>
    <t>Core ID</t>
  </si>
  <si>
    <t>Month</t>
  </si>
  <si>
    <t>Day</t>
  </si>
  <si>
    <t>Year</t>
  </si>
  <si>
    <t>Latitude</t>
  </si>
  <si>
    <t>Longitude</t>
  </si>
  <si>
    <t>Depth (m)</t>
  </si>
  <si>
    <t>Depth method</t>
  </si>
  <si>
    <t>Salinity (ppt)</t>
  </si>
  <si>
    <t>temp (dC)</t>
  </si>
  <si>
    <t>O2Flux, umol m-2 h-1</t>
  </si>
  <si>
    <t>N2Flux, umol m-2 h-1</t>
  </si>
  <si>
    <t>N2O flux, nmol m-2 h-1</t>
  </si>
  <si>
    <t>N2O flux, umol m-2 h-1</t>
  </si>
  <si>
    <t>CH4 flux, nmol m-2 h-1</t>
  </si>
  <si>
    <t>CH4 flux, umol m-2 h-1</t>
  </si>
  <si>
    <t>NH4+ (umol/L) (field surf)</t>
  </si>
  <si>
    <t>NO2- + NO3- (μmol/L) (field surf)</t>
  </si>
  <si>
    <t>NO2- (μmol/L) (field surf)</t>
  </si>
  <si>
    <t>PO43- (μmol/L) (field surf)</t>
  </si>
  <si>
    <t>NH4+ (umol/L) (field bot)</t>
  </si>
  <si>
    <t>NO2- + NO3- (μmol/L) (field bot)</t>
  </si>
  <si>
    <t>NO2- (μmol/L) (field bot)</t>
  </si>
  <si>
    <t>PO43- (μmol/L) (field bot)</t>
  </si>
  <si>
    <t>Nutrient collection method</t>
  </si>
  <si>
    <t>NH4+ Chemistry</t>
  </si>
  <si>
    <t>NH4+ Flux (umol m-2 h-1)</t>
  </si>
  <si>
    <t>NO2- Flux (umol m-2 h-1)</t>
  </si>
  <si>
    <t>NO2- + NO3- Flux (umol m-2 h-1)</t>
  </si>
  <si>
    <t>PO43- Flux (umol m-2 h-1)</t>
  </si>
  <si>
    <t>Dsi (umol/L) (field bot)</t>
  </si>
  <si>
    <t>Dsi se (field bot)</t>
  </si>
  <si>
    <t>Dsi n (field bot)</t>
  </si>
  <si>
    <t>Dsi (umol/L) (field surf)</t>
  </si>
  <si>
    <t>Dsi se (field surf)</t>
  </si>
  <si>
    <t>Dsi n (field surf)</t>
  </si>
  <si>
    <t>Dsi Flux (umol m-2 h-1)</t>
  </si>
  <si>
    <t>sed % N    0-1</t>
  </si>
  <si>
    <t>sed % C    0-1</t>
  </si>
  <si>
    <t>C:N            0-1</t>
  </si>
  <si>
    <t>sed % N    1-2</t>
  </si>
  <si>
    <t>sed % C    1-2</t>
  </si>
  <si>
    <t>C:N             1-2</t>
  </si>
  <si>
    <t>CN Method</t>
  </si>
  <si>
    <t>%OM        0-1</t>
  </si>
  <si>
    <t>%OM        1-2</t>
  </si>
  <si>
    <t>Biomass Dead  (g/cm3)</t>
  </si>
  <si>
    <t>Biomass Live  (g/cm3)</t>
  </si>
  <si>
    <t>WC Chl bot (ug/L)</t>
  </si>
  <si>
    <t>WC Phaeo bot (ug/L)</t>
  </si>
  <si>
    <t>WC Chl surf (ug/L)</t>
  </si>
  <si>
    <t>WC Phaeo surf (ug/L)</t>
  </si>
  <si>
    <t>TSS (mg/L) (field bot)</t>
  </si>
  <si>
    <t>TSS (mg/L) (field surf)</t>
  </si>
  <si>
    <t>Sed Chl a (0-1 cm) (mg m-2)</t>
  </si>
  <si>
    <t>Sed Phaeo (0-1 cm) (mg m-2)</t>
  </si>
  <si>
    <t>Sed Chl a (1-2 cm) (mg m-3)</t>
  </si>
  <si>
    <t>Sed Phaeo (1-2 cm) (mg m-3)</t>
  </si>
  <si>
    <t>Sed Chl a (2-3 cm) (mg m-3)</t>
  </si>
  <si>
    <t>Sed Phaeo (2-3 cm) (mg m-3)</t>
  </si>
  <si>
    <t>Sed Chl a (3-4 cm) (mg m-3)</t>
  </si>
  <si>
    <t>Sed Phaeo (3-4 cm) (mg m-3)</t>
  </si>
  <si>
    <t>Density (0-1 cm) (g/ml)</t>
  </si>
  <si>
    <t>Density (1-2 cm) (g/ml)</t>
  </si>
  <si>
    <t>Density (2-3 cm) (g/ml)</t>
  </si>
  <si>
    <t>Density (3-4cm) (g/ml)</t>
  </si>
  <si>
    <t>Porosity (0-1)</t>
  </si>
  <si>
    <t>Porosity (1-2)</t>
  </si>
  <si>
    <t>Porosity (2-3)</t>
  </si>
  <si>
    <t>Porosity (3-4)</t>
  </si>
  <si>
    <t>Mid Bay</t>
  </si>
  <si>
    <t>D</t>
  </si>
  <si>
    <t>NA</t>
  </si>
  <si>
    <t>B</t>
  </si>
  <si>
    <t>C</t>
  </si>
  <si>
    <t>A</t>
  </si>
  <si>
    <t>Mid Bay Control</t>
  </si>
  <si>
    <t>Prov</t>
  </si>
  <si>
    <t>Prov Control</t>
  </si>
  <si>
    <t>E</t>
  </si>
  <si>
    <t>CTRL</t>
  </si>
  <si>
    <t>Control</t>
  </si>
  <si>
    <t>H</t>
  </si>
  <si>
    <t>G</t>
  </si>
  <si>
    <t>F</t>
  </si>
  <si>
    <t>BUSIL EA</t>
  </si>
  <si>
    <t>Niskin</t>
  </si>
  <si>
    <t>phenol</t>
  </si>
  <si>
    <t>no name</t>
  </si>
  <si>
    <t>14 Control</t>
  </si>
  <si>
    <t>12 Control</t>
  </si>
  <si>
    <t>depth sounder</t>
  </si>
  <si>
    <t>Control 13</t>
  </si>
  <si>
    <t>4 Control</t>
  </si>
  <si>
    <t>31 Control</t>
  </si>
  <si>
    <t>19 Control</t>
  </si>
  <si>
    <t>Control 19</t>
  </si>
  <si>
    <t>Control 40</t>
  </si>
  <si>
    <t>Control 4</t>
  </si>
  <si>
    <t>CTRL 6</t>
  </si>
  <si>
    <t>CTRL 30</t>
  </si>
  <si>
    <t>CTRL 18</t>
  </si>
  <si>
    <t>&lt;MDL</t>
  </si>
  <si>
    <t>CTRL 17</t>
  </si>
  <si>
    <t>CTRL 50</t>
  </si>
  <si>
    <t>CTRL 21</t>
  </si>
  <si>
    <t>CTRL 75</t>
  </si>
  <si>
    <t>Data entered by: Alia Al-Haj</t>
  </si>
  <si>
    <t>Control corrected?</t>
  </si>
  <si>
    <t>Notes</t>
  </si>
  <si>
    <t>Nutrient Fluxes</t>
  </si>
  <si>
    <t>No</t>
  </si>
  <si>
    <t>Nutrient concentrations</t>
  </si>
  <si>
    <t>CH4 Flux</t>
  </si>
  <si>
    <t>N2O Flux</t>
  </si>
  <si>
    <t>N2 Flux</t>
  </si>
  <si>
    <t>2011 - 2013 are control corrected</t>
  </si>
  <si>
    <t>O2 Flux</t>
  </si>
  <si>
    <t>DSI</t>
  </si>
  <si>
    <t>2011 - 2019 corrected GHG data entered here. Corrected means calculated on spreadsheet updated in 2018</t>
  </si>
  <si>
    <t>8/24/16 GHG no control core because samples froze</t>
  </si>
  <si>
    <t>Missing: </t>
  </si>
  <si>
    <t>CN 2011-2012, 7/4/13</t>
  </si>
  <si>
    <t>%OM  2011-2012, 7/4/13</t>
  </si>
  <si>
    <t>Sed Chl a 2011 - 7/2013, 2014</t>
  </si>
  <si>
    <t>WC Chl a 2011 - 2012</t>
  </si>
  <si>
    <t>D/P 2011 - 7/2013</t>
  </si>
  <si>
    <t>DSi -10/14/17, 7/6/16, 7/31/14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</si>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</sst>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;@"/>
    <numFmt numFmtId="165" formatCode="0.0"/>
    <numFmt numFmtId="166" formatCode="0.000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43" fontId="2" fillId="0" borderId="0" xfId="1" applyFont="1" applyAlignment="1">
      <alignment horizontal="center"/>
    </xf>
    <xf numFmtId="0" fontId="5" fillId="0" borderId="0" xfId="0" applyFont="1"/>
    <xf numFmtId="167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2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165" fontId="0" fillId="2" borderId="0" xfId="0" applyNumberFormat="1" applyFill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6977-7002-42B0-8ACF-03FEA628020A}">
  <dimension ref="A1:BT173"/>
  <sheetViews>
    <sheetView tabSelected="1" zoomScale="90" zoomScaleNormal="90" workbookViewId="0">
      <pane ySplit="1" topLeftCell="A127" activePane="bottomLeft" state="frozen"/>
      <selection pane="bottomLeft" activeCell="A7" sqref="A7"/>
    </sheetView>
  </sheetViews>
  <sheetFormatPr baseColWidth="10" defaultColWidth="10.6640625" defaultRowHeight="14" x14ac:dyDescent="0.15"/>
  <cols>
    <col min="1" max="1" width="10.6640625" style="7"/>
    <col min="2" max="2" width="12.33203125" style="6" bestFit="1" customWidth="1"/>
    <col min="3" max="3" width="15" style="5" bestFit="1" customWidth="1"/>
    <col min="4" max="9" width="10.6640625" style="6"/>
    <col min="10" max="10" width="15.33203125" style="6" bestFit="1" customWidth="1"/>
    <col min="11" max="12" width="10.6640625" style="21"/>
    <col min="13" max="13" width="12.33203125" style="21" customWidth="1"/>
    <col min="14" max="14" width="12" style="21" customWidth="1"/>
    <col min="15" max="16" width="12.1640625" style="25" customWidth="1"/>
    <col min="17" max="17" width="18.33203125" style="25" bestFit="1" customWidth="1"/>
    <col min="18" max="18" width="10.6640625" style="25"/>
    <col min="19" max="19" width="10.6640625" style="5"/>
    <col min="20" max="27" width="10.6640625" style="6"/>
    <col min="28" max="32" width="10.6640625" style="21"/>
    <col min="33" max="38" width="10.6640625" style="6"/>
    <col min="39" max="45" width="10.6640625" style="21"/>
    <col min="46" max="48" width="10.6640625" style="6"/>
    <col min="49" max="49" width="11.33203125" style="6" bestFit="1" customWidth="1"/>
    <col min="50" max="54" width="11.33203125" style="6" customWidth="1"/>
    <col min="55" max="56" width="10.6640625" style="6"/>
    <col min="57" max="64" width="10.6640625" style="21"/>
    <col min="65" max="16384" width="10.6640625" style="6"/>
  </cols>
  <sheetData>
    <row r="1" spans="1:72" ht="60" x14ac:dyDescent="0.1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4" t="s">
        <v>18</v>
      </c>
      <c r="T1" s="16" t="s">
        <v>19</v>
      </c>
      <c r="U1" s="4" t="s">
        <v>20</v>
      </c>
      <c r="V1" s="4" t="s">
        <v>21</v>
      </c>
      <c r="W1" s="4" t="s">
        <v>22</v>
      </c>
      <c r="X1" s="16" t="s">
        <v>23</v>
      </c>
      <c r="Y1" s="4" t="s">
        <v>24</v>
      </c>
      <c r="Z1" s="4" t="s">
        <v>25</v>
      </c>
      <c r="AA1" s="4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0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15">
      <c r="A2" s="7" t="s">
        <v>72</v>
      </c>
      <c r="B2" s="8">
        <v>40779</v>
      </c>
      <c r="C2" s="5" t="s">
        <v>73</v>
      </c>
      <c r="D2" s="9">
        <f t="shared" ref="D2:D33" si="0">MONTH(B2)</f>
        <v>8</v>
      </c>
      <c r="E2" s="9">
        <f t="shared" ref="E2:E10" si="1">DAY(B2)</f>
        <v>24</v>
      </c>
      <c r="F2" s="9">
        <f t="shared" ref="F2:F33" si="2">YEAR(B2)</f>
        <v>2011</v>
      </c>
      <c r="G2" s="9"/>
      <c r="H2" s="9"/>
      <c r="I2" s="9"/>
      <c r="J2" s="9"/>
      <c r="K2" s="25">
        <v>21.3</v>
      </c>
      <c r="L2" s="25">
        <v>22</v>
      </c>
      <c r="M2" s="25">
        <v>418.58</v>
      </c>
      <c r="N2" s="25">
        <v>0</v>
      </c>
      <c r="O2" s="26">
        <v>27.832968563952427</v>
      </c>
      <c r="P2" s="27">
        <f>O2/1000</f>
        <v>2.7832968563952426E-2</v>
      </c>
      <c r="Q2" s="26">
        <v>407.73960168219014</v>
      </c>
      <c r="R2" s="27">
        <f t="shared" ref="R2:R33" si="3">Q2/1000</f>
        <v>0.40773960168219014</v>
      </c>
      <c r="AC2" s="21">
        <v>3.8714063316062743</v>
      </c>
      <c r="AD2" s="21">
        <v>15.703994611398958</v>
      </c>
      <c r="AE2" s="21">
        <v>13.316030673575138</v>
      </c>
      <c r="AF2" s="21">
        <v>-14.379178756476676</v>
      </c>
      <c r="AN2" s="22"/>
      <c r="AO2" s="22"/>
      <c r="AP2" s="22"/>
      <c r="AQ2" s="22"/>
      <c r="AR2" s="22"/>
      <c r="AS2" s="22"/>
      <c r="AT2" s="4"/>
      <c r="AW2" s="6" t="s">
        <v>74</v>
      </c>
      <c r="AX2" s="6" t="s">
        <v>74</v>
      </c>
      <c r="AY2" s="24"/>
      <c r="AZ2" s="24"/>
      <c r="BA2" s="24"/>
      <c r="BB2" s="24"/>
      <c r="BC2" s="6" t="s">
        <v>74</v>
      </c>
      <c r="BD2" s="6" t="s">
        <v>74</v>
      </c>
    </row>
    <row r="3" spans="1:72" x14ac:dyDescent="0.15">
      <c r="A3" s="7" t="s">
        <v>72</v>
      </c>
      <c r="B3" s="8">
        <v>40779</v>
      </c>
      <c r="C3" s="5" t="s">
        <v>75</v>
      </c>
      <c r="D3" s="9">
        <f t="shared" si="0"/>
        <v>8</v>
      </c>
      <c r="E3" s="9">
        <f t="shared" si="1"/>
        <v>24</v>
      </c>
      <c r="F3" s="9">
        <f t="shared" si="2"/>
        <v>2011</v>
      </c>
      <c r="G3" s="9"/>
      <c r="H3" s="9"/>
      <c r="I3" s="9"/>
      <c r="J3" s="9"/>
      <c r="K3" s="25">
        <v>21.3</v>
      </c>
      <c r="L3" s="25">
        <v>22</v>
      </c>
      <c r="M3" s="25">
        <v>648.85</v>
      </c>
      <c r="N3" s="25">
        <v>-33.65</v>
      </c>
      <c r="O3" s="26">
        <v>30.197657034458619</v>
      </c>
      <c r="P3" s="27">
        <f>O3/1000</f>
        <v>3.0197657034458619E-2</v>
      </c>
      <c r="Q3" s="26">
        <v>511.09993174402013</v>
      </c>
      <c r="R3" s="27">
        <f t="shared" si="3"/>
        <v>0.51109993174402013</v>
      </c>
      <c r="S3" s="10"/>
      <c r="T3" s="11"/>
      <c r="AC3" s="21">
        <v>483.08134081818139</v>
      </c>
      <c r="AD3" s="21">
        <v>25.951338636363612</v>
      </c>
      <c r="AE3" s="21">
        <v>6.8158442424242525</v>
      </c>
      <c r="AF3" s="21">
        <v>13.884579545454548</v>
      </c>
      <c r="AN3" s="22"/>
      <c r="AO3" s="22"/>
      <c r="AP3" s="22"/>
      <c r="AQ3" s="22"/>
      <c r="AR3" s="22"/>
      <c r="AS3" s="22"/>
      <c r="AT3" s="4"/>
      <c r="AW3" s="6" t="s">
        <v>74</v>
      </c>
      <c r="AX3" s="6" t="s">
        <v>74</v>
      </c>
      <c r="BC3" s="6" t="s">
        <v>74</v>
      </c>
      <c r="BD3" s="6" t="s">
        <v>74</v>
      </c>
    </row>
    <row r="4" spans="1:72" x14ac:dyDescent="0.15">
      <c r="A4" s="7" t="s">
        <v>72</v>
      </c>
      <c r="B4" s="8">
        <v>40779</v>
      </c>
      <c r="C4" s="5" t="s">
        <v>76</v>
      </c>
      <c r="D4" s="9">
        <f t="shared" si="0"/>
        <v>8</v>
      </c>
      <c r="E4" s="9">
        <f t="shared" si="1"/>
        <v>24</v>
      </c>
      <c r="F4" s="9">
        <f t="shared" si="2"/>
        <v>2011</v>
      </c>
      <c r="G4" s="9"/>
      <c r="H4" s="9"/>
      <c r="I4" s="9"/>
      <c r="J4" s="9"/>
      <c r="K4" s="25">
        <v>21.3</v>
      </c>
      <c r="L4" s="25">
        <v>22</v>
      </c>
      <c r="M4" s="25">
        <v>495.6</v>
      </c>
      <c r="N4" s="25">
        <v>-40.64</v>
      </c>
      <c r="O4" s="25">
        <v>0</v>
      </c>
      <c r="P4" s="25">
        <f>O4/1000</f>
        <v>0</v>
      </c>
      <c r="Q4" s="26">
        <v>512.70081416739617</v>
      </c>
      <c r="R4" s="27">
        <f t="shared" si="3"/>
        <v>0.51270081416739621</v>
      </c>
      <c r="S4" s="10"/>
      <c r="T4" s="11"/>
      <c r="AC4" s="21">
        <v>-17.611748035714232</v>
      </c>
      <c r="AD4" s="21">
        <v>20.198734438775503</v>
      </c>
      <c r="AE4" s="21">
        <v>37.960158673469351</v>
      </c>
      <c r="AF4" s="21">
        <v>-3.5762946428571483</v>
      </c>
      <c r="AW4" s="6" t="s">
        <v>74</v>
      </c>
      <c r="AX4" s="6" t="s">
        <v>74</v>
      </c>
      <c r="BC4" s="6" t="s">
        <v>74</v>
      </c>
      <c r="BD4" s="6" t="s">
        <v>74</v>
      </c>
    </row>
    <row r="5" spans="1:72" x14ac:dyDescent="0.15">
      <c r="A5" s="7" t="s">
        <v>72</v>
      </c>
      <c r="B5" s="8">
        <v>40779</v>
      </c>
      <c r="C5" s="5" t="s">
        <v>77</v>
      </c>
      <c r="D5" s="9">
        <f t="shared" si="0"/>
        <v>8</v>
      </c>
      <c r="E5" s="9">
        <f t="shared" si="1"/>
        <v>24</v>
      </c>
      <c r="F5" s="9">
        <f t="shared" si="2"/>
        <v>2011</v>
      </c>
      <c r="G5" s="9"/>
      <c r="H5" s="9"/>
      <c r="I5" s="9"/>
      <c r="J5" s="9"/>
      <c r="K5" s="25">
        <v>21.3</v>
      </c>
      <c r="L5" s="25">
        <v>22</v>
      </c>
      <c r="M5" s="25">
        <v>1501.98</v>
      </c>
      <c r="N5" s="25">
        <v>-113.83</v>
      </c>
      <c r="O5" s="25">
        <v>0</v>
      </c>
      <c r="P5" s="25">
        <f>O5/1000</f>
        <v>0</v>
      </c>
      <c r="Q5" s="26">
        <v>529.16453465427435</v>
      </c>
      <c r="R5" s="27">
        <f t="shared" si="3"/>
        <v>0.52916453465427438</v>
      </c>
      <c r="S5" s="10"/>
      <c r="T5" s="11"/>
      <c r="AC5" s="21">
        <v>484.29209293400959</v>
      </c>
      <c r="AD5" s="21">
        <v>45.042578680203</v>
      </c>
      <c r="AE5" s="21">
        <v>34.560603045685248</v>
      </c>
      <c r="AF5" s="21">
        <v>3.3760964467005001</v>
      </c>
      <c r="AW5" s="6" t="s">
        <v>74</v>
      </c>
      <c r="AX5" s="6" t="s">
        <v>74</v>
      </c>
      <c r="BC5" s="6" t="s">
        <v>74</v>
      </c>
      <c r="BD5" s="6" t="s">
        <v>74</v>
      </c>
    </row>
    <row r="6" spans="1:72" x14ac:dyDescent="0.15">
      <c r="A6" s="7" t="s">
        <v>72</v>
      </c>
      <c r="B6" s="8">
        <v>40779</v>
      </c>
      <c r="C6" s="5" t="s">
        <v>78</v>
      </c>
      <c r="D6" s="9">
        <f t="shared" si="0"/>
        <v>8</v>
      </c>
      <c r="E6" s="9">
        <f t="shared" si="1"/>
        <v>24</v>
      </c>
      <c r="F6" s="9">
        <f t="shared" si="2"/>
        <v>2011</v>
      </c>
      <c r="G6" s="9"/>
      <c r="H6" s="9"/>
      <c r="I6" s="9"/>
      <c r="J6" s="9"/>
      <c r="K6" s="25">
        <v>21.3</v>
      </c>
      <c r="L6" s="25">
        <v>22</v>
      </c>
      <c r="M6" s="26">
        <v>-324.84076433121027</v>
      </c>
      <c r="N6" s="26">
        <v>129.93630573248407</v>
      </c>
      <c r="O6" s="25">
        <v>0</v>
      </c>
      <c r="P6" s="25">
        <v>0</v>
      </c>
      <c r="Q6" s="25">
        <v>0</v>
      </c>
      <c r="R6" s="25">
        <f t="shared" si="3"/>
        <v>0</v>
      </c>
      <c r="S6" s="10"/>
      <c r="T6" s="11"/>
      <c r="AW6" s="6" t="s">
        <v>74</v>
      </c>
      <c r="AX6" s="6" t="s">
        <v>74</v>
      </c>
      <c r="BC6" s="6" t="s">
        <v>74</v>
      </c>
      <c r="BD6" s="6" t="s">
        <v>74</v>
      </c>
    </row>
    <row r="7" spans="1:72" x14ac:dyDescent="0.15">
      <c r="A7" s="7" t="s">
        <v>79</v>
      </c>
      <c r="B7" s="8">
        <v>40779</v>
      </c>
      <c r="C7" s="5" t="s">
        <v>76</v>
      </c>
      <c r="D7" s="9">
        <f t="shared" si="0"/>
        <v>8</v>
      </c>
      <c r="E7" s="9">
        <f t="shared" si="1"/>
        <v>24</v>
      </c>
      <c r="F7" s="9">
        <f t="shared" si="2"/>
        <v>2011</v>
      </c>
      <c r="G7" s="9"/>
      <c r="H7" s="9"/>
      <c r="I7" s="9"/>
      <c r="J7" s="9"/>
      <c r="K7" s="25">
        <v>21.1</v>
      </c>
      <c r="L7" s="25">
        <v>22</v>
      </c>
      <c r="M7" s="26">
        <v>5576</v>
      </c>
      <c r="N7" s="26">
        <v>151.1</v>
      </c>
      <c r="O7" s="26">
        <v>-145.66543309777546</v>
      </c>
      <c r="P7" s="27">
        <f t="shared" ref="P7:P38" si="4">O7/1000</f>
        <v>-0.14566543309777547</v>
      </c>
      <c r="Q7" s="26">
        <v>-1240.0594504043088</v>
      </c>
      <c r="R7" s="27">
        <f t="shared" si="3"/>
        <v>-1.2400594504043088</v>
      </c>
      <c r="S7" s="10"/>
      <c r="T7" s="11"/>
      <c r="AC7" s="21">
        <v>-610.20188083953497</v>
      </c>
      <c r="AD7" s="21">
        <v>21.859417674418605</v>
      </c>
      <c r="AE7" s="21">
        <v>48.55733419534883</v>
      </c>
      <c r="AF7" s="21">
        <v>-10.190500241860471</v>
      </c>
      <c r="AW7" s="6" t="s">
        <v>74</v>
      </c>
      <c r="AX7" s="6" t="s">
        <v>74</v>
      </c>
      <c r="BC7" s="6" t="s">
        <v>74</v>
      </c>
      <c r="BD7" s="6" t="s">
        <v>74</v>
      </c>
    </row>
    <row r="8" spans="1:72" x14ac:dyDescent="0.15">
      <c r="A8" s="7" t="s">
        <v>79</v>
      </c>
      <c r="B8" s="8">
        <v>40779</v>
      </c>
      <c r="C8" s="5" t="s">
        <v>75</v>
      </c>
      <c r="D8" s="9">
        <f t="shared" si="0"/>
        <v>8</v>
      </c>
      <c r="E8" s="9">
        <f t="shared" si="1"/>
        <v>24</v>
      </c>
      <c r="F8" s="9">
        <f t="shared" si="2"/>
        <v>2011</v>
      </c>
      <c r="G8" s="9"/>
      <c r="H8" s="9"/>
      <c r="I8" s="9"/>
      <c r="J8" s="9"/>
      <c r="K8" s="25">
        <v>21.1</v>
      </c>
      <c r="L8" s="25">
        <v>22</v>
      </c>
      <c r="M8" s="26">
        <v>7425</v>
      </c>
      <c r="N8" s="26">
        <v>30.4</v>
      </c>
      <c r="O8" s="25">
        <v>0</v>
      </c>
      <c r="P8" s="25">
        <f t="shared" si="4"/>
        <v>0</v>
      </c>
      <c r="Q8" s="26">
        <v>-669.43149327962817</v>
      </c>
      <c r="R8" s="27">
        <f t="shared" si="3"/>
        <v>-0.66943149327962814</v>
      </c>
      <c r="S8" s="10"/>
      <c r="T8" s="11"/>
      <c r="AC8" s="21">
        <v>-43.243017861111099</v>
      </c>
      <c r="AD8" s="21">
        <v>16.281824444444432</v>
      </c>
      <c r="AE8" s="21">
        <v>18.580285777777753</v>
      </c>
      <c r="AF8" s="21">
        <v>-7.4152639999999908</v>
      </c>
      <c r="AW8" s="6" t="s">
        <v>74</v>
      </c>
      <c r="AX8" s="6" t="s">
        <v>74</v>
      </c>
      <c r="BC8" s="6" t="s">
        <v>74</v>
      </c>
      <c r="BD8" s="6" t="s">
        <v>74</v>
      </c>
    </row>
    <row r="9" spans="1:72" x14ac:dyDescent="0.15">
      <c r="A9" s="7" t="s">
        <v>79</v>
      </c>
      <c r="B9" s="8">
        <v>40779</v>
      </c>
      <c r="C9" s="5" t="s">
        <v>77</v>
      </c>
      <c r="D9" s="9">
        <f t="shared" si="0"/>
        <v>8</v>
      </c>
      <c r="E9" s="9">
        <f t="shared" si="1"/>
        <v>24</v>
      </c>
      <c r="F9" s="9">
        <f t="shared" si="2"/>
        <v>2011</v>
      </c>
      <c r="G9" s="9"/>
      <c r="H9" s="9"/>
      <c r="I9" s="9"/>
      <c r="J9" s="9"/>
      <c r="K9" s="25">
        <v>21.1</v>
      </c>
      <c r="L9" s="25">
        <v>22</v>
      </c>
      <c r="M9" s="26">
        <v>3678</v>
      </c>
      <c r="N9" s="26">
        <v>17.600000000000001</v>
      </c>
      <c r="O9" s="25">
        <v>0</v>
      </c>
      <c r="P9" s="25">
        <f t="shared" si="4"/>
        <v>0</v>
      </c>
      <c r="Q9" s="26">
        <v>851.88419499147687</v>
      </c>
      <c r="R9" s="27">
        <f t="shared" si="3"/>
        <v>0.85188419499147683</v>
      </c>
      <c r="S9" s="10"/>
      <c r="T9" s="11"/>
      <c r="AC9" s="21">
        <v>16.519712658932736</v>
      </c>
      <c r="AD9" s="21">
        <v>-19.351448352668218</v>
      </c>
      <c r="AE9" s="21">
        <v>-34.64764488167053</v>
      </c>
      <c r="AF9" s="21">
        <v>-8.836927851508122</v>
      </c>
      <c r="AW9" s="6" t="s">
        <v>74</v>
      </c>
      <c r="AX9" s="6" t="s">
        <v>74</v>
      </c>
      <c r="BC9" s="6" t="s">
        <v>74</v>
      </c>
      <c r="BD9" s="6" t="s">
        <v>74</v>
      </c>
    </row>
    <row r="10" spans="1:72" x14ac:dyDescent="0.15">
      <c r="A10" s="7" t="s">
        <v>79</v>
      </c>
      <c r="B10" s="8">
        <v>40779</v>
      </c>
      <c r="C10" s="5" t="s">
        <v>80</v>
      </c>
      <c r="D10" s="9">
        <f t="shared" si="0"/>
        <v>8</v>
      </c>
      <c r="E10" s="9">
        <f t="shared" si="1"/>
        <v>24</v>
      </c>
      <c r="F10" s="9">
        <f t="shared" si="2"/>
        <v>2011</v>
      </c>
      <c r="G10" s="9"/>
      <c r="H10" s="9"/>
      <c r="I10" s="9"/>
      <c r="J10" s="9"/>
      <c r="K10" s="25">
        <v>21.1</v>
      </c>
      <c r="L10" s="25">
        <v>22</v>
      </c>
      <c r="M10" s="26" t="s">
        <v>74</v>
      </c>
      <c r="N10" s="26" t="s">
        <v>74</v>
      </c>
      <c r="O10" s="25">
        <v>0</v>
      </c>
      <c r="P10" s="25">
        <f t="shared" si="4"/>
        <v>0</v>
      </c>
      <c r="Q10" s="25">
        <v>0</v>
      </c>
      <c r="R10" s="25">
        <f t="shared" si="3"/>
        <v>0</v>
      </c>
      <c r="S10" s="10"/>
      <c r="T10" s="11"/>
      <c r="AW10" s="6" t="s">
        <v>74</v>
      </c>
      <c r="AX10" s="6" t="s">
        <v>74</v>
      </c>
      <c r="BC10" s="6" t="s">
        <v>74</v>
      </c>
      <c r="BD10" s="6" t="s">
        <v>74</v>
      </c>
    </row>
    <row r="11" spans="1:72" x14ac:dyDescent="0.15">
      <c r="A11" s="7" t="s">
        <v>72</v>
      </c>
      <c r="B11" s="8">
        <v>40909</v>
      </c>
      <c r="C11" s="5" t="s">
        <v>76</v>
      </c>
      <c r="D11" s="9">
        <f t="shared" si="0"/>
        <v>1</v>
      </c>
      <c r="E11" s="9">
        <v>12</v>
      </c>
      <c r="F11" s="9">
        <f t="shared" si="2"/>
        <v>2012</v>
      </c>
      <c r="G11" s="9"/>
      <c r="H11" s="9"/>
      <c r="I11" s="9"/>
      <c r="J11" s="9"/>
      <c r="K11" s="25">
        <v>29.9</v>
      </c>
      <c r="L11" s="25">
        <v>6</v>
      </c>
      <c r="M11" s="25">
        <v>557.46</v>
      </c>
      <c r="N11" s="25">
        <v>42.98</v>
      </c>
      <c r="O11" s="26">
        <f>-6.88355038353313</f>
        <v>-6.8835503835331302</v>
      </c>
      <c r="P11" s="27">
        <f t="shared" si="4"/>
        <v>-6.8835503835331302E-3</v>
      </c>
      <c r="Q11" s="26">
        <f>0</f>
        <v>0</v>
      </c>
      <c r="R11" s="25">
        <f t="shared" si="3"/>
        <v>0</v>
      </c>
      <c r="AC11" s="21">
        <v>273.5708370781249</v>
      </c>
      <c r="AD11" s="21">
        <v>-4.623234375</v>
      </c>
      <c r="AE11" s="21">
        <v>11.502469375000004</v>
      </c>
      <c r="AF11" s="21">
        <v>-0.94918359375000061</v>
      </c>
      <c r="AM11" s="21">
        <v>23.559301470588245</v>
      </c>
      <c r="AW11" s="6" t="s">
        <v>74</v>
      </c>
      <c r="AX11" s="6" t="s">
        <v>74</v>
      </c>
      <c r="BC11" s="6" t="s">
        <v>74</v>
      </c>
      <c r="BD11" s="6" t="s">
        <v>74</v>
      </c>
    </row>
    <row r="12" spans="1:72" x14ac:dyDescent="0.15">
      <c r="A12" s="7" t="s">
        <v>72</v>
      </c>
      <c r="B12" s="8">
        <v>40919</v>
      </c>
      <c r="C12" s="5" t="s">
        <v>75</v>
      </c>
      <c r="D12" s="9">
        <f t="shared" si="0"/>
        <v>1</v>
      </c>
      <c r="E12" s="9">
        <v>12</v>
      </c>
      <c r="F12" s="9">
        <f t="shared" si="2"/>
        <v>2012</v>
      </c>
      <c r="G12" s="9"/>
      <c r="H12" s="9"/>
      <c r="I12" s="9"/>
      <c r="J12" s="9"/>
      <c r="K12" s="25">
        <v>29.9</v>
      </c>
      <c r="L12" s="25">
        <v>6</v>
      </c>
      <c r="M12" s="25">
        <v>398.42</v>
      </c>
      <c r="N12" s="25">
        <v>16.77</v>
      </c>
      <c r="O12" s="26">
        <f>5.96237411241426</f>
        <v>5.9623741124142597</v>
      </c>
      <c r="P12" s="27">
        <f t="shared" si="4"/>
        <v>5.9623741124142596E-3</v>
      </c>
      <c r="Q12" s="26">
        <f>0</f>
        <v>0</v>
      </c>
      <c r="R12" s="25">
        <f t="shared" si="3"/>
        <v>0</v>
      </c>
      <c r="AC12" s="21">
        <v>13.60099680628273</v>
      </c>
      <c r="AD12" s="21">
        <v>-5.9407944502617811</v>
      </c>
      <c r="AE12" s="21">
        <v>7.204602722513064</v>
      </c>
      <c r="AF12" s="21">
        <v>-0.6914332460732957</v>
      </c>
      <c r="AM12" s="21">
        <v>53.70564224402208</v>
      </c>
      <c r="AW12" s="6" t="s">
        <v>74</v>
      </c>
      <c r="AX12" s="6" t="s">
        <v>74</v>
      </c>
      <c r="BC12" s="6" t="s">
        <v>74</v>
      </c>
      <c r="BD12" s="6" t="s">
        <v>74</v>
      </c>
    </row>
    <row r="13" spans="1:72" x14ac:dyDescent="0.15">
      <c r="A13" s="7" t="s">
        <v>72</v>
      </c>
      <c r="B13" s="8">
        <v>40919</v>
      </c>
      <c r="C13" s="5" t="s">
        <v>81</v>
      </c>
      <c r="D13" s="9">
        <f t="shared" si="0"/>
        <v>1</v>
      </c>
      <c r="E13" s="9">
        <v>12</v>
      </c>
      <c r="F13" s="9">
        <f t="shared" si="2"/>
        <v>2012</v>
      </c>
      <c r="G13" s="9"/>
      <c r="H13" s="9"/>
      <c r="I13" s="9"/>
      <c r="J13" s="9"/>
      <c r="K13" s="25">
        <v>29.9</v>
      </c>
      <c r="L13" s="25">
        <v>6</v>
      </c>
      <c r="M13" s="25">
        <v>308.75</v>
      </c>
      <c r="N13" s="25">
        <v>10.89</v>
      </c>
      <c r="O13" s="26">
        <f>5.185487683622</f>
        <v>5.1854876836220001</v>
      </c>
      <c r="P13" s="27">
        <f t="shared" si="4"/>
        <v>5.1854876836220001E-3</v>
      </c>
      <c r="Q13" s="26">
        <f>0</f>
        <v>0</v>
      </c>
      <c r="R13" s="25">
        <f t="shared" si="3"/>
        <v>0</v>
      </c>
      <c r="AC13" s="21">
        <v>69.581625960000082</v>
      </c>
      <c r="AD13" s="21">
        <v>-9.0447984000000066</v>
      </c>
      <c r="AE13" s="21">
        <v>-3.5896343999999583</v>
      </c>
      <c r="AF13" s="21">
        <v>18.75258000000002</v>
      </c>
      <c r="AM13" s="21">
        <v>41.170926517571864</v>
      </c>
      <c r="AW13" s="6" t="s">
        <v>74</v>
      </c>
      <c r="AX13" s="6" t="s">
        <v>74</v>
      </c>
      <c r="BC13" s="6" t="s">
        <v>74</v>
      </c>
      <c r="BD13" s="6" t="s">
        <v>74</v>
      </c>
    </row>
    <row r="14" spans="1:72" x14ac:dyDescent="0.15">
      <c r="A14" s="7" t="s">
        <v>72</v>
      </c>
      <c r="B14" s="8">
        <v>40919</v>
      </c>
      <c r="C14" s="5" t="s">
        <v>73</v>
      </c>
      <c r="D14" s="9">
        <f t="shared" si="0"/>
        <v>1</v>
      </c>
      <c r="E14" s="9">
        <v>12</v>
      </c>
      <c r="F14" s="9">
        <f t="shared" si="2"/>
        <v>2012</v>
      </c>
      <c r="G14" s="9"/>
      <c r="H14" s="9"/>
      <c r="I14" s="9"/>
      <c r="J14" s="9"/>
      <c r="K14" s="25">
        <v>29.9</v>
      </c>
      <c r="L14" s="25">
        <v>6</v>
      </c>
      <c r="M14" s="25">
        <v>664.98</v>
      </c>
      <c r="N14" s="25">
        <v>42.53</v>
      </c>
      <c r="O14" s="26">
        <f>12.5672875918162</f>
        <v>12.5672875918162</v>
      </c>
      <c r="P14" s="27">
        <f t="shared" si="4"/>
        <v>1.25672875918162E-2</v>
      </c>
      <c r="Q14" s="26">
        <f>39.1037277511202</f>
        <v>39.103727751120203</v>
      </c>
      <c r="R14" s="27">
        <f t="shared" si="3"/>
        <v>3.9103727751120206E-2</v>
      </c>
      <c r="AC14" s="21">
        <v>52.816153877862632</v>
      </c>
      <c r="AD14" s="21">
        <v>-8.506817862595426</v>
      </c>
      <c r="AE14" s="21">
        <v>9.0838593893130621</v>
      </c>
      <c r="AF14" s="21">
        <v>-11.520704198473286</v>
      </c>
      <c r="AM14" s="21">
        <v>37.476678866963717</v>
      </c>
      <c r="AW14" s="6" t="s">
        <v>74</v>
      </c>
      <c r="AX14" s="6" t="s">
        <v>74</v>
      </c>
      <c r="BC14" s="6" t="s">
        <v>74</v>
      </c>
      <c r="BD14" s="6" t="s">
        <v>74</v>
      </c>
    </row>
    <row r="15" spans="1:72" x14ac:dyDescent="0.15">
      <c r="A15" s="7" t="s">
        <v>72</v>
      </c>
      <c r="B15" s="8">
        <v>40919</v>
      </c>
      <c r="C15" s="5" t="s">
        <v>82</v>
      </c>
      <c r="D15" s="9">
        <f t="shared" si="0"/>
        <v>1</v>
      </c>
      <c r="E15" s="9">
        <v>12</v>
      </c>
      <c r="F15" s="9">
        <f t="shared" si="2"/>
        <v>2012</v>
      </c>
      <c r="G15" s="9"/>
      <c r="H15" s="9"/>
      <c r="I15" s="9"/>
      <c r="J15" s="9"/>
      <c r="K15" s="25">
        <v>29.9</v>
      </c>
      <c r="L15" s="25">
        <v>6</v>
      </c>
      <c r="M15" s="26">
        <v>76.433121019108285</v>
      </c>
      <c r="N15" s="25">
        <v>0</v>
      </c>
      <c r="O15" s="26">
        <v>-42.214047435265108</v>
      </c>
      <c r="P15" s="27">
        <f t="shared" si="4"/>
        <v>-4.2214047435265106E-2</v>
      </c>
      <c r="Q15" s="26">
        <v>-62.159981915248153</v>
      </c>
      <c r="R15" s="27">
        <f t="shared" si="3"/>
        <v>-6.2159981915248151E-2</v>
      </c>
      <c r="AM15" s="21">
        <v>6.3279949077021014</v>
      </c>
      <c r="AW15" s="6" t="s">
        <v>74</v>
      </c>
      <c r="AX15" s="6" t="s">
        <v>74</v>
      </c>
      <c r="BC15" s="6" t="s">
        <v>74</v>
      </c>
      <c r="BD15" s="6" t="s">
        <v>74</v>
      </c>
    </row>
    <row r="16" spans="1:72" x14ac:dyDescent="0.15">
      <c r="A16" s="7" t="s">
        <v>79</v>
      </c>
      <c r="B16" s="8">
        <v>40920</v>
      </c>
      <c r="C16" s="5" t="s">
        <v>73</v>
      </c>
      <c r="D16" s="9">
        <f t="shared" si="0"/>
        <v>1</v>
      </c>
      <c r="E16" s="9">
        <f t="shared" ref="E16:E47" si="5">DAY(B16)</f>
        <v>12</v>
      </c>
      <c r="F16" s="9">
        <f t="shared" si="2"/>
        <v>2012</v>
      </c>
      <c r="G16" s="9"/>
      <c r="H16" s="9"/>
      <c r="I16" s="9"/>
      <c r="J16" s="9"/>
      <c r="K16" s="25">
        <v>25.9</v>
      </c>
      <c r="L16" s="25">
        <v>6</v>
      </c>
      <c r="M16" s="26">
        <v>1137</v>
      </c>
      <c r="N16" s="26">
        <v>1.9</v>
      </c>
      <c r="O16" s="26">
        <v>49.530937962249787</v>
      </c>
      <c r="P16" s="27">
        <f t="shared" si="4"/>
        <v>4.9530937962249784E-2</v>
      </c>
      <c r="Q16" s="26">
        <v>-73.914899884980429</v>
      </c>
      <c r="R16" s="27">
        <f t="shared" si="3"/>
        <v>-7.3914899884980428E-2</v>
      </c>
      <c r="AC16" s="21">
        <v>327.98416457142872</v>
      </c>
      <c r="AD16" s="21">
        <v>0.11506011428571514</v>
      </c>
      <c r="AE16" s="21">
        <v>-101.13452516571446</v>
      </c>
      <c r="AF16" s="21">
        <v>3.9044598857142891</v>
      </c>
      <c r="AW16" s="6" t="s">
        <v>74</v>
      </c>
      <c r="AX16" s="6" t="s">
        <v>74</v>
      </c>
      <c r="BC16" s="6" t="s">
        <v>74</v>
      </c>
      <c r="BD16" s="6" t="s">
        <v>74</v>
      </c>
    </row>
    <row r="17" spans="1:56" x14ac:dyDescent="0.15">
      <c r="A17" s="7" t="s">
        <v>79</v>
      </c>
      <c r="B17" s="8">
        <v>40920</v>
      </c>
      <c r="C17" s="5" t="s">
        <v>81</v>
      </c>
      <c r="D17" s="9">
        <f t="shared" si="0"/>
        <v>1</v>
      </c>
      <c r="E17" s="9">
        <f t="shared" si="5"/>
        <v>12</v>
      </c>
      <c r="F17" s="9">
        <f t="shared" si="2"/>
        <v>2012</v>
      </c>
      <c r="G17" s="9"/>
      <c r="H17" s="9"/>
      <c r="I17" s="9"/>
      <c r="J17" s="9"/>
      <c r="K17" s="25">
        <v>25.9</v>
      </c>
      <c r="L17" s="25">
        <v>6</v>
      </c>
      <c r="M17" s="26">
        <v>672</v>
      </c>
      <c r="N17" s="26">
        <v>-37.6</v>
      </c>
      <c r="O17" s="26">
        <v>32.321539175151045</v>
      </c>
      <c r="P17" s="27">
        <f t="shared" si="4"/>
        <v>3.2321539175151043E-2</v>
      </c>
      <c r="Q17" s="26">
        <v>-27.976855267775875</v>
      </c>
      <c r="R17" s="27">
        <f t="shared" si="3"/>
        <v>-2.7976855267775876E-2</v>
      </c>
      <c r="AC17" s="21">
        <v>45.654071445086707</v>
      </c>
      <c r="AD17" s="21">
        <v>-2.593919653179189</v>
      </c>
      <c r="AE17" s="21">
        <v>-372.22392048554883</v>
      </c>
      <c r="AF17" s="21">
        <v>-16.917197687861258</v>
      </c>
      <c r="AW17" s="6" t="s">
        <v>74</v>
      </c>
      <c r="AX17" s="6" t="s">
        <v>74</v>
      </c>
      <c r="BC17" s="6" t="s">
        <v>74</v>
      </c>
      <c r="BD17" s="6" t="s">
        <v>74</v>
      </c>
    </row>
    <row r="18" spans="1:56" x14ac:dyDescent="0.15">
      <c r="A18" s="7" t="s">
        <v>79</v>
      </c>
      <c r="B18" s="8">
        <v>40920</v>
      </c>
      <c r="C18" s="5" t="s">
        <v>75</v>
      </c>
      <c r="D18" s="9">
        <f t="shared" si="0"/>
        <v>1</v>
      </c>
      <c r="E18" s="9">
        <f t="shared" si="5"/>
        <v>12</v>
      </c>
      <c r="F18" s="9">
        <f t="shared" si="2"/>
        <v>2012</v>
      </c>
      <c r="G18" s="9"/>
      <c r="H18" s="9"/>
      <c r="I18" s="9"/>
      <c r="J18" s="9"/>
      <c r="K18" s="25">
        <v>25.9</v>
      </c>
      <c r="L18" s="25">
        <v>6</v>
      </c>
      <c r="M18" s="26">
        <v>531</v>
      </c>
      <c r="N18" s="26">
        <v>-46.3</v>
      </c>
      <c r="O18" s="26">
        <v>61.986956765485402</v>
      </c>
      <c r="P18" s="27">
        <f t="shared" si="4"/>
        <v>6.19869567654854E-2</v>
      </c>
      <c r="Q18" s="25">
        <v>0</v>
      </c>
      <c r="R18" s="25">
        <f t="shared" si="3"/>
        <v>0</v>
      </c>
      <c r="AC18" s="21">
        <v>20.456190517241367</v>
      </c>
      <c r="AD18" s="21">
        <v>-6.6617612068965553</v>
      </c>
      <c r="AE18" s="21">
        <v>-142.67262413793088</v>
      </c>
      <c r="AF18" s="21">
        <v>-19.440116379310346</v>
      </c>
      <c r="AW18" s="6" t="s">
        <v>74</v>
      </c>
      <c r="AX18" s="6" t="s">
        <v>74</v>
      </c>
      <c r="BC18" s="6" t="s">
        <v>74</v>
      </c>
      <c r="BD18" s="6" t="s">
        <v>74</v>
      </c>
    </row>
    <row r="19" spans="1:56" x14ac:dyDescent="0.15">
      <c r="A19" s="7" t="s">
        <v>79</v>
      </c>
      <c r="B19" s="8">
        <v>40920</v>
      </c>
      <c r="C19" s="5" t="s">
        <v>76</v>
      </c>
      <c r="D19" s="9">
        <f t="shared" si="0"/>
        <v>1</v>
      </c>
      <c r="E19" s="9">
        <f t="shared" si="5"/>
        <v>12</v>
      </c>
      <c r="F19" s="9">
        <f t="shared" si="2"/>
        <v>2012</v>
      </c>
      <c r="G19" s="9"/>
      <c r="H19" s="9"/>
      <c r="I19" s="9"/>
      <c r="J19" s="9"/>
      <c r="K19" s="25">
        <v>25.9</v>
      </c>
      <c r="L19" s="25">
        <v>6</v>
      </c>
      <c r="M19" s="26">
        <v>1152</v>
      </c>
      <c r="N19" s="26">
        <v>-28.3</v>
      </c>
      <c r="O19" s="26">
        <v>15.384779615877616</v>
      </c>
      <c r="P19" s="27">
        <f t="shared" si="4"/>
        <v>1.5384779615877616E-2</v>
      </c>
      <c r="Q19" s="26">
        <v>160.16619929247486</v>
      </c>
      <c r="R19" s="27">
        <f t="shared" si="3"/>
        <v>0.16016619929247486</v>
      </c>
      <c r="AC19" s="21">
        <v>61.208724277456668</v>
      </c>
      <c r="AD19" s="21">
        <v>-13.57070254335261</v>
      </c>
      <c r="AE19" s="21">
        <v>-141.81809056647418</v>
      </c>
      <c r="AF19" s="21">
        <v>-30.655664739884397</v>
      </c>
      <c r="AW19" s="6" t="s">
        <v>74</v>
      </c>
      <c r="AX19" s="6" t="s">
        <v>74</v>
      </c>
      <c r="BC19" s="6" t="s">
        <v>74</v>
      </c>
      <c r="BD19" s="6" t="s">
        <v>74</v>
      </c>
    </row>
    <row r="20" spans="1:56" x14ac:dyDescent="0.15">
      <c r="A20" s="7" t="s">
        <v>79</v>
      </c>
      <c r="B20" s="8">
        <v>40920</v>
      </c>
      <c r="C20" s="5" t="s">
        <v>77</v>
      </c>
      <c r="D20" s="9">
        <f t="shared" si="0"/>
        <v>1</v>
      </c>
      <c r="E20" s="9">
        <f t="shared" si="5"/>
        <v>12</v>
      </c>
      <c r="F20" s="9">
        <f t="shared" si="2"/>
        <v>2012</v>
      </c>
      <c r="G20" s="9"/>
      <c r="H20" s="9"/>
      <c r="I20" s="9"/>
      <c r="J20" s="9"/>
      <c r="K20" s="25">
        <v>25.9</v>
      </c>
      <c r="L20" s="25">
        <v>6</v>
      </c>
      <c r="M20" s="26">
        <v>0</v>
      </c>
      <c r="N20" s="26">
        <v>0</v>
      </c>
      <c r="O20" s="26">
        <v>70.245595342072718</v>
      </c>
      <c r="P20" s="27">
        <f t="shared" si="4"/>
        <v>7.0245595342072725E-2</v>
      </c>
      <c r="Q20" s="25">
        <v>0</v>
      </c>
      <c r="R20" s="25">
        <f t="shared" si="3"/>
        <v>0</v>
      </c>
      <c r="AW20" s="6" t="s">
        <v>74</v>
      </c>
      <c r="AX20" s="6" t="s">
        <v>74</v>
      </c>
      <c r="BC20" s="6" t="s">
        <v>74</v>
      </c>
      <c r="BD20" s="6" t="s">
        <v>74</v>
      </c>
    </row>
    <row r="21" spans="1:56" x14ac:dyDescent="0.15">
      <c r="A21" s="7" t="s">
        <v>79</v>
      </c>
      <c r="B21" s="8">
        <v>40920</v>
      </c>
      <c r="C21" s="5" t="s">
        <v>83</v>
      </c>
      <c r="D21" s="9">
        <f t="shared" si="0"/>
        <v>1</v>
      </c>
      <c r="E21" s="9">
        <f t="shared" si="5"/>
        <v>12</v>
      </c>
      <c r="F21" s="9">
        <f t="shared" si="2"/>
        <v>2012</v>
      </c>
      <c r="G21" s="9"/>
      <c r="H21" s="9"/>
      <c r="I21" s="9"/>
      <c r="J21" s="9"/>
      <c r="K21" s="25">
        <v>25.9</v>
      </c>
      <c r="L21" s="25">
        <v>6</v>
      </c>
      <c r="M21" s="26">
        <v>1.5286624203821659</v>
      </c>
      <c r="N21" s="21">
        <v>0</v>
      </c>
      <c r="O21" s="25">
        <v>0</v>
      </c>
      <c r="P21" s="25">
        <f t="shared" si="4"/>
        <v>0</v>
      </c>
      <c r="Q21" s="25">
        <v>0</v>
      </c>
      <c r="R21" s="25">
        <f t="shared" si="3"/>
        <v>0</v>
      </c>
      <c r="AW21" s="6" t="s">
        <v>74</v>
      </c>
      <c r="AX21" s="6" t="s">
        <v>74</v>
      </c>
      <c r="BC21" s="6" t="s">
        <v>74</v>
      </c>
      <c r="BD21" s="6" t="s">
        <v>74</v>
      </c>
    </row>
    <row r="22" spans="1:56" x14ac:dyDescent="0.15">
      <c r="A22" s="7" t="s">
        <v>79</v>
      </c>
      <c r="B22" s="8">
        <v>41079</v>
      </c>
      <c r="C22" s="5" t="s">
        <v>75</v>
      </c>
      <c r="D22" s="9">
        <f t="shared" si="0"/>
        <v>6</v>
      </c>
      <c r="E22" s="9">
        <f t="shared" si="5"/>
        <v>19</v>
      </c>
      <c r="F22" s="9">
        <f t="shared" si="2"/>
        <v>2012</v>
      </c>
      <c r="G22" s="9"/>
      <c r="H22" s="9"/>
      <c r="I22" s="9"/>
      <c r="J22" s="9"/>
      <c r="K22" s="25">
        <v>24.2</v>
      </c>
      <c r="L22" s="25">
        <v>17.399999999999999</v>
      </c>
      <c r="M22" s="26">
        <v>4422</v>
      </c>
      <c r="N22" s="26">
        <v>4.5</v>
      </c>
      <c r="O22" s="26">
        <v>131.01368591512872</v>
      </c>
      <c r="P22" s="27">
        <f t="shared" si="4"/>
        <v>0.13101368591512871</v>
      </c>
      <c r="Q22" s="26">
        <v>-595.94743498240848</v>
      </c>
      <c r="R22" s="27">
        <f t="shared" si="3"/>
        <v>-0.59594743498240843</v>
      </c>
      <c r="AW22" s="6" t="s">
        <v>74</v>
      </c>
      <c r="AX22" s="6" t="s">
        <v>74</v>
      </c>
      <c r="BC22" s="6" t="s">
        <v>74</v>
      </c>
      <c r="BD22" s="6" t="s">
        <v>74</v>
      </c>
    </row>
    <row r="23" spans="1:56" x14ac:dyDescent="0.15">
      <c r="A23" s="7" t="s">
        <v>79</v>
      </c>
      <c r="B23" s="8">
        <v>41079</v>
      </c>
      <c r="C23" s="5" t="s">
        <v>84</v>
      </c>
      <c r="D23" s="9">
        <f t="shared" si="0"/>
        <v>6</v>
      </c>
      <c r="E23" s="9">
        <f t="shared" si="5"/>
        <v>19</v>
      </c>
      <c r="F23" s="9">
        <f t="shared" si="2"/>
        <v>2012</v>
      </c>
      <c r="G23" s="9"/>
      <c r="H23" s="9"/>
      <c r="I23" s="9"/>
      <c r="J23" s="9"/>
      <c r="K23" s="25">
        <v>24.2</v>
      </c>
      <c r="L23" s="25">
        <v>17.399999999999999</v>
      </c>
      <c r="M23" s="26">
        <v>2627</v>
      </c>
      <c r="N23" s="26">
        <v>11.6</v>
      </c>
      <c r="O23" s="26">
        <v>13.85557864637379</v>
      </c>
      <c r="P23" s="27">
        <f t="shared" si="4"/>
        <v>1.385557864637379E-2</v>
      </c>
      <c r="Q23" s="26">
        <v>-197.80507056164842</v>
      </c>
      <c r="R23" s="27">
        <f t="shared" si="3"/>
        <v>-0.19780507056164842</v>
      </c>
      <c r="AW23" s="6" t="s">
        <v>74</v>
      </c>
      <c r="AX23" s="6" t="s">
        <v>74</v>
      </c>
      <c r="BC23" s="6" t="s">
        <v>74</v>
      </c>
      <c r="BD23" s="6" t="s">
        <v>74</v>
      </c>
    </row>
    <row r="24" spans="1:56" x14ac:dyDescent="0.15">
      <c r="A24" s="7" t="s">
        <v>79</v>
      </c>
      <c r="B24" s="8">
        <v>41079</v>
      </c>
      <c r="C24" s="5" t="s">
        <v>77</v>
      </c>
      <c r="D24" s="9">
        <f t="shared" si="0"/>
        <v>6</v>
      </c>
      <c r="E24" s="9">
        <f t="shared" si="5"/>
        <v>19</v>
      </c>
      <c r="F24" s="9">
        <f t="shared" si="2"/>
        <v>2012</v>
      </c>
      <c r="G24" s="9"/>
      <c r="H24" s="9"/>
      <c r="I24" s="9"/>
      <c r="J24" s="9"/>
      <c r="K24" s="25">
        <v>24.2</v>
      </c>
      <c r="L24" s="25">
        <v>17.399999999999999</v>
      </c>
      <c r="M24" s="26">
        <v>3143</v>
      </c>
      <c r="N24" s="26">
        <v>76.7</v>
      </c>
      <c r="O24" s="26">
        <v>328.42712668596971</v>
      </c>
      <c r="P24" s="27">
        <f t="shared" si="4"/>
        <v>0.32842712668596968</v>
      </c>
      <c r="Q24" s="25">
        <v>0</v>
      </c>
      <c r="R24" s="25">
        <f t="shared" si="3"/>
        <v>0</v>
      </c>
      <c r="AW24" s="6" t="s">
        <v>74</v>
      </c>
      <c r="AX24" s="6" t="s">
        <v>74</v>
      </c>
      <c r="BC24" s="6" t="s">
        <v>74</v>
      </c>
      <c r="BD24" s="6" t="s">
        <v>74</v>
      </c>
    </row>
    <row r="25" spans="1:56" x14ac:dyDescent="0.15">
      <c r="A25" s="7" t="s">
        <v>79</v>
      </c>
      <c r="B25" s="8">
        <v>41079</v>
      </c>
      <c r="C25" s="5" t="s">
        <v>83</v>
      </c>
      <c r="D25" s="9">
        <f t="shared" si="0"/>
        <v>6</v>
      </c>
      <c r="E25" s="9">
        <f t="shared" si="5"/>
        <v>19</v>
      </c>
      <c r="F25" s="9">
        <f t="shared" si="2"/>
        <v>2012</v>
      </c>
      <c r="G25" s="9"/>
      <c r="H25" s="9"/>
      <c r="I25" s="9"/>
      <c r="J25" s="9"/>
      <c r="K25" s="25">
        <v>24.2</v>
      </c>
      <c r="L25" s="25">
        <v>17.399999999999999</v>
      </c>
      <c r="M25" s="26">
        <v>-137.5796178343949</v>
      </c>
      <c r="N25" s="26">
        <v>0</v>
      </c>
      <c r="O25" s="25">
        <v>0</v>
      </c>
      <c r="P25" s="25">
        <f t="shared" si="4"/>
        <v>0</v>
      </c>
      <c r="Q25" s="25">
        <v>0</v>
      </c>
      <c r="R25" s="25">
        <f t="shared" si="3"/>
        <v>0</v>
      </c>
      <c r="AW25" s="6" t="s">
        <v>74</v>
      </c>
      <c r="AX25" s="6" t="s">
        <v>74</v>
      </c>
      <c r="BC25" s="6" t="s">
        <v>74</v>
      </c>
      <c r="BD25" s="6" t="s">
        <v>74</v>
      </c>
    </row>
    <row r="26" spans="1:56" x14ac:dyDescent="0.15">
      <c r="A26" s="7" t="s">
        <v>72</v>
      </c>
      <c r="B26" s="8">
        <v>41080</v>
      </c>
      <c r="C26" s="5" t="s">
        <v>85</v>
      </c>
      <c r="D26" s="9">
        <f t="shared" si="0"/>
        <v>6</v>
      </c>
      <c r="E26" s="9">
        <f t="shared" si="5"/>
        <v>20</v>
      </c>
      <c r="F26" s="9">
        <f t="shared" si="2"/>
        <v>2012</v>
      </c>
      <c r="G26" s="9"/>
      <c r="H26" s="9"/>
      <c r="I26" s="9"/>
      <c r="J26" s="9"/>
      <c r="K26" s="25">
        <v>30.8</v>
      </c>
      <c r="L26" s="25">
        <v>17.399999999999999</v>
      </c>
      <c r="M26" s="25">
        <v>1665.31</v>
      </c>
      <c r="N26" s="25">
        <v>-2.08</v>
      </c>
      <c r="O26" s="26">
        <v>-7.7856294608563754</v>
      </c>
      <c r="P26" s="27">
        <f t="shared" si="4"/>
        <v>-7.7856294608563753E-3</v>
      </c>
      <c r="Q26" s="26">
        <f>112.402158521763</f>
        <v>112.402158521763</v>
      </c>
      <c r="R26" s="27">
        <f t="shared" si="3"/>
        <v>0.112402158521763</v>
      </c>
      <c r="AM26" s="21">
        <v>207.05633591065293</v>
      </c>
      <c r="AW26" s="6" t="s">
        <v>74</v>
      </c>
      <c r="AX26" s="6" t="s">
        <v>74</v>
      </c>
      <c r="BC26" s="6" t="s">
        <v>74</v>
      </c>
      <c r="BD26" s="6" t="s">
        <v>74</v>
      </c>
    </row>
    <row r="27" spans="1:56" x14ac:dyDescent="0.15">
      <c r="A27" s="7" t="s">
        <v>72</v>
      </c>
      <c r="B27" s="8">
        <v>41080</v>
      </c>
      <c r="C27" s="5" t="s">
        <v>81</v>
      </c>
      <c r="D27" s="9">
        <f t="shared" si="0"/>
        <v>6</v>
      </c>
      <c r="E27" s="9">
        <f t="shared" si="5"/>
        <v>20</v>
      </c>
      <c r="F27" s="9">
        <f t="shared" si="2"/>
        <v>2012</v>
      </c>
      <c r="G27" s="9"/>
      <c r="H27" s="9"/>
      <c r="I27" s="9"/>
      <c r="J27" s="9"/>
      <c r="K27" s="25">
        <v>30.8</v>
      </c>
      <c r="L27" s="25">
        <v>17.399999999999999</v>
      </c>
      <c r="M27" s="25">
        <v>2263.33</v>
      </c>
      <c r="N27" s="25">
        <v>39.54</v>
      </c>
      <c r="O27" s="26">
        <v>-33.446380940448648</v>
      </c>
      <c r="P27" s="27">
        <f t="shared" si="4"/>
        <v>-3.3446380940448647E-2</v>
      </c>
      <c r="Q27" s="26">
        <f>117.902310292703</f>
        <v>117.90231029270301</v>
      </c>
      <c r="R27" s="27">
        <f t="shared" si="3"/>
        <v>0.11790231029270301</v>
      </c>
      <c r="AM27" s="21">
        <v>190.11874285714279</v>
      </c>
      <c r="AW27" s="6" t="s">
        <v>74</v>
      </c>
      <c r="AX27" s="6" t="s">
        <v>74</v>
      </c>
      <c r="BC27" s="6" t="s">
        <v>74</v>
      </c>
      <c r="BD27" s="6" t="s">
        <v>74</v>
      </c>
    </row>
    <row r="28" spans="1:56" x14ac:dyDescent="0.15">
      <c r="A28" s="7" t="s">
        <v>72</v>
      </c>
      <c r="B28" s="8">
        <v>41080</v>
      </c>
      <c r="C28" s="5" t="s">
        <v>84</v>
      </c>
      <c r="D28" s="9">
        <f t="shared" si="0"/>
        <v>6</v>
      </c>
      <c r="E28" s="9">
        <f t="shared" si="5"/>
        <v>20</v>
      </c>
      <c r="F28" s="9">
        <f t="shared" si="2"/>
        <v>2012</v>
      </c>
      <c r="G28" s="9"/>
      <c r="H28" s="9"/>
      <c r="I28" s="9"/>
      <c r="J28" s="9"/>
      <c r="K28" s="25">
        <v>30.8</v>
      </c>
      <c r="L28" s="25">
        <v>17.399999999999999</v>
      </c>
      <c r="M28" s="25">
        <v>1677.79</v>
      </c>
      <c r="N28" s="25">
        <v>15.29</v>
      </c>
      <c r="O28" s="25">
        <v>0</v>
      </c>
      <c r="P28" s="25">
        <f t="shared" si="4"/>
        <v>0</v>
      </c>
      <c r="Q28" s="26">
        <f>98.8665980916631</f>
        <v>98.866598091663107</v>
      </c>
      <c r="R28" s="27">
        <f t="shared" si="3"/>
        <v>9.8866598091663108E-2</v>
      </c>
      <c r="AM28" s="21">
        <v>124.52306378132118</v>
      </c>
      <c r="AW28" s="6" t="s">
        <v>74</v>
      </c>
      <c r="AX28" s="6" t="s">
        <v>74</v>
      </c>
      <c r="BC28" s="6" t="s">
        <v>74</v>
      </c>
      <c r="BD28" s="6" t="s">
        <v>74</v>
      </c>
    </row>
    <row r="29" spans="1:56" x14ac:dyDescent="0.15">
      <c r="A29" s="7" t="s">
        <v>72</v>
      </c>
      <c r="B29" s="8">
        <v>41080</v>
      </c>
      <c r="C29" s="5" t="s">
        <v>76</v>
      </c>
      <c r="D29" s="9">
        <f t="shared" si="0"/>
        <v>6</v>
      </c>
      <c r="E29" s="9">
        <f t="shared" si="5"/>
        <v>20</v>
      </c>
      <c r="F29" s="9">
        <f t="shared" si="2"/>
        <v>2012</v>
      </c>
      <c r="G29" s="9"/>
      <c r="H29" s="9"/>
      <c r="I29" s="9"/>
      <c r="J29" s="9"/>
      <c r="K29" s="25">
        <v>30.8</v>
      </c>
      <c r="L29" s="25">
        <v>17.399999999999999</v>
      </c>
      <c r="M29" s="25">
        <v>976.03</v>
      </c>
      <c r="N29" s="25">
        <v>23.09</v>
      </c>
      <c r="O29" s="26">
        <v>-19.607921805522171</v>
      </c>
      <c r="P29" s="27">
        <f t="shared" si="4"/>
        <v>-1.960792180552217E-2</v>
      </c>
      <c r="Q29" s="26">
        <f>103.90870588752</f>
        <v>103.90870588752</v>
      </c>
      <c r="R29" s="27">
        <f t="shared" si="3"/>
        <v>0.10390870588752001</v>
      </c>
      <c r="AM29" s="21">
        <v>115.1351724137931</v>
      </c>
      <c r="AW29" s="6" t="s">
        <v>74</v>
      </c>
      <c r="AX29" s="6" t="s">
        <v>74</v>
      </c>
      <c r="BC29" s="6" t="s">
        <v>74</v>
      </c>
      <c r="BD29" s="6" t="s">
        <v>74</v>
      </c>
    </row>
    <row r="30" spans="1:56" x14ac:dyDescent="0.15">
      <c r="A30" s="7" t="s">
        <v>72</v>
      </c>
      <c r="B30" s="8">
        <v>41080</v>
      </c>
      <c r="C30" s="5" t="s">
        <v>86</v>
      </c>
      <c r="D30" s="9">
        <f t="shared" si="0"/>
        <v>6</v>
      </c>
      <c r="E30" s="9">
        <f t="shared" si="5"/>
        <v>20</v>
      </c>
      <c r="F30" s="9">
        <f t="shared" si="2"/>
        <v>2012</v>
      </c>
      <c r="G30" s="9"/>
      <c r="H30" s="9"/>
      <c r="I30" s="9"/>
      <c r="J30" s="9"/>
      <c r="K30" s="25">
        <v>30.8</v>
      </c>
      <c r="L30" s="25">
        <v>17.399999999999999</v>
      </c>
      <c r="M30" s="25">
        <v>996.74</v>
      </c>
      <c r="N30" s="25">
        <v>35.630000000000003</v>
      </c>
      <c r="O30" s="25">
        <v>0</v>
      </c>
      <c r="P30" s="25">
        <f t="shared" si="4"/>
        <v>0</v>
      </c>
      <c r="Q30" s="26">
        <f>144.503238046685</f>
        <v>144.503238046685</v>
      </c>
      <c r="R30" s="27">
        <f t="shared" si="3"/>
        <v>0.144503238046685</v>
      </c>
      <c r="AM30" s="21">
        <v>268.1606896551724</v>
      </c>
      <c r="AW30" s="6" t="s">
        <v>74</v>
      </c>
      <c r="AX30" s="6" t="s">
        <v>74</v>
      </c>
      <c r="BC30" s="6" t="s">
        <v>74</v>
      </c>
      <c r="BD30" s="6" t="s">
        <v>74</v>
      </c>
    </row>
    <row r="31" spans="1:56" x14ac:dyDescent="0.15">
      <c r="A31" s="7" t="s">
        <v>72</v>
      </c>
      <c r="B31" s="8">
        <v>41080</v>
      </c>
      <c r="C31" s="5" t="s">
        <v>77</v>
      </c>
      <c r="D31" s="9">
        <f t="shared" si="0"/>
        <v>6</v>
      </c>
      <c r="E31" s="9">
        <f t="shared" si="5"/>
        <v>20</v>
      </c>
      <c r="F31" s="9">
        <f t="shared" si="2"/>
        <v>2012</v>
      </c>
      <c r="G31" s="9"/>
      <c r="H31" s="9"/>
      <c r="I31" s="9"/>
      <c r="J31" s="9"/>
      <c r="K31" s="25">
        <v>30.8</v>
      </c>
      <c r="L31" s="25">
        <v>17.399999999999999</v>
      </c>
      <c r="M31" s="25">
        <v>1836.65</v>
      </c>
      <c r="N31" s="25">
        <v>2.79</v>
      </c>
      <c r="O31" s="26">
        <v>-19.595216121492452</v>
      </c>
      <c r="P31" s="27">
        <f t="shared" si="4"/>
        <v>-1.9595216121492454E-2</v>
      </c>
      <c r="Q31" s="26">
        <f>194.872696656654</f>
        <v>194.872696656654</v>
      </c>
      <c r="R31" s="27">
        <f t="shared" si="3"/>
        <v>0.19487269665665399</v>
      </c>
      <c r="AM31" s="21">
        <v>64.301034482758624</v>
      </c>
      <c r="AW31" s="6" t="s">
        <v>74</v>
      </c>
      <c r="AX31" s="6" t="s">
        <v>74</v>
      </c>
      <c r="BC31" s="6" t="s">
        <v>74</v>
      </c>
      <c r="BD31" s="6" t="s">
        <v>74</v>
      </c>
    </row>
    <row r="32" spans="1:56" x14ac:dyDescent="0.15">
      <c r="A32" s="7" t="s">
        <v>72</v>
      </c>
      <c r="B32" s="8">
        <v>41080</v>
      </c>
      <c r="C32" s="5" t="s">
        <v>73</v>
      </c>
      <c r="D32" s="9">
        <f t="shared" si="0"/>
        <v>6</v>
      </c>
      <c r="E32" s="9">
        <f t="shared" si="5"/>
        <v>20</v>
      </c>
      <c r="F32" s="9">
        <f t="shared" si="2"/>
        <v>2012</v>
      </c>
      <c r="G32" s="9"/>
      <c r="H32" s="9"/>
      <c r="I32" s="9"/>
      <c r="J32" s="9"/>
      <c r="K32" s="25">
        <v>30.8</v>
      </c>
      <c r="L32" s="25">
        <v>17.399999999999999</v>
      </c>
      <c r="M32" s="25">
        <v>1162.27</v>
      </c>
      <c r="N32" s="25">
        <v>35.090000000000003</v>
      </c>
      <c r="O32" s="26">
        <v>-28.350746418961386</v>
      </c>
      <c r="P32" s="27">
        <f t="shared" si="4"/>
        <v>-2.8350746418961386E-2</v>
      </c>
      <c r="Q32" s="26">
        <f>203.256516331782</f>
        <v>203.256516331782</v>
      </c>
      <c r="R32" s="27">
        <f t="shared" si="3"/>
        <v>0.20325651633178199</v>
      </c>
      <c r="AM32" s="21">
        <v>400.34518348623857</v>
      </c>
      <c r="AW32" s="6" t="s">
        <v>74</v>
      </c>
      <c r="AX32" s="6" t="s">
        <v>74</v>
      </c>
      <c r="BC32" s="6" t="s">
        <v>74</v>
      </c>
      <c r="BD32" s="6" t="s">
        <v>74</v>
      </c>
    </row>
    <row r="33" spans="1:56" x14ac:dyDescent="0.15">
      <c r="A33" s="7" t="s">
        <v>72</v>
      </c>
      <c r="B33" s="8">
        <v>41080</v>
      </c>
      <c r="C33" s="5" t="s">
        <v>83</v>
      </c>
      <c r="D33" s="9">
        <f t="shared" si="0"/>
        <v>6</v>
      </c>
      <c r="E33" s="9">
        <f t="shared" si="5"/>
        <v>20</v>
      </c>
      <c r="F33" s="9">
        <f t="shared" si="2"/>
        <v>2012</v>
      </c>
      <c r="G33" s="9"/>
      <c r="H33" s="9"/>
      <c r="I33" s="9"/>
      <c r="J33" s="9"/>
      <c r="K33" s="25">
        <v>30.8</v>
      </c>
      <c r="L33" s="25">
        <v>17.399999999999999</v>
      </c>
      <c r="M33" s="26">
        <v>-164.33121019108279</v>
      </c>
      <c r="N33" s="26">
        <v>-15.28662420382166</v>
      </c>
      <c r="O33" s="25">
        <v>0</v>
      </c>
      <c r="P33" s="25">
        <f t="shared" si="4"/>
        <v>0</v>
      </c>
      <c r="Q33" s="26">
        <v>197.91036164723869</v>
      </c>
      <c r="R33" s="27">
        <f t="shared" si="3"/>
        <v>0.19791036164723869</v>
      </c>
      <c r="AM33" s="21">
        <v>3.1711395348837037</v>
      </c>
      <c r="AW33" s="6" t="s">
        <v>74</v>
      </c>
      <c r="AX33" s="6" t="s">
        <v>74</v>
      </c>
      <c r="BC33" s="6" t="s">
        <v>74</v>
      </c>
      <c r="BD33" s="6" t="s">
        <v>74</v>
      </c>
    </row>
    <row r="34" spans="1:56" x14ac:dyDescent="0.15">
      <c r="A34" s="7" t="s">
        <v>72</v>
      </c>
      <c r="B34" s="8">
        <v>41135</v>
      </c>
      <c r="C34" s="5" t="s">
        <v>73</v>
      </c>
      <c r="D34" s="9">
        <f t="shared" ref="D34:D70" si="6">MONTH(B34)</f>
        <v>8</v>
      </c>
      <c r="E34" s="9">
        <f t="shared" si="5"/>
        <v>14</v>
      </c>
      <c r="F34" s="9">
        <f t="shared" ref="F34:F70" si="7">YEAR(B34)</f>
        <v>2012</v>
      </c>
      <c r="G34" s="9"/>
      <c r="H34" s="9"/>
      <c r="I34" s="9"/>
      <c r="J34" s="9"/>
      <c r="K34" s="25">
        <v>30.8</v>
      </c>
      <c r="L34" s="25">
        <v>24.2</v>
      </c>
      <c r="M34" s="25">
        <v>1995.79</v>
      </c>
      <c r="N34" s="25">
        <v>12.39</v>
      </c>
      <c r="O34" s="26">
        <f>-13.5029320709193</f>
        <v>-13.5029320709193</v>
      </c>
      <c r="P34" s="27">
        <f t="shared" si="4"/>
        <v>-1.35029320709193E-2</v>
      </c>
      <c r="Q34" s="26">
        <f>0</f>
        <v>0</v>
      </c>
      <c r="R34" s="27">
        <f t="shared" ref="R34:R65" si="8">Q34/1000</f>
        <v>0</v>
      </c>
      <c r="AM34" s="21">
        <v>262.23994897959187</v>
      </c>
      <c r="AW34" s="6" t="s">
        <v>74</v>
      </c>
      <c r="AX34" s="6" t="s">
        <v>74</v>
      </c>
      <c r="BC34" s="6" t="s">
        <v>74</v>
      </c>
      <c r="BD34" s="6" t="s">
        <v>74</v>
      </c>
    </row>
    <row r="35" spans="1:56" x14ac:dyDescent="0.15">
      <c r="A35" s="7" t="s">
        <v>72</v>
      </c>
      <c r="B35" s="8">
        <v>41135</v>
      </c>
      <c r="C35" s="5" t="s">
        <v>77</v>
      </c>
      <c r="D35" s="9">
        <f t="shared" si="6"/>
        <v>8</v>
      </c>
      <c r="E35" s="9">
        <f t="shared" si="5"/>
        <v>14</v>
      </c>
      <c r="F35" s="9">
        <f t="shared" si="7"/>
        <v>2012</v>
      </c>
      <c r="G35" s="9"/>
      <c r="H35" s="9"/>
      <c r="I35" s="9"/>
      <c r="J35" s="9"/>
      <c r="K35" s="25">
        <v>30.8</v>
      </c>
      <c r="L35" s="25">
        <v>24.2</v>
      </c>
      <c r="M35" s="25">
        <v>396.82</v>
      </c>
      <c r="N35" s="25">
        <v>28.04</v>
      </c>
      <c r="O35" s="26">
        <f>-13.7481699532291</f>
        <v>-13.7481699532291</v>
      </c>
      <c r="P35" s="25">
        <f t="shared" si="4"/>
        <v>-1.3748169953229099E-2</v>
      </c>
      <c r="Q35" s="26">
        <f>238.505242652876</f>
        <v>238.50524265287601</v>
      </c>
      <c r="R35" s="25">
        <f t="shared" si="8"/>
        <v>0.23850524265287601</v>
      </c>
      <c r="AM35" s="21">
        <v>284.90805845511477</v>
      </c>
      <c r="AW35" s="6" t="s">
        <v>74</v>
      </c>
      <c r="AX35" s="6" t="s">
        <v>74</v>
      </c>
      <c r="BC35" s="6" t="s">
        <v>74</v>
      </c>
      <c r="BD35" s="6" t="s">
        <v>74</v>
      </c>
    </row>
    <row r="36" spans="1:56" x14ac:dyDescent="0.15">
      <c r="A36" s="7" t="s">
        <v>72</v>
      </c>
      <c r="B36" s="8">
        <v>41135</v>
      </c>
      <c r="C36" s="5" t="s">
        <v>75</v>
      </c>
      <c r="D36" s="9">
        <f t="shared" si="6"/>
        <v>8</v>
      </c>
      <c r="E36" s="9">
        <f t="shared" si="5"/>
        <v>14</v>
      </c>
      <c r="F36" s="9">
        <f t="shared" si="7"/>
        <v>2012</v>
      </c>
      <c r="G36" s="9"/>
      <c r="H36" s="9"/>
      <c r="I36" s="9"/>
      <c r="J36" s="9"/>
      <c r="K36" s="25">
        <v>30.8</v>
      </c>
      <c r="L36" s="25">
        <v>24.2</v>
      </c>
      <c r="M36" s="25">
        <v>842.81</v>
      </c>
      <c r="N36" s="25">
        <v>19.82</v>
      </c>
      <c r="O36" s="26">
        <f>0</f>
        <v>0</v>
      </c>
      <c r="P36" s="25">
        <f t="shared" si="4"/>
        <v>0</v>
      </c>
      <c r="Q36" s="26">
        <f>446.113002629174</f>
        <v>446.11300262917399</v>
      </c>
      <c r="R36" s="25">
        <f t="shared" si="8"/>
        <v>0.44611300262917397</v>
      </c>
      <c r="AM36" s="21">
        <v>365.48249999999996</v>
      </c>
      <c r="AW36" s="6" t="s">
        <v>74</v>
      </c>
      <c r="AX36" s="6" t="s">
        <v>74</v>
      </c>
      <c r="BC36" s="6" t="s">
        <v>74</v>
      </c>
      <c r="BD36" s="6" t="s">
        <v>74</v>
      </c>
    </row>
    <row r="37" spans="1:56" x14ac:dyDescent="0.15">
      <c r="A37" s="7" t="s">
        <v>72</v>
      </c>
      <c r="B37" s="8">
        <v>41135</v>
      </c>
      <c r="C37" s="5" t="s">
        <v>76</v>
      </c>
      <c r="D37" s="9">
        <f t="shared" si="6"/>
        <v>8</v>
      </c>
      <c r="E37" s="9">
        <f t="shared" si="5"/>
        <v>14</v>
      </c>
      <c r="F37" s="9">
        <f t="shared" si="7"/>
        <v>2012</v>
      </c>
      <c r="G37" s="9"/>
      <c r="H37" s="9"/>
      <c r="I37" s="9"/>
      <c r="J37" s="9"/>
      <c r="K37" s="25">
        <v>30.8</v>
      </c>
      <c r="L37" s="25">
        <v>24.2</v>
      </c>
      <c r="M37" s="25">
        <v>508.89</v>
      </c>
      <c r="N37" s="25">
        <v>4.1500000000000004</v>
      </c>
      <c r="O37" s="26">
        <f>-12.0172179239211</f>
        <v>-12.0172179239211</v>
      </c>
      <c r="P37" s="25">
        <f t="shared" si="4"/>
        <v>-1.20172179239211E-2</v>
      </c>
      <c r="Q37" s="26">
        <f>649.384403667793</f>
        <v>649.38440366779298</v>
      </c>
      <c r="R37" s="25">
        <f t="shared" si="8"/>
        <v>0.64938440366779293</v>
      </c>
      <c r="AM37" s="21">
        <v>405.39722164948432</v>
      </c>
      <c r="AW37" s="6" t="s">
        <v>74</v>
      </c>
      <c r="AX37" s="6" t="s">
        <v>74</v>
      </c>
      <c r="BC37" s="6" t="s">
        <v>74</v>
      </c>
      <c r="BD37" s="6" t="s">
        <v>74</v>
      </c>
    </row>
    <row r="38" spans="1:56" x14ac:dyDescent="0.15">
      <c r="A38" s="7" t="s">
        <v>72</v>
      </c>
      <c r="B38" s="8">
        <v>41135</v>
      </c>
      <c r="C38" s="5" t="s">
        <v>83</v>
      </c>
      <c r="D38" s="9">
        <f t="shared" si="6"/>
        <v>8</v>
      </c>
      <c r="E38" s="9">
        <f t="shared" si="5"/>
        <v>14</v>
      </c>
      <c r="F38" s="9">
        <f t="shared" si="7"/>
        <v>2012</v>
      </c>
      <c r="G38" s="9"/>
      <c r="H38" s="9"/>
      <c r="I38" s="9"/>
      <c r="J38" s="9"/>
      <c r="K38" s="25">
        <v>30.8</v>
      </c>
      <c r="L38" s="25">
        <v>24.2</v>
      </c>
      <c r="M38" s="26">
        <v>-370.7006369426752</v>
      </c>
      <c r="N38" s="25">
        <v>0</v>
      </c>
      <c r="O38" s="26">
        <v>-183.19027181985567</v>
      </c>
      <c r="P38" s="27">
        <f t="shared" si="4"/>
        <v>-0.18319027181985567</v>
      </c>
      <c r="Q38" s="26">
        <v>-325.50288524960212</v>
      </c>
      <c r="R38" s="27">
        <f t="shared" si="8"/>
        <v>-0.32550288524960214</v>
      </c>
      <c r="AM38" s="21">
        <v>20.07653225806456</v>
      </c>
      <c r="AW38" s="6" t="s">
        <v>74</v>
      </c>
      <c r="AX38" s="6" t="s">
        <v>74</v>
      </c>
      <c r="BC38" s="6" t="s">
        <v>74</v>
      </c>
      <c r="BD38" s="6" t="s">
        <v>74</v>
      </c>
    </row>
    <row r="39" spans="1:56" x14ac:dyDescent="0.15">
      <c r="A39" s="7" t="s">
        <v>79</v>
      </c>
      <c r="B39" s="8">
        <v>41135</v>
      </c>
      <c r="C39" s="5" t="s">
        <v>77</v>
      </c>
      <c r="D39" s="9">
        <f t="shared" si="6"/>
        <v>8</v>
      </c>
      <c r="E39" s="9">
        <f t="shared" si="5"/>
        <v>14</v>
      </c>
      <c r="F39" s="9">
        <f t="shared" si="7"/>
        <v>2012</v>
      </c>
      <c r="G39" s="9"/>
      <c r="H39" s="9"/>
      <c r="I39" s="9"/>
      <c r="J39" s="9"/>
      <c r="K39" s="25">
        <v>22.9</v>
      </c>
      <c r="L39" s="25">
        <v>24.2</v>
      </c>
      <c r="M39" s="26">
        <v>6093</v>
      </c>
      <c r="N39" s="26">
        <v>-27.5</v>
      </c>
      <c r="O39" s="26">
        <v>-159.44435178627413</v>
      </c>
      <c r="P39" s="27">
        <f t="shared" ref="P39:P70" si="9">O39/1000</f>
        <v>-0.15944435178627411</v>
      </c>
      <c r="Q39" s="26">
        <v>-720.15031869484289</v>
      </c>
      <c r="R39" s="27">
        <f t="shared" si="8"/>
        <v>-0.72015031869484292</v>
      </c>
      <c r="AW39" s="6" t="s">
        <v>74</v>
      </c>
      <c r="AX39" s="6" t="s">
        <v>74</v>
      </c>
      <c r="BC39" s="6" t="s">
        <v>74</v>
      </c>
      <c r="BD39" s="6" t="s">
        <v>74</v>
      </c>
    </row>
    <row r="40" spans="1:56" x14ac:dyDescent="0.15">
      <c r="A40" s="7" t="s">
        <v>79</v>
      </c>
      <c r="B40" s="8">
        <v>41135</v>
      </c>
      <c r="C40" s="5" t="s">
        <v>75</v>
      </c>
      <c r="D40" s="9">
        <f t="shared" si="6"/>
        <v>8</v>
      </c>
      <c r="E40" s="9">
        <f t="shared" si="5"/>
        <v>14</v>
      </c>
      <c r="F40" s="9">
        <f t="shared" si="7"/>
        <v>2012</v>
      </c>
      <c r="G40" s="9"/>
      <c r="H40" s="9"/>
      <c r="I40" s="9"/>
      <c r="J40" s="9"/>
      <c r="K40" s="25">
        <v>22.9</v>
      </c>
      <c r="L40" s="25">
        <v>24.2</v>
      </c>
      <c r="M40" s="26">
        <v>2084</v>
      </c>
      <c r="N40" s="26">
        <v>147.19999999999999</v>
      </c>
      <c r="O40" s="26">
        <v>20.919177581457657</v>
      </c>
      <c r="P40" s="27">
        <f t="shared" si="9"/>
        <v>2.0919177581457657E-2</v>
      </c>
      <c r="Q40" s="26">
        <v>2564.5648533722483</v>
      </c>
      <c r="R40" s="27">
        <f t="shared" si="8"/>
        <v>2.5645648533722483</v>
      </c>
      <c r="AW40" s="6" t="s">
        <v>74</v>
      </c>
      <c r="AX40" s="6" t="s">
        <v>74</v>
      </c>
      <c r="BC40" s="6" t="s">
        <v>74</v>
      </c>
      <c r="BD40" s="6" t="s">
        <v>74</v>
      </c>
    </row>
    <row r="41" spans="1:56" x14ac:dyDescent="0.15">
      <c r="A41" s="7" t="s">
        <v>79</v>
      </c>
      <c r="B41" s="8">
        <v>41135</v>
      </c>
      <c r="C41" s="5" t="s">
        <v>76</v>
      </c>
      <c r="D41" s="9">
        <f t="shared" si="6"/>
        <v>8</v>
      </c>
      <c r="E41" s="9">
        <f t="shared" si="5"/>
        <v>14</v>
      </c>
      <c r="F41" s="9">
        <f t="shared" si="7"/>
        <v>2012</v>
      </c>
      <c r="G41" s="9"/>
      <c r="H41" s="9"/>
      <c r="I41" s="9"/>
      <c r="J41" s="9"/>
      <c r="K41" s="25">
        <v>22.9</v>
      </c>
      <c r="L41" s="25">
        <v>24.2</v>
      </c>
      <c r="M41" s="26">
        <v>3124</v>
      </c>
      <c r="N41" s="26">
        <v>42.6</v>
      </c>
      <c r="O41" s="25">
        <v>0</v>
      </c>
      <c r="P41" s="25">
        <f t="shared" si="9"/>
        <v>0</v>
      </c>
      <c r="Q41" s="26">
        <v>8039.9325013122534</v>
      </c>
      <c r="R41" s="27">
        <f t="shared" si="8"/>
        <v>8.0399325013122542</v>
      </c>
      <c r="AW41" s="6" t="s">
        <v>74</v>
      </c>
      <c r="AX41" s="6" t="s">
        <v>74</v>
      </c>
      <c r="BC41" s="6" t="s">
        <v>74</v>
      </c>
      <c r="BD41" s="6" t="s">
        <v>74</v>
      </c>
    </row>
    <row r="42" spans="1:56" x14ac:dyDescent="0.15">
      <c r="A42" s="7" t="s">
        <v>79</v>
      </c>
      <c r="B42" s="8">
        <v>41135</v>
      </c>
      <c r="C42" s="5" t="s">
        <v>83</v>
      </c>
      <c r="D42" s="9">
        <f t="shared" si="6"/>
        <v>8</v>
      </c>
      <c r="E42" s="9">
        <f t="shared" si="5"/>
        <v>14</v>
      </c>
      <c r="F42" s="9">
        <f t="shared" si="7"/>
        <v>2012</v>
      </c>
      <c r="G42" s="9"/>
      <c r="H42" s="9"/>
      <c r="I42" s="9"/>
      <c r="J42" s="9"/>
      <c r="K42" s="25">
        <v>22.9</v>
      </c>
      <c r="L42" s="25">
        <v>24.2</v>
      </c>
      <c r="M42" s="26">
        <v>0</v>
      </c>
      <c r="N42" s="26">
        <v>0</v>
      </c>
      <c r="O42" s="25">
        <v>0</v>
      </c>
      <c r="P42" s="25">
        <f t="shared" si="9"/>
        <v>0</v>
      </c>
      <c r="Q42" s="25">
        <v>0</v>
      </c>
      <c r="R42" s="25">
        <f t="shared" si="8"/>
        <v>0</v>
      </c>
      <c r="AW42" s="6" t="s">
        <v>74</v>
      </c>
      <c r="AX42" s="6" t="s">
        <v>74</v>
      </c>
      <c r="BC42" s="6" t="s">
        <v>74</v>
      </c>
      <c r="BD42" s="6" t="s">
        <v>74</v>
      </c>
    </row>
    <row r="43" spans="1:56" x14ac:dyDescent="0.15">
      <c r="A43" s="7" t="s">
        <v>72</v>
      </c>
      <c r="B43" s="8">
        <v>41459</v>
      </c>
      <c r="C43" s="5">
        <v>5</v>
      </c>
      <c r="D43" s="9">
        <f t="shared" si="6"/>
        <v>7</v>
      </c>
      <c r="E43" s="9">
        <f t="shared" si="5"/>
        <v>4</v>
      </c>
      <c r="F43" s="9">
        <f t="shared" si="7"/>
        <v>2013</v>
      </c>
      <c r="G43" s="9"/>
      <c r="H43" s="9"/>
      <c r="I43" s="9"/>
      <c r="J43" s="9"/>
      <c r="K43" s="25">
        <v>28</v>
      </c>
      <c r="L43" s="25">
        <v>23</v>
      </c>
      <c r="M43" s="25">
        <v>1623.64</v>
      </c>
      <c r="N43" s="25">
        <v>36.04</v>
      </c>
      <c r="O43" s="26">
        <v>-66.86277700083501</v>
      </c>
      <c r="P43" s="25">
        <f t="shared" si="9"/>
        <v>-6.6862777000835011E-2</v>
      </c>
      <c r="Q43" s="26">
        <v>-425.13943899047388</v>
      </c>
      <c r="R43" s="25">
        <f t="shared" si="8"/>
        <v>-0.42513943899047385</v>
      </c>
      <c r="AM43" s="21">
        <v>302.09281373429098</v>
      </c>
      <c r="AW43" s="6" t="s">
        <v>74</v>
      </c>
      <c r="AX43" s="6" t="s">
        <v>74</v>
      </c>
      <c r="AY43" s="6" t="s">
        <v>74</v>
      </c>
      <c r="AZ43" s="6" t="s">
        <v>74</v>
      </c>
      <c r="BA43" s="6" t="s">
        <v>74</v>
      </c>
      <c r="BB43" s="6" t="s">
        <v>74</v>
      </c>
      <c r="BC43" s="6" t="s">
        <v>74</v>
      </c>
      <c r="BD43" s="6" t="s">
        <v>74</v>
      </c>
    </row>
    <row r="44" spans="1:56" x14ac:dyDescent="0.15">
      <c r="A44" s="7" t="s">
        <v>72</v>
      </c>
      <c r="B44" s="8">
        <v>41459</v>
      </c>
      <c r="C44" s="5">
        <v>18</v>
      </c>
      <c r="D44" s="9">
        <f t="shared" si="6"/>
        <v>7</v>
      </c>
      <c r="E44" s="9">
        <f t="shared" si="5"/>
        <v>4</v>
      </c>
      <c r="F44" s="9">
        <f t="shared" si="7"/>
        <v>2013</v>
      </c>
      <c r="G44" s="9"/>
      <c r="H44" s="9"/>
      <c r="I44" s="9"/>
      <c r="J44" s="9"/>
      <c r="K44" s="25">
        <v>28</v>
      </c>
      <c r="L44" s="25">
        <v>23</v>
      </c>
      <c r="M44" s="25">
        <v>1378.2</v>
      </c>
      <c r="N44" s="25">
        <v>66.599999999999994</v>
      </c>
      <c r="O44" s="25">
        <v>0</v>
      </c>
      <c r="P44" s="25">
        <f t="shared" si="9"/>
        <v>0</v>
      </c>
      <c r="Q44" s="25">
        <v>0</v>
      </c>
      <c r="R44" s="25">
        <f t="shared" si="8"/>
        <v>0</v>
      </c>
      <c r="AM44" s="21">
        <v>166.12860912343473</v>
      </c>
      <c r="AW44" s="6" t="s">
        <v>74</v>
      </c>
      <c r="AX44" s="6" t="s">
        <v>74</v>
      </c>
      <c r="AY44" s="6" t="s">
        <v>74</v>
      </c>
      <c r="AZ44" s="6" t="s">
        <v>74</v>
      </c>
      <c r="BA44" s="6" t="s">
        <v>74</v>
      </c>
      <c r="BB44" s="6" t="s">
        <v>74</v>
      </c>
      <c r="BC44" s="6" t="s">
        <v>74</v>
      </c>
      <c r="BD44" s="6" t="s">
        <v>74</v>
      </c>
    </row>
    <row r="45" spans="1:56" x14ac:dyDescent="0.15">
      <c r="A45" s="7" t="s">
        <v>72</v>
      </c>
      <c r="B45" s="8">
        <v>41459</v>
      </c>
      <c r="C45" s="5">
        <v>19</v>
      </c>
      <c r="D45" s="9">
        <f t="shared" si="6"/>
        <v>7</v>
      </c>
      <c r="E45" s="9">
        <f t="shared" si="5"/>
        <v>4</v>
      </c>
      <c r="F45" s="9">
        <f t="shared" si="7"/>
        <v>2013</v>
      </c>
      <c r="G45" s="9"/>
      <c r="H45" s="9"/>
      <c r="I45" s="9"/>
      <c r="J45" s="9"/>
      <c r="K45" s="25">
        <v>28</v>
      </c>
      <c r="L45" s="25">
        <v>23</v>
      </c>
      <c r="M45" s="25">
        <v>1351.8</v>
      </c>
      <c r="N45" s="25">
        <v>46.96</v>
      </c>
      <c r="O45" s="26">
        <v>-32.84816112144869</v>
      </c>
      <c r="P45" s="25">
        <f t="shared" si="9"/>
        <v>-3.2848161121448692E-2</v>
      </c>
      <c r="Q45" s="25">
        <v>0</v>
      </c>
      <c r="R45" s="25">
        <f t="shared" si="8"/>
        <v>0</v>
      </c>
      <c r="AM45" s="21">
        <v>213.98169932432435</v>
      </c>
      <c r="AW45" s="6" t="s">
        <v>74</v>
      </c>
      <c r="AX45" s="6" t="s">
        <v>74</v>
      </c>
      <c r="AY45" s="6" t="s">
        <v>74</v>
      </c>
      <c r="AZ45" s="6" t="s">
        <v>74</v>
      </c>
      <c r="BA45" s="6" t="s">
        <v>74</v>
      </c>
      <c r="BB45" s="6" t="s">
        <v>74</v>
      </c>
      <c r="BC45" s="6" t="s">
        <v>74</v>
      </c>
      <c r="BD45" s="6" t="s">
        <v>74</v>
      </c>
    </row>
    <row r="46" spans="1:56" x14ac:dyDescent="0.15">
      <c r="A46" s="7" t="s">
        <v>72</v>
      </c>
      <c r="B46" s="8">
        <v>41459</v>
      </c>
      <c r="C46" s="5">
        <v>13</v>
      </c>
      <c r="D46" s="9">
        <f t="shared" si="6"/>
        <v>7</v>
      </c>
      <c r="E46" s="9">
        <f t="shared" si="5"/>
        <v>4</v>
      </c>
      <c r="F46" s="9">
        <f t="shared" si="7"/>
        <v>2013</v>
      </c>
      <c r="G46" s="9"/>
      <c r="H46" s="9"/>
      <c r="I46" s="9"/>
      <c r="J46" s="9"/>
      <c r="K46" s="25">
        <v>28</v>
      </c>
      <c r="L46" s="25">
        <v>23</v>
      </c>
      <c r="M46" s="25">
        <v>1646.12</v>
      </c>
      <c r="N46" s="25">
        <v>23.2</v>
      </c>
      <c r="O46" s="26">
        <v>-58.370453033498386</v>
      </c>
      <c r="P46" s="25">
        <f t="shared" si="9"/>
        <v>-5.8370453033498387E-2</v>
      </c>
      <c r="Q46" s="26">
        <v>591.813189208111</v>
      </c>
      <c r="R46" s="25">
        <f t="shared" si="8"/>
        <v>0.59181318920811099</v>
      </c>
      <c r="AM46" s="21" t="s">
        <v>74</v>
      </c>
      <c r="AW46" s="6" t="s">
        <v>74</v>
      </c>
      <c r="AX46" s="6" t="s">
        <v>74</v>
      </c>
      <c r="AY46" s="6" t="s">
        <v>74</v>
      </c>
      <c r="AZ46" s="6" t="s">
        <v>74</v>
      </c>
      <c r="BA46" s="6" t="s">
        <v>74</v>
      </c>
      <c r="BB46" s="6" t="s">
        <v>74</v>
      </c>
      <c r="BC46" s="6" t="s">
        <v>74</v>
      </c>
      <c r="BD46" s="6" t="s">
        <v>74</v>
      </c>
    </row>
    <row r="47" spans="1:56" x14ac:dyDescent="0.15">
      <c r="A47" s="7" t="s">
        <v>72</v>
      </c>
      <c r="B47" s="8">
        <v>41459</v>
      </c>
      <c r="C47" s="5" t="s">
        <v>83</v>
      </c>
      <c r="D47" s="9">
        <f t="shared" si="6"/>
        <v>7</v>
      </c>
      <c r="E47" s="9">
        <f t="shared" si="5"/>
        <v>4</v>
      </c>
      <c r="F47" s="9">
        <f t="shared" si="7"/>
        <v>2013</v>
      </c>
      <c r="G47" s="9"/>
      <c r="H47" s="9"/>
      <c r="I47" s="9"/>
      <c r="J47" s="9"/>
      <c r="K47" s="25">
        <v>28</v>
      </c>
      <c r="L47" s="25">
        <v>23</v>
      </c>
      <c r="M47" s="26">
        <v>309.55414012738851</v>
      </c>
      <c r="N47" s="25">
        <v>0</v>
      </c>
      <c r="O47" s="26">
        <v>0</v>
      </c>
      <c r="P47" s="25">
        <f t="shared" si="9"/>
        <v>0</v>
      </c>
      <c r="Q47" s="26">
        <v>0</v>
      </c>
      <c r="R47" s="25">
        <f t="shared" si="8"/>
        <v>0</v>
      </c>
      <c r="AM47" s="21">
        <v>-81.362030075187903</v>
      </c>
      <c r="AW47" s="6" t="s">
        <v>74</v>
      </c>
      <c r="AX47" s="6" t="s">
        <v>74</v>
      </c>
      <c r="AY47" s="6" t="s">
        <v>74</v>
      </c>
      <c r="AZ47" s="6" t="s">
        <v>74</v>
      </c>
      <c r="BA47" s="6" t="s">
        <v>74</v>
      </c>
      <c r="BB47" s="6" t="s">
        <v>74</v>
      </c>
      <c r="BC47" s="6" t="s">
        <v>74</v>
      </c>
      <c r="BD47" s="6" t="s">
        <v>74</v>
      </c>
    </row>
    <row r="48" spans="1:56" x14ac:dyDescent="0.15">
      <c r="A48" s="7" t="s">
        <v>79</v>
      </c>
      <c r="B48" s="8">
        <v>41459</v>
      </c>
      <c r="C48" s="5">
        <v>14</v>
      </c>
      <c r="D48" s="9">
        <f t="shared" si="6"/>
        <v>7</v>
      </c>
      <c r="E48" s="9">
        <f t="shared" ref="E48:E70" si="10">DAY(B48)</f>
        <v>4</v>
      </c>
      <c r="F48" s="9">
        <f t="shared" si="7"/>
        <v>2013</v>
      </c>
      <c r="G48" s="9"/>
      <c r="H48" s="9"/>
      <c r="I48" s="9"/>
      <c r="J48" s="9"/>
      <c r="K48" s="25">
        <v>14</v>
      </c>
      <c r="L48" s="25">
        <v>23</v>
      </c>
      <c r="M48" s="26">
        <v>3645</v>
      </c>
      <c r="N48" s="26">
        <v>104.8</v>
      </c>
      <c r="O48" s="26">
        <v>378.27468267835513</v>
      </c>
      <c r="P48" s="25">
        <f t="shared" si="9"/>
        <v>0.37827468267835512</v>
      </c>
      <c r="Q48" s="25">
        <v>0</v>
      </c>
      <c r="R48" s="25">
        <f t="shared" si="8"/>
        <v>0</v>
      </c>
      <c r="AW48" s="6" t="s">
        <v>74</v>
      </c>
      <c r="AX48" s="6" t="s">
        <v>74</v>
      </c>
      <c r="AY48" s="6" t="s">
        <v>74</v>
      </c>
      <c r="AZ48" s="6" t="s">
        <v>74</v>
      </c>
      <c r="BA48" s="6" t="s">
        <v>74</v>
      </c>
      <c r="BB48" s="6" t="s">
        <v>74</v>
      </c>
      <c r="BC48" s="6" t="s">
        <v>74</v>
      </c>
      <c r="BD48" s="6" t="s">
        <v>74</v>
      </c>
    </row>
    <row r="49" spans="1:72" x14ac:dyDescent="0.15">
      <c r="A49" s="7" t="s">
        <v>79</v>
      </c>
      <c r="B49" s="8">
        <v>41459</v>
      </c>
      <c r="C49" s="5">
        <v>2</v>
      </c>
      <c r="D49" s="9">
        <f t="shared" si="6"/>
        <v>7</v>
      </c>
      <c r="E49" s="9">
        <f t="shared" si="10"/>
        <v>4</v>
      </c>
      <c r="F49" s="9">
        <f t="shared" si="7"/>
        <v>2013</v>
      </c>
      <c r="G49" s="9"/>
      <c r="H49" s="9"/>
      <c r="I49" s="9"/>
      <c r="J49" s="9"/>
      <c r="K49" s="25">
        <v>14</v>
      </c>
      <c r="L49" s="25">
        <v>23</v>
      </c>
      <c r="M49" s="26">
        <v>2010</v>
      </c>
      <c r="N49" s="26">
        <v>334.7</v>
      </c>
      <c r="O49" s="26">
        <v>223.24861486651443</v>
      </c>
      <c r="P49" s="25">
        <f t="shared" si="9"/>
        <v>0.22324861486651443</v>
      </c>
      <c r="Q49" s="26">
        <v>161.20428485496993</v>
      </c>
      <c r="R49" s="25">
        <f t="shared" si="8"/>
        <v>0.16120428485496993</v>
      </c>
      <c r="AW49" s="6" t="s">
        <v>74</v>
      </c>
      <c r="AX49" s="6" t="s">
        <v>74</v>
      </c>
      <c r="AY49" s="6" t="s">
        <v>74</v>
      </c>
      <c r="AZ49" s="6" t="s">
        <v>74</v>
      </c>
      <c r="BA49" s="6" t="s">
        <v>74</v>
      </c>
      <c r="BB49" s="6" t="s">
        <v>74</v>
      </c>
      <c r="BC49" s="6" t="s">
        <v>74</v>
      </c>
      <c r="BD49" s="6" t="s">
        <v>74</v>
      </c>
    </row>
    <row r="50" spans="1:72" x14ac:dyDescent="0.15">
      <c r="A50" s="7" t="s">
        <v>79</v>
      </c>
      <c r="B50" s="8">
        <v>41459</v>
      </c>
      <c r="C50" s="5">
        <v>3</v>
      </c>
      <c r="D50" s="9">
        <f t="shared" si="6"/>
        <v>7</v>
      </c>
      <c r="E50" s="9">
        <f t="shared" si="10"/>
        <v>4</v>
      </c>
      <c r="F50" s="9">
        <f t="shared" si="7"/>
        <v>2013</v>
      </c>
      <c r="G50" s="9"/>
      <c r="H50" s="9"/>
      <c r="I50" s="9"/>
      <c r="J50" s="9"/>
      <c r="K50" s="25">
        <v>14</v>
      </c>
      <c r="L50" s="25">
        <v>23</v>
      </c>
      <c r="M50" s="26">
        <v>3029</v>
      </c>
      <c r="N50" s="26">
        <v>160.30000000000001</v>
      </c>
      <c r="O50" s="26">
        <v>260.90833430870231</v>
      </c>
      <c r="P50" s="25">
        <f t="shared" si="9"/>
        <v>0.26090833430870231</v>
      </c>
      <c r="Q50" s="26">
        <v>507.41568041052346</v>
      </c>
      <c r="R50" s="25">
        <f t="shared" si="8"/>
        <v>0.50741568041052343</v>
      </c>
      <c r="AW50" s="6" t="s">
        <v>74</v>
      </c>
      <c r="AX50" s="6" t="s">
        <v>74</v>
      </c>
      <c r="AY50" s="6" t="s">
        <v>74</v>
      </c>
      <c r="AZ50" s="6" t="s">
        <v>74</v>
      </c>
      <c r="BA50" s="6" t="s">
        <v>74</v>
      </c>
      <c r="BB50" s="6" t="s">
        <v>74</v>
      </c>
      <c r="BC50" s="6" t="s">
        <v>74</v>
      </c>
      <c r="BD50" s="6" t="s">
        <v>74</v>
      </c>
    </row>
    <row r="51" spans="1:72" x14ac:dyDescent="0.15">
      <c r="A51" s="7" t="s">
        <v>79</v>
      </c>
      <c r="B51" s="8">
        <v>41459</v>
      </c>
      <c r="C51" s="5">
        <v>15</v>
      </c>
      <c r="D51" s="9">
        <f t="shared" si="6"/>
        <v>7</v>
      </c>
      <c r="E51" s="9">
        <f t="shared" si="10"/>
        <v>4</v>
      </c>
      <c r="F51" s="9">
        <f t="shared" si="7"/>
        <v>2013</v>
      </c>
      <c r="G51" s="9"/>
      <c r="H51" s="9"/>
      <c r="I51" s="9"/>
      <c r="J51" s="9"/>
      <c r="K51" s="25">
        <v>14</v>
      </c>
      <c r="L51" s="25">
        <v>23</v>
      </c>
      <c r="M51" s="26">
        <v>5777</v>
      </c>
      <c r="N51" s="26">
        <v>244.4</v>
      </c>
      <c r="O51" s="26">
        <v>1402.0281410240195</v>
      </c>
      <c r="P51" s="25">
        <f t="shared" si="9"/>
        <v>1.4020281410240196</v>
      </c>
      <c r="Q51" s="26">
        <v>4713.9554913898182</v>
      </c>
      <c r="R51" s="25">
        <f t="shared" si="8"/>
        <v>4.7139554913898181</v>
      </c>
      <c r="AW51" s="6" t="s">
        <v>74</v>
      </c>
      <c r="AX51" s="6" t="s">
        <v>74</v>
      </c>
      <c r="AY51" s="6" t="s">
        <v>74</v>
      </c>
      <c r="AZ51" s="6" t="s">
        <v>74</v>
      </c>
      <c r="BA51" s="6" t="s">
        <v>74</v>
      </c>
      <c r="BB51" s="6" t="s">
        <v>74</v>
      </c>
      <c r="BC51" s="6" t="s">
        <v>74</v>
      </c>
      <c r="BD51" s="6" t="s">
        <v>74</v>
      </c>
    </row>
    <row r="52" spans="1:72" x14ac:dyDescent="0.15">
      <c r="A52" s="7" t="s">
        <v>79</v>
      </c>
      <c r="B52" s="8">
        <v>41459</v>
      </c>
      <c r="C52" s="5" t="s">
        <v>83</v>
      </c>
      <c r="D52" s="9">
        <f t="shared" si="6"/>
        <v>7</v>
      </c>
      <c r="E52" s="9">
        <f t="shared" si="10"/>
        <v>4</v>
      </c>
      <c r="F52" s="9">
        <f t="shared" si="7"/>
        <v>2013</v>
      </c>
      <c r="G52" s="9"/>
      <c r="H52" s="9"/>
      <c r="I52" s="9"/>
      <c r="J52" s="9"/>
      <c r="K52" s="25">
        <v>14</v>
      </c>
      <c r="L52" s="25">
        <v>23</v>
      </c>
      <c r="M52" s="26">
        <v>703.18471337579626</v>
      </c>
      <c r="N52" s="26">
        <v>152.86624203821657</v>
      </c>
      <c r="O52" s="25">
        <v>0</v>
      </c>
      <c r="P52" s="25">
        <f t="shared" si="9"/>
        <v>0</v>
      </c>
      <c r="Q52" s="25">
        <v>0</v>
      </c>
      <c r="R52" s="25">
        <f t="shared" si="8"/>
        <v>0</v>
      </c>
      <c r="AW52" s="6" t="s">
        <v>74</v>
      </c>
      <c r="AX52" s="6" t="s">
        <v>74</v>
      </c>
      <c r="AY52" s="6" t="s">
        <v>74</v>
      </c>
      <c r="AZ52" s="6" t="s">
        <v>74</v>
      </c>
      <c r="BA52" s="6" t="s">
        <v>74</v>
      </c>
      <c r="BB52" s="6" t="s">
        <v>74</v>
      </c>
      <c r="BC52" s="6" t="s">
        <v>74</v>
      </c>
      <c r="BD52" s="6" t="s">
        <v>74</v>
      </c>
    </row>
    <row r="53" spans="1:72" x14ac:dyDescent="0.15">
      <c r="A53" s="7" t="s">
        <v>72</v>
      </c>
      <c r="B53" s="8">
        <v>41493</v>
      </c>
      <c r="C53" s="5">
        <v>7</v>
      </c>
      <c r="D53" s="9">
        <f t="shared" si="6"/>
        <v>8</v>
      </c>
      <c r="E53" s="9">
        <f t="shared" si="10"/>
        <v>7</v>
      </c>
      <c r="F53" s="9">
        <f t="shared" si="7"/>
        <v>2013</v>
      </c>
      <c r="G53" s="9"/>
      <c r="H53" s="9"/>
      <c r="I53" s="9"/>
      <c r="J53" s="9"/>
      <c r="K53" s="25">
        <v>30.5</v>
      </c>
      <c r="L53" s="25">
        <v>20.6</v>
      </c>
      <c r="M53" s="25">
        <v>1433.88</v>
      </c>
      <c r="N53" s="25">
        <v>20.48</v>
      </c>
      <c r="O53" s="26">
        <v>36.96878932675947</v>
      </c>
      <c r="P53" s="27">
        <f t="shared" si="9"/>
        <v>3.6968789326759469E-2</v>
      </c>
      <c r="Q53" s="26">
        <v>128.04457632686422</v>
      </c>
      <c r="R53" s="27">
        <f t="shared" si="8"/>
        <v>0.12804457632686422</v>
      </c>
      <c r="AG53" s="6" t="s">
        <v>74</v>
      </c>
      <c r="AH53" s="6" t="s">
        <v>74</v>
      </c>
      <c r="AI53" s="6" t="s">
        <v>74</v>
      </c>
      <c r="AJ53" s="6" t="s">
        <v>74</v>
      </c>
      <c r="AK53" s="6" t="s">
        <v>74</v>
      </c>
      <c r="AL53" s="6" t="s">
        <v>74</v>
      </c>
      <c r="AM53" s="21">
        <v>192.90964974293064</v>
      </c>
      <c r="AN53" s="21">
        <v>0.18066860000000001</v>
      </c>
      <c r="AO53" s="21">
        <v>1.8146735000000001</v>
      </c>
      <c r="AP53" s="21">
        <v>10.044210781508241</v>
      </c>
      <c r="AQ53" s="21">
        <v>0.23550205000000002</v>
      </c>
      <c r="AR53" s="21">
        <v>1.7703325000000001</v>
      </c>
      <c r="AS53" s="21">
        <v>7.517270019517877</v>
      </c>
      <c r="AT53" s="6" t="s">
        <v>87</v>
      </c>
      <c r="AU53" s="6">
        <v>5.6647398843930805</v>
      </c>
      <c r="AV53" s="6">
        <v>5.4492187500000071</v>
      </c>
      <c r="AW53" s="6" t="s">
        <v>74</v>
      </c>
      <c r="AX53" s="6" t="s">
        <v>74</v>
      </c>
      <c r="AY53" s="6" t="s">
        <v>74</v>
      </c>
      <c r="AZ53" s="6" t="s">
        <v>74</v>
      </c>
      <c r="BA53" s="6" t="s">
        <v>74</v>
      </c>
      <c r="BB53" s="6" t="s">
        <v>74</v>
      </c>
      <c r="BC53" s="6" t="s">
        <v>74</v>
      </c>
      <c r="BD53" s="6" t="s">
        <v>74</v>
      </c>
      <c r="BE53" s="21">
        <v>25.446931313055696</v>
      </c>
      <c r="BF53" s="21">
        <v>269.64790267494891</v>
      </c>
      <c r="BG53" s="21">
        <v>17.134106856369751</v>
      </c>
      <c r="BH53" s="21">
        <v>230.19427213648999</v>
      </c>
      <c r="BI53" s="21">
        <v>14.744942739879905</v>
      </c>
      <c r="BJ53" s="21">
        <v>194.9714379623434</v>
      </c>
      <c r="BK53" s="21">
        <v>15.186748321514477</v>
      </c>
      <c r="BL53" s="21">
        <v>166.29657738661277</v>
      </c>
      <c r="BM53" s="6">
        <v>1.4488125000000009</v>
      </c>
      <c r="BN53" s="6">
        <v>1.4656363636363654</v>
      </c>
      <c r="BO53" s="6">
        <v>1.4044999999999987</v>
      </c>
      <c r="BP53" s="6">
        <v>1.3726999999999947</v>
      </c>
      <c r="BQ53" s="6">
        <v>0.76578984249866588</v>
      </c>
      <c r="BR53" s="6">
        <v>0.72562799990400395</v>
      </c>
      <c r="BS53" s="6">
        <v>0.66878945350271679</v>
      </c>
      <c r="BT53" s="6">
        <v>0.59389125652417485</v>
      </c>
    </row>
    <row r="54" spans="1:72" x14ac:dyDescent="0.15">
      <c r="A54" s="7" t="s">
        <v>72</v>
      </c>
      <c r="B54" s="8">
        <v>41493</v>
      </c>
      <c r="C54" s="5">
        <v>16</v>
      </c>
      <c r="D54" s="9">
        <f t="shared" si="6"/>
        <v>8</v>
      </c>
      <c r="E54" s="9">
        <f t="shared" si="10"/>
        <v>7</v>
      </c>
      <c r="F54" s="9">
        <f t="shared" si="7"/>
        <v>2013</v>
      </c>
      <c r="G54" s="9"/>
      <c r="H54" s="9"/>
      <c r="I54" s="9"/>
      <c r="J54" s="9"/>
      <c r="K54" s="25">
        <v>30.5</v>
      </c>
      <c r="L54" s="25">
        <v>20.6</v>
      </c>
      <c r="M54" s="25">
        <v>1778.28</v>
      </c>
      <c r="N54" s="25">
        <v>73.08</v>
      </c>
      <c r="O54" s="26">
        <v>17.599501839045868</v>
      </c>
      <c r="P54" s="25">
        <f t="shared" si="9"/>
        <v>1.7599501839045868E-2</v>
      </c>
      <c r="Q54" s="26">
        <v>216.88475561490978</v>
      </c>
      <c r="R54" s="25">
        <f t="shared" si="8"/>
        <v>0.21688475561490977</v>
      </c>
      <c r="AG54" s="6" t="s">
        <v>74</v>
      </c>
      <c r="AH54" s="6" t="s">
        <v>74</v>
      </c>
      <c r="AI54" s="6" t="s">
        <v>74</v>
      </c>
      <c r="AJ54" s="6" t="s">
        <v>74</v>
      </c>
      <c r="AK54" s="6" t="s">
        <v>74</v>
      </c>
      <c r="AL54" s="6" t="s">
        <v>74</v>
      </c>
      <c r="AM54" s="21">
        <v>253.25733590733589</v>
      </c>
      <c r="AN54" s="21">
        <v>0.19542614999999999</v>
      </c>
      <c r="AO54" s="21">
        <v>1.8505340000000001</v>
      </c>
      <c r="AP54" s="21">
        <v>9.4692240521547415</v>
      </c>
      <c r="AQ54" s="21">
        <v>0.18875629999999999</v>
      </c>
      <c r="AR54" s="21">
        <v>1.8533219999999999</v>
      </c>
      <c r="AS54" s="21">
        <v>9.8185967832596841</v>
      </c>
      <c r="AT54" s="6" t="s">
        <v>87</v>
      </c>
      <c r="AU54" s="6">
        <v>5.9640265067844496</v>
      </c>
      <c r="AV54" s="6">
        <v>6.5223665223665721</v>
      </c>
      <c r="AW54" s="6" t="s">
        <v>74</v>
      </c>
      <c r="AX54" s="6" t="s">
        <v>74</v>
      </c>
      <c r="AY54" s="6" t="s">
        <v>74</v>
      </c>
      <c r="AZ54" s="6" t="s">
        <v>74</v>
      </c>
      <c r="BA54" s="6" t="s">
        <v>74</v>
      </c>
      <c r="BB54" s="6" t="s">
        <v>74</v>
      </c>
      <c r="BC54" s="6" t="s">
        <v>74</v>
      </c>
      <c r="BD54" s="6" t="s">
        <v>74</v>
      </c>
      <c r="BE54" s="21">
        <v>50.807106314406909</v>
      </c>
      <c r="BF54" s="21">
        <v>379.71971429411411</v>
      </c>
      <c r="BG54" s="21">
        <v>24.384834201608928</v>
      </c>
      <c r="BH54" s="21">
        <v>221.89738240868979</v>
      </c>
      <c r="BI54" s="21">
        <v>20.834866789097866</v>
      </c>
      <c r="BJ54" s="21">
        <v>234.27225824839383</v>
      </c>
      <c r="BK54" s="21">
        <v>20.03423276845146</v>
      </c>
      <c r="BL54" s="21">
        <v>197.37423214288691</v>
      </c>
      <c r="BM54" s="6">
        <v>1.3822777777777795</v>
      </c>
      <c r="BN54" s="6">
        <v>1.4338421052631574</v>
      </c>
      <c r="BO54" s="6">
        <v>1.670142857142858</v>
      </c>
      <c r="BP54" s="6">
        <v>1.5427272727272692</v>
      </c>
      <c r="BQ54" s="6">
        <v>0.73188634870049873</v>
      </c>
      <c r="BR54" s="6">
        <v>0.72497405464464482</v>
      </c>
      <c r="BS54" s="6">
        <v>0.79714669652855574</v>
      </c>
      <c r="BT54" s="6">
        <v>0.61781593757366082</v>
      </c>
    </row>
    <row r="55" spans="1:72" x14ac:dyDescent="0.15">
      <c r="A55" s="7" t="s">
        <v>72</v>
      </c>
      <c r="B55" s="8">
        <v>41493</v>
      </c>
      <c r="C55" s="5">
        <v>4</v>
      </c>
      <c r="D55" s="9">
        <f t="shared" si="6"/>
        <v>8</v>
      </c>
      <c r="E55" s="9">
        <f t="shared" si="10"/>
        <v>7</v>
      </c>
      <c r="F55" s="9">
        <f t="shared" si="7"/>
        <v>2013</v>
      </c>
      <c r="G55" s="9"/>
      <c r="H55" s="9"/>
      <c r="I55" s="9"/>
      <c r="J55" s="9"/>
      <c r="K55" s="25">
        <v>30.5</v>
      </c>
      <c r="L55" s="25">
        <v>20.6</v>
      </c>
      <c r="M55" s="25">
        <v>2044.9</v>
      </c>
      <c r="N55" s="25">
        <v>-9.7899999999999991</v>
      </c>
      <c r="O55" s="25">
        <v>0</v>
      </c>
      <c r="P55" s="25">
        <f t="shared" si="9"/>
        <v>0</v>
      </c>
      <c r="Q55" s="26">
        <v>337.34533033985775</v>
      </c>
      <c r="R55" s="25">
        <f t="shared" si="8"/>
        <v>0.33734533033985775</v>
      </c>
      <c r="AG55" s="6" t="s">
        <v>74</v>
      </c>
      <c r="AH55" s="6" t="s">
        <v>74</v>
      </c>
      <c r="AI55" s="6" t="s">
        <v>74</v>
      </c>
      <c r="AJ55" s="6" t="s">
        <v>74</v>
      </c>
      <c r="AK55" s="6" t="s">
        <v>74</v>
      </c>
      <c r="AL55" s="6" t="s">
        <v>74</v>
      </c>
      <c r="AM55" s="21">
        <v>369.46550128534699</v>
      </c>
      <c r="AN55" s="21">
        <v>0.1917865</v>
      </c>
      <c r="AO55" s="21">
        <v>1.7994675</v>
      </c>
      <c r="AP55" s="21">
        <v>9.382659884819839</v>
      </c>
      <c r="AQ55" s="21">
        <v>0.21392264999999999</v>
      </c>
      <c r="AR55" s="21">
        <v>1.7636685000000001</v>
      </c>
      <c r="AS55" s="21">
        <v>8.244421523387075</v>
      </c>
      <c r="AT55" s="6" t="s">
        <v>87</v>
      </c>
      <c r="AU55" s="6">
        <v>5.6808199121522955</v>
      </c>
      <c r="AV55" s="6">
        <v>5.319148936170218</v>
      </c>
      <c r="AW55" s="6" t="s">
        <v>74</v>
      </c>
      <c r="AX55" s="6" t="s">
        <v>74</v>
      </c>
      <c r="AY55" s="6" t="s">
        <v>74</v>
      </c>
      <c r="AZ55" s="6" t="s">
        <v>74</v>
      </c>
      <c r="BA55" s="6" t="s">
        <v>74</v>
      </c>
      <c r="BB55" s="6" t="s">
        <v>74</v>
      </c>
      <c r="BC55" s="6" t="s">
        <v>74</v>
      </c>
      <c r="BD55" s="6" t="s">
        <v>74</v>
      </c>
      <c r="BE55" s="21">
        <v>38.801455206807745</v>
      </c>
      <c r="BF55" s="21">
        <v>332.00615996308295</v>
      </c>
      <c r="BG55" s="21">
        <v>28.049537669317058</v>
      </c>
      <c r="BH55" s="21">
        <v>237.18919448927721</v>
      </c>
      <c r="BI55" s="21">
        <v>17.432339805896163</v>
      </c>
      <c r="BJ55" s="21">
        <v>210.6337959447003</v>
      </c>
      <c r="BK55" s="21">
        <v>28.304017237393118</v>
      </c>
      <c r="BL55" s="21">
        <v>254.28490031295254</v>
      </c>
      <c r="BM55" s="6">
        <v>1.4590000000000032</v>
      </c>
      <c r="BN55" s="6">
        <v>1.4129090909090929</v>
      </c>
      <c r="BO55" s="6" t="s">
        <v>74</v>
      </c>
      <c r="BP55" s="6">
        <v>1.3204545454545453</v>
      </c>
      <c r="BQ55" s="6">
        <v>0.78325504970984028</v>
      </c>
      <c r="BR55" s="6">
        <v>0.66614082531802699</v>
      </c>
      <c r="BS55" s="6" t="s">
        <v>74</v>
      </c>
      <c r="BT55" s="6">
        <v>0.59316919464512252</v>
      </c>
    </row>
    <row r="56" spans="1:72" x14ac:dyDescent="0.15">
      <c r="A56" s="7" t="s">
        <v>72</v>
      </c>
      <c r="B56" s="8">
        <v>41493</v>
      </c>
      <c r="C56" s="5">
        <v>9</v>
      </c>
      <c r="D56" s="9">
        <f t="shared" si="6"/>
        <v>8</v>
      </c>
      <c r="E56" s="9">
        <f t="shared" si="10"/>
        <v>7</v>
      </c>
      <c r="F56" s="9">
        <f t="shared" si="7"/>
        <v>2013</v>
      </c>
      <c r="G56" s="9"/>
      <c r="H56" s="9"/>
      <c r="I56" s="9"/>
      <c r="J56" s="9"/>
      <c r="K56" s="25">
        <v>30.5</v>
      </c>
      <c r="L56" s="25">
        <v>20.6</v>
      </c>
      <c r="M56" s="25">
        <v>1671.94</v>
      </c>
      <c r="N56" s="25">
        <v>-23.05</v>
      </c>
      <c r="O56" s="26">
        <v>-27.564424412817967</v>
      </c>
      <c r="P56" s="27">
        <f t="shared" si="9"/>
        <v>-2.7564424412817968E-2</v>
      </c>
      <c r="Q56" s="26">
        <v>1403.4425719237786</v>
      </c>
      <c r="R56" s="27">
        <f t="shared" si="8"/>
        <v>1.4034425719237786</v>
      </c>
      <c r="AG56" s="6" t="s">
        <v>74</v>
      </c>
      <c r="AH56" s="6" t="s">
        <v>74</v>
      </c>
      <c r="AI56" s="6" t="s">
        <v>74</v>
      </c>
      <c r="AJ56" s="6" t="s">
        <v>74</v>
      </c>
      <c r="AK56" s="6" t="s">
        <v>74</v>
      </c>
      <c r="AL56" s="6" t="s">
        <v>74</v>
      </c>
      <c r="AM56" s="21">
        <v>196.10540757381261</v>
      </c>
      <c r="AN56" s="21">
        <v>0.1746432</v>
      </c>
      <c r="AO56" s="21">
        <v>1.5997135</v>
      </c>
      <c r="AP56" s="21">
        <v>9.1598957188141306</v>
      </c>
      <c r="AQ56" s="21">
        <v>0.18344325</v>
      </c>
      <c r="AR56" s="21">
        <v>1.761196</v>
      </c>
      <c r="AS56" s="21">
        <v>9.6007675398249859</v>
      </c>
      <c r="AT56" s="6" t="s">
        <v>87</v>
      </c>
      <c r="AU56" s="6">
        <v>5.5869872701555225</v>
      </c>
      <c r="AV56" s="6">
        <v>5.4227756577625854</v>
      </c>
      <c r="AW56" s="6" t="s">
        <v>74</v>
      </c>
      <c r="AX56" s="6" t="s">
        <v>74</v>
      </c>
      <c r="AY56" s="6" t="s">
        <v>74</v>
      </c>
      <c r="AZ56" s="6" t="s">
        <v>74</v>
      </c>
      <c r="BA56" s="6" t="s">
        <v>74</v>
      </c>
      <c r="BB56" s="6" t="s">
        <v>74</v>
      </c>
      <c r="BC56" s="6" t="s">
        <v>74</v>
      </c>
      <c r="BD56" s="6" t="s">
        <v>74</v>
      </c>
      <c r="BE56" s="21">
        <v>24.713184398675285</v>
      </c>
      <c r="BF56" s="21">
        <v>234.23316997212476</v>
      </c>
      <c r="BG56" s="21">
        <v>25.19129570337174</v>
      </c>
      <c r="BH56" s="21">
        <v>232.34710004772384</v>
      </c>
      <c r="BI56" s="21">
        <v>22.819356177084511</v>
      </c>
      <c r="BJ56" s="21">
        <v>222.70977416041399</v>
      </c>
      <c r="BK56" s="21">
        <v>19.537293886490129</v>
      </c>
      <c r="BL56" s="21">
        <v>220.49546468962814</v>
      </c>
      <c r="BM56" s="6">
        <v>1.517000000000003</v>
      </c>
      <c r="BN56" s="6">
        <v>1.4779999999999989</v>
      </c>
      <c r="BO56" s="6">
        <v>1.5502500000000017</v>
      </c>
      <c r="BP56" s="6">
        <v>1.2948000000000022</v>
      </c>
      <c r="BQ56" s="6">
        <v>0.82479107275856034</v>
      </c>
      <c r="BR56" s="6">
        <v>0.69466269401718928</v>
      </c>
      <c r="BS56" s="6">
        <v>0.68458978342603316</v>
      </c>
      <c r="BT56" s="6">
        <v>0.5481838245509586</v>
      </c>
    </row>
    <row r="57" spans="1:72" x14ac:dyDescent="0.15">
      <c r="A57" s="7" t="s">
        <v>72</v>
      </c>
      <c r="B57" s="8">
        <v>41493</v>
      </c>
      <c r="C57" s="5" t="s">
        <v>83</v>
      </c>
      <c r="D57" s="9">
        <f t="shared" si="6"/>
        <v>8</v>
      </c>
      <c r="E57" s="9">
        <f t="shared" si="10"/>
        <v>7</v>
      </c>
      <c r="F57" s="9">
        <f t="shared" si="7"/>
        <v>2013</v>
      </c>
      <c r="G57" s="9"/>
      <c r="H57" s="9"/>
      <c r="I57" s="9"/>
      <c r="J57" s="9"/>
      <c r="K57" s="25">
        <v>30.5</v>
      </c>
      <c r="L57" s="25">
        <v>20.6</v>
      </c>
      <c r="M57" s="25">
        <v>0</v>
      </c>
      <c r="N57" s="25">
        <v>0</v>
      </c>
      <c r="O57" s="25">
        <v>0</v>
      </c>
      <c r="P57" s="25">
        <f t="shared" si="9"/>
        <v>0</v>
      </c>
      <c r="Q57" s="25">
        <v>0</v>
      </c>
      <c r="R57" s="25">
        <f t="shared" si="8"/>
        <v>0</v>
      </c>
      <c r="AG57" s="6" t="s">
        <v>74</v>
      </c>
      <c r="AH57" s="6" t="s">
        <v>74</v>
      </c>
      <c r="AI57" s="6" t="s">
        <v>74</v>
      </c>
      <c r="AJ57" s="6" t="s">
        <v>74</v>
      </c>
      <c r="AK57" s="6" t="s">
        <v>74</v>
      </c>
      <c r="AL57" s="6" t="s">
        <v>74</v>
      </c>
      <c r="AM57" s="21">
        <v>18.609481668773554</v>
      </c>
      <c r="AN57" s="21" t="s">
        <v>74</v>
      </c>
      <c r="AO57" s="21" t="s">
        <v>74</v>
      </c>
      <c r="AP57" s="21" t="s">
        <v>74</v>
      </c>
      <c r="AQ57" s="21" t="s">
        <v>74</v>
      </c>
      <c r="AR57" s="21" t="s">
        <v>74</v>
      </c>
      <c r="AS57" s="21" t="s">
        <v>74</v>
      </c>
      <c r="AT57" s="6" t="s">
        <v>74</v>
      </c>
      <c r="AU57" s="6" t="s">
        <v>74</v>
      </c>
      <c r="AV57" s="6" t="s">
        <v>74</v>
      </c>
      <c r="AW57" s="6" t="s">
        <v>74</v>
      </c>
      <c r="AX57" s="6" t="s">
        <v>74</v>
      </c>
      <c r="AY57" s="6" t="s">
        <v>74</v>
      </c>
      <c r="AZ57" s="6" t="s">
        <v>74</v>
      </c>
      <c r="BA57" s="6" t="s">
        <v>74</v>
      </c>
      <c r="BB57" s="6" t="s">
        <v>74</v>
      </c>
      <c r="BC57" s="6" t="s">
        <v>74</v>
      </c>
      <c r="BD57" s="6" t="s">
        <v>74</v>
      </c>
    </row>
    <row r="58" spans="1:72" x14ac:dyDescent="0.15">
      <c r="A58" s="7" t="s">
        <v>79</v>
      </c>
      <c r="B58" s="8">
        <v>41493</v>
      </c>
      <c r="C58" s="5">
        <v>2</v>
      </c>
      <c r="D58" s="9">
        <f t="shared" si="6"/>
        <v>8</v>
      </c>
      <c r="E58" s="9">
        <f t="shared" si="10"/>
        <v>7</v>
      </c>
      <c r="F58" s="9">
        <f t="shared" si="7"/>
        <v>2013</v>
      </c>
      <c r="G58" s="9"/>
      <c r="H58" s="9"/>
      <c r="I58" s="9"/>
      <c r="J58" s="9"/>
      <c r="K58" s="25">
        <v>28.45</v>
      </c>
      <c r="L58" s="25">
        <v>20.6</v>
      </c>
      <c r="M58" s="26">
        <v>1662</v>
      </c>
      <c r="N58" s="26">
        <v>144.9</v>
      </c>
      <c r="O58" s="26">
        <f>0</f>
        <v>0</v>
      </c>
      <c r="P58" s="27">
        <f t="shared" si="9"/>
        <v>0</v>
      </c>
      <c r="Q58" s="26">
        <f>0</f>
        <v>0</v>
      </c>
      <c r="R58" s="25">
        <f t="shared" si="8"/>
        <v>0</v>
      </c>
      <c r="AG58" s="6" t="s">
        <v>74</v>
      </c>
      <c r="AH58" s="6" t="s">
        <v>74</v>
      </c>
      <c r="AI58" s="6" t="s">
        <v>74</v>
      </c>
      <c r="AJ58" s="6" t="s">
        <v>74</v>
      </c>
      <c r="AK58" s="6" t="s">
        <v>74</v>
      </c>
      <c r="AL58" s="6" t="s">
        <v>74</v>
      </c>
      <c r="AM58" s="21">
        <v>36.606620839363167</v>
      </c>
      <c r="AN58" s="21">
        <v>0.35673139999999998</v>
      </c>
      <c r="AO58" s="21">
        <v>4.0395260000000004</v>
      </c>
      <c r="AP58" s="21">
        <v>11.323718629758975</v>
      </c>
      <c r="AQ58" s="21">
        <v>0.30390474999999995</v>
      </c>
      <c r="AR58" s="21">
        <v>3.5534089999999998</v>
      </c>
      <c r="AS58" s="21">
        <v>11.692508919324231</v>
      </c>
      <c r="AT58" s="6" t="s">
        <v>87</v>
      </c>
      <c r="AU58" s="6">
        <v>9.7781120722076054</v>
      </c>
      <c r="AV58" s="6">
        <v>8.652618135376791</v>
      </c>
      <c r="AW58" s="6" t="s">
        <v>74</v>
      </c>
      <c r="AX58" s="6" t="s">
        <v>74</v>
      </c>
      <c r="AY58" s="6" t="s">
        <v>74</v>
      </c>
      <c r="AZ58" s="6" t="s">
        <v>74</v>
      </c>
      <c r="BA58" s="6" t="s">
        <v>74</v>
      </c>
      <c r="BB58" s="6" t="s">
        <v>74</v>
      </c>
      <c r="BC58" s="6" t="s">
        <v>74</v>
      </c>
      <c r="BD58" s="6" t="s">
        <v>74</v>
      </c>
      <c r="BE58" s="21">
        <v>38.167571392648817</v>
      </c>
      <c r="BF58" s="21">
        <v>284.27739276228004</v>
      </c>
      <c r="BG58" s="21">
        <v>51.128126665448633</v>
      </c>
      <c r="BH58" s="21">
        <v>293.14069583771038</v>
      </c>
      <c r="BI58" s="21">
        <v>49.190652428952411</v>
      </c>
      <c r="BJ58" s="21">
        <v>252.15932823867394</v>
      </c>
      <c r="BK58" s="21">
        <v>14.985613322055093</v>
      </c>
      <c r="BL58" s="21">
        <v>140.80548460726936</v>
      </c>
      <c r="BM58" s="6">
        <v>1.2002500000000007</v>
      </c>
      <c r="BN58" s="6">
        <v>1.2463636363636377</v>
      </c>
      <c r="BO58" s="6">
        <v>1.4855384615384648</v>
      </c>
      <c r="BP58" s="6">
        <v>1.6915454545454562</v>
      </c>
      <c r="BQ58" s="6">
        <v>0.75163636425573699</v>
      </c>
      <c r="BR58" s="6">
        <v>0.71050150285977909</v>
      </c>
      <c r="BS58" s="6">
        <v>0.75521928112230474</v>
      </c>
      <c r="BT58" s="6">
        <v>0.70836179282354894</v>
      </c>
    </row>
    <row r="59" spans="1:72" x14ac:dyDescent="0.15">
      <c r="A59" s="7" t="s">
        <v>79</v>
      </c>
      <c r="B59" s="8">
        <v>41493</v>
      </c>
      <c r="C59" s="5">
        <v>6</v>
      </c>
      <c r="D59" s="9">
        <f t="shared" si="6"/>
        <v>8</v>
      </c>
      <c r="E59" s="9">
        <f t="shared" si="10"/>
        <v>7</v>
      </c>
      <c r="F59" s="9">
        <f t="shared" si="7"/>
        <v>2013</v>
      </c>
      <c r="G59" s="9"/>
      <c r="H59" s="9"/>
      <c r="I59" s="9"/>
      <c r="J59" s="9"/>
      <c r="K59" s="25">
        <v>28.45</v>
      </c>
      <c r="L59" s="25">
        <v>20.6</v>
      </c>
      <c r="M59" s="26">
        <v>1701</v>
      </c>
      <c r="N59" s="26">
        <v>82.9</v>
      </c>
      <c r="O59" s="26">
        <f>88.8216695010236</f>
        <v>88.821669501023607</v>
      </c>
      <c r="P59" s="27">
        <f t="shared" si="9"/>
        <v>8.8821669501023603E-2</v>
      </c>
      <c r="Q59" s="26">
        <f>0</f>
        <v>0</v>
      </c>
      <c r="R59" s="25">
        <f t="shared" si="8"/>
        <v>0</v>
      </c>
      <c r="AG59" s="6" t="s">
        <v>74</v>
      </c>
      <c r="AH59" s="6" t="s">
        <v>74</v>
      </c>
      <c r="AI59" s="6" t="s">
        <v>74</v>
      </c>
      <c r="AJ59" s="6" t="s">
        <v>74</v>
      </c>
      <c r="AK59" s="6" t="s">
        <v>74</v>
      </c>
      <c r="AL59" s="6" t="s">
        <v>74</v>
      </c>
      <c r="AM59" s="21">
        <v>184.55762247838621</v>
      </c>
      <c r="AN59" s="21">
        <v>0.34424690000000002</v>
      </c>
      <c r="AO59" s="21">
        <v>3.7677329999999998</v>
      </c>
      <c r="AP59" s="21">
        <v>10.944856729283545</v>
      </c>
      <c r="AQ59" s="21">
        <v>0.36031920000000001</v>
      </c>
      <c r="AR59" s="21">
        <v>4.0202605</v>
      </c>
      <c r="AS59" s="21">
        <v>11.157497296841244</v>
      </c>
      <c r="AT59" s="6" t="s">
        <v>87</v>
      </c>
      <c r="AU59" s="6">
        <v>9.6336996336996332</v>
      </c>
      <c r="AV59" s="6">
        <v>10.188527878058515</v>
      </c>
      <c r="AW59" s="6" t="s">
        <v>74</v>
      </c>
      <c r="AX59" s="6" t="s">
        <v>74</v>
      </c>
      <c r="AY59" s="6" t="s">
        <v>74</v>
      </c>
      <c r="AZ59" s="6" t="s">
        <v>74</v>
      </c>
      <c r="BA59" s="6" t="s">
        <v>74</v>
      </c>
      <c r="BB59" s="6" t="s">
        <v>74</v>
      </c>
      <c r="BC59" s="6" t="s">
        <v>74</v>
      </c>
      <c r="BD59" s="6" t="s">
        <v>74</v>
      </c>
      <c r="BE59" s="21">
        <v>78.015129351206355</v>
      </c>
      <c r="BF59" s="21">
        <v>312.46950104345279</v>
      </c>
      <c r="BG59" s="21">
        <v>39.567224915149488</v>
      </c>
      <c r="BH59" s="21">
        <v>236.88399998798553</v>
      </c>
      <c r="BI59" s="21">
        <v>36.744602927750734</v>
      </c>
      <c r="BJ59" s="21">
        <v>300.61221012569058</v>
      </c>
      <c r="BK59" s="21">
        <v>26.848330870692216</v>
      </c>
      <c r="BL59" s="21">
        <v>416.32727349317099</v>
      </c>
      <c r="BM59" s="6">
        <v>1.2285555555555583</v>
      </c>
      <c r="BN59" s="6">
        <v>1.3652142857142884</v>
      </c>
      <c r="BO59" s="6">
        <v>1.3433333333333346</v>
      </c>
      <c r="BP59" s="6">
        <v>1.2966470588235313</v>
      </c>
      <c r="BQ59" s="6">
        <v>0.82663982872839081</v>
      </c>
      <c r="BR59" s="6">
        <v>0.85488146143722954</v>
      </c>
      <c r="BS59" s="6">
        <v>0.84650998293908875</v>
      </c>
      <c r="BT59" s="6">
        <v>0.79297229382957035</v>
      </c>
    </row>
    <row r="60" spans="1:72" x14ac:dyDescent="0.15">
      <c r="A60" s="7" t="s">
        <v>79</v>
      </c>
      <c r="B60" s="8">
        <v>41493</v>
      </c>
      <c r="C60" s="5">
        <v>5</v>
      </c>
      <c r="D60" s="9">
        <f t="shared" si="6"/>
        <v>8</v>
      </c>
      <c r="E60" s="9">
        <f t="shared" si="10"/>
        <v>7</v>
      </c>
      <c r="F60" s="9">
        <f t="shared" si="7"/>
        <v>2013</v>
      </c>
      <c r="G60" s="9"/>
      <c r="H60" s="9"/>
      <c r="I60" s="9"/>
      <c r="J60" s="9"/>
      <c r="K60" s="25">
        <v>28.45</v>
      </c>
      <c r="L60" s="25">
        <v>20.6</v>
      </c>
      <c r="M60" s="26">
        <v>1381</v>
      </c>
      <c r="N60" s="26">
        <v>101.6</v>
      </c>
      <c r="O60" s="26">
        <f>0</f>
        <v>0</v>
      </c>
      <c r="P60" s="27">
        <f t="shared" si="9"/>
        <v>0</v>
      </c>
      <c r="Q60" s="26">
        <f>685.105130672389</f>
        <v>685.10513067238901</v>
      </c>
      <c r="R60" s="27">
        <f t="shared" si="8"/>
        <v>0.68510513067238898</v>
      </c>
      <c r="AG60" s="6" t="s">
        <v>74</v>
      </c>
      <c r="AH60" s="6" t="s">
        <v>74</v>
      </c>
      <c r="AI60" s="6" t="s">
        <v>74</v>
      </c>
      <c r="AJ60" s="6" t="s">
        <v>74</v>
      </c>
      <c r="AK60" s="6" t="s">
        <v>74</v>
      </c>
      <c r="AL60" s="6" t="s">
        <v>74</v>
      </c>
      <c r="AM60" s="21">
        <v>42.291860549133048</v>
      </c>
      <c r="AN60" s="21">
        <v>0.32935195</v>
      </c>
      <c r="AO60" s="21">
        <v>3.9314305000000003</v>
      </c>
      <c r="AP60" s="21">
        <v>11.936867232758148</v>
      </c>
      <c r="AQ60" s="21">
        <v>0.30090905000000001</v>
      </c>
      <c r="AR60" s="21">
        <v>3.5939969999999999</v>
      </c>
      <c r="AS60" s="21">
        <v>11.943798300516384</v>
      </c>
      <c r="AT60" s="6" t="s">
        <v>87</v>
      </c>
      <c r="AU60" s="6">
        <v>9.9999999999999361</v>
      </c>
      <c r="AV60" s="6">
        <v>7.8974012824839237</v>
      </c>
      <c r="AW60" s="6" t="s">
        <v>74</v>
      </c>
      <c r="AX60" s="6" t="s">
        <v>74</v>
      </c>
      <c r="AY60" s="6" t="s">
        <v>74</v>
      </c>
      <c r="AZ60" s="6" t="s">
        <v>74</v>
      </c>
      <c r="BA60" s="6" t="s">
        <v>74</v>
      </c>
      <c r="BB60" s="6" t="s">
        <v>74</v>
      </c>
      <c r="BC60" s="6" t="s">
        <v>74</v>
      </c>
      <c r="BD60" s="6" t="s">
        <v>74</v>
      </c>
      <c r="BE60" s="21">
        <v>41.924405963733655</v>
      </c>
      <c r="BF60" s="21">
        <v>322.68617878441489</v>
      </c>
      <c r="BG60" s="21">
        <v>56.276300610203016</v>
      </c>
      <c r="BH60" s="21">
        <v>266.07412570556272</v>
      </c>
      <c r="BI60" s="21">
        <v>54.507594763561563</v>
      </c>
      <c r="BJ60" s="21">
        <v>325.78465193156302</v>
      </c>
      <c r="BK60" s="21">
        <v>29.073229900316417</v>
      </c>
      <c r="BL60" s="21">
        <v>225.67269305907371</v>
      </c>
      <c r="BM60" s="6">
        <v>1.1910909090909036</v>
      </c>
      <c r="BN60" s="6">
        <v>1.2879285714285715</v>
      </c>
      <c r="BO60" s="6">
        <v>1.5049090909090916</v>
      </c>
      <c r="BP60" s="6">
        <v>1.2390000000000043</v>
      </c>
      <c r="BQ60" s="6">
        <v>0.80222433658902725</v>
      </c>
      <c r="BR60" s="6">
        <v>0.80819052863436136</v>
      </c>
      <c r="BS60" s="6">
        <v>0.92330320438691427</v>
      </c>
      <c r="BT60" s="6">
        <v>0.68302524686222965</v>
      </c>
    </row>
    <row r="61" spans="1:72" x14ac:dyDescent="0.15">
      <c r="A61" s="7" t="s">
        <v>79</v>
      </c>
      <c r="B61" s="8">
        <v>41493</v>
      </c>
      <c r="C61" s="5">
        <v>19</v>
      </c>
      <c r="D61" s="9">
        <f t="shared" si="6"/>
        <v>8</v>
      </c>
      <c r="E61" s="9">
        <f t="shared" si="10"/>
        <v>7</v>
      </c>
      <c r="F61" s="9">
        <f t="shared" si="7"/>
        <v>2013</v>
      </c>
      <c r="G61" s="9"/>
      <c r="H61" s="9"/>
      <c r="I61" s="9"/>
      <c r="J61" s="9"/>
      <c r="K61" s="25">
        <v>28.45</v>
      </c>
      <c r="L61" s="25">
        <v>20.6</v>
      </c>
      <c r="M61" s="26">
        <v>2401</v>
      </c>
      <c r="N61" s="26">
        <v>144.1</v>
      </c>
      <c r="O61" s="26">
        <f>40.3430644327602</f>
        <v>40.343064432760201</v>
      </c>
      <c r="P61" s="27">
        <f t="shared" si="9"/>
        <v>4.0343064432760201E-2</v>
      </c>
      <c r="Q61" s="26">
        <f>805.646309019645</f>
        <v>805.64630901964495</v>
      </c>
      <c r="R61" s="27">
        <f t="shared" si="8"/>
        <v>0.80564630901964496</v>
      </c>
      <c r="AG61" s="6" t="s">
        <v>74</v>
      </c>
      <c r="AH61" s="6" t="s">
        <v>74</v>
      </c>
      <c r="AI61" s="6" t="s">
        <v>74</v>
      </c>
      <c r="AJ61" s="6" t="s">
        <v>74</v>
      </c>
      <c r="AK61" s="6" t="s">
        <v>74</v>
      </c>
      <c r="AL61" s="6" t="s">
        <v>74</v>
      </c>
      <c r="AM61" s="21">
        <v>123.34465317919096</v>
      </c>
      <c r="AN61" s="21">
        <v>0.35854409999999998</v>
      </c>
      <c r="AO61" s="21">
        <v>3.7756430000000001</v>
      </c>
      <c r="AP61" s="21">
        <v>10.530484255632711</v>
      </c>
      <c r="AQ61" s="21" t="s">
        <v>74</v>
      </c>
      <c r="AR61" s="21" t="s">
        <v>74</v>
      </c>
      <c r="AS61" s="21" t="s">
        <v>74</v>
      </c>
      <c r="AT61" s="6" t="s">
        <v>87</v>
      </c>
      <c r="AU61" s="6">
        <v>9.8110172899075128</v>
      </c>
      <c r="AV61" s="6">
        <v>10.177705977382836</v>
      </c>
      <c r="AW61" s="6" t="s">
        <v>74</v>
      </c>
      <c r="AX61" s="6" t="s">
        <v>74</v>
      </c>
      <c r="AY61" s="6" t="s">
        <v>74</v>
      </c>
      <c r="AZ61" s="6" t="s">
        <v>74</v>
      </c>
      <c r="BA61" s="6" t="s">
        <v>74</v>
      </c>
      <c r="BB61" s="6" t="s">
        <v>74</v>
      </c>
      <c r="BC61" s="6" t="s">
        <v>74</v>
      </c>
      <c r="BD61" s="6" t="s">
        <v>74</v>
      </c>
      <c r="BE61" s="21">
        <v>43.893458826215308</v>
      </c>
      <c r="BF61" s="21">
        <v>292.6440901256783</v>
      </c>
      <c r="BG61" s="21">
        <v>39.269126723066918</v>
      </c>
      <c r="BH61" s="21">
        <v>331.4355655352602</v>
      </c>
      <c r="BI61" s="21">
        <v>23.592553083870172</v>
      </c>
      <c r="BJ61" s="21">
        <v>213.89834697072578</v>
      </c>
      <c r="BK61" s="21">
        <v>33.792108636758762</v>
      </c>
      <c r="BL61" s="21">
        <v>251.49039559543303</v>
      </c>
      <c r="BM61" s="6">
        <v>1.3686000000000007</v>
      </c>
      <c r="BN61" s="6">
        <v>1.2483636363636406</v>
      </c>
      <c r="BO61" s="6">
        <v>1.4040999999999997</v>
      </c>
      <c r="BP61" s="6">
        <v>1.2684615384615394</v>
      </c>
      <c r="BQ61" s="6">
        <v>0.90060766037735884</v>
      </c>
      <c r="BR61" s="6">
        <v>0.80974234694317659</v>
      </c>
      <c r="BS61" s="6">
        <v>0.85005903989454201</v>
      </c>
      <c r="BT61" s="6">
        <v>0.74668992756453301</v>
      </c>
    </row>
    <row r="62" spans="1:72" x14ac:dyDescent="0.15">
      <c r="A62" s="7" t="s">
        <v>79</v>
      </c>
      <c r="B62" s="8">
        <v>41493</v>
      </c>
      <c r="C62" s="5" t="s">
        <v>83</v>
      </c>
      <c r="D62" s="9">
        <f t="shared" si="6"/>
        <v>8</v>
      </c>
      <c r="E62" s="9">
        <f t="shared" si="10"/>
        <v>7</v>
      </c>
      <c r="F62" s="9">
        <f t="shared" si="7"/>
        <v>2013</v>
      </c>
      <c r="G62" s="9"/>
      <c r="H62" s="9"/>
      <c r="I62" s="9"/>
      <c r="J62" s="9"/>
      <c r="K62" s="25">
        <v>28.45</v>
      </c>
      <c r="L62" s="25">
        <v>20.6</v>
      </c>
      <c r="M62" s="26">
        <v>523.56687898089183</v>
      </c>
      <c r="N62" s="26">
        <v>0</v>
      </c>
      <c r="O62" s="26">
        <v>120.70842890122103</v>
      </c>
      <c r="P62" s="27">
        <f t="shared" si="9"/>
        <v>0.12070842890122102</v>
      </c>
      <c r="Q62" s="26">
        <v>1615.048632032712</v>
      </c>
      <c r="R62" s="27">
        <f t="shared" si="8"/>
        <v>1.615048632032712</v>
      </c>
      <c r="AG62" s="6" t="s">
        <v>74</v>
      </c>
      <c r="AH62" s="6" t="s">
        <v>74</v>
      </c>
      <c r="AI62" s="6" t="s">
        <v>74</v>
      </c>
      <c r="AJ62" s="6" t="s">
        <v>74</v>
      </c>
      <c r="AK62" s="6" t="s">
        <v>74</v>
      </c>
      <c r="AL62" s="6" t="s">
        <v>74</v>
      </c>
      <c r="AM62" s="21">
        <v>4.9654335260114628</v>
      </c>
      <c r="AN62" s="21" t="s">
        <v>74</v>
      </c>
      <c r="AO62" s="21" t="s">
        <v>74</v>
      </c>
      <c r="AP62" s="21" t="s">
        <v>74</v>
      </c>
      <c r="AQ62" s="21" t="s">
        <v>74</v>
      </c>
      <c r="AR62" s="21" t="s">
        <v>74</v>
      </c>
      <c r="AS62" s="21" t="s">
        <v>74</v>
      </c>
      <c r="AT62" s="6" t="s">
        <v>74</v>
      </c>
      <c r="AU62" s="6" t="s">
        <v>74</v>
      </c>
      <c r="AV62" s="6" t="s">
        <v>74</v>
      </c>
      <c r="AW62" s="6" t="s">
        <v>74</v>
      </c>
      <c r="AX62" s="6" t="s">
        <v>74</v>
      </c>
      <c r="AY62" s="6" t="s">
        <v>74</v>
      </c>
      <c r="AZ62" s="6" t="s">
        <v>74</v>
      </c>
      <c r="BA62" s="6" t="s">
        <v>74</v>
      </c>
      <c r="BB62" s="6" t="s">
        <v>74</v>
      </c>
      <c r="BC62" s="6" t="s">
        <v>74</v>
      </c>
      <c r="BD62" s="6" t="s">
        <v>74</v>
      </c>
    </row>
    <row r="63" spans="1:72" x14ac:dyDescent="0.15">
      <c r="A63" s="7" t="s">
        <v>72</v>
      </c>
      <c r="B63" s="13">
        <v>41851</v>
      </c>
      <c r="C63" s="5">
        <v>15</v>
      </c>
      <c r="D63" s="9">
        <f t="shared" si="6"/>
        <v>7</v>
      </c>
      <c r="E63" s="9">
        <f t="shared" si="10"/>
        <v>31</v>
      </c>
      <c r="F63" s="9">
        <f t="shared" si="7"/>
        <v>2014</v>
      </c>
      <c r="G63" s="9" t="s">
        <v>74</v>
      </c>
      <c r="H63" s="9" t="s">
        <v>74</v>
      </c>
      <c r="I63" s="9" t="s">
        <v>74</v>
      </c>
      <c r="J63" s="9" t="s">
        <v>74</v>
      </c>
      <c r="K63" s="25">
        <v>32</v>
      </c>
      <c r="L63" s="25">
        <v>24</v>
      </c>
      <c r="M63" s="28">
        <v>631.87216387462865</v>
      </c>
      <c r="N63" s="25">
        <v>0</v>
      </c>
      <c r="O63" s="25">
        <v>0</v>
      </c>
      <c r="P63" s="25">
        <f t="shared" si="9"/>
        <v>0</v>
      </c>
      <c r="Q63" s="26">
        <v>83.767455082150178</v>
      </c>
      <c r="R63" s="25">
        <f t="shared" si="8"/>
        <v>8.376745508215018E-2</v>
      </c>
      <c r="S63" s="6" t="s">
        <v>74</v>
      </c>
      <c r="T63" s="6" t="s">
        <v>74</v>
      </c>
      <c r="U63" s="6" t="s">
        <v>74</v>
      </c>
      <c r="V63" s="6" t="s">
        <v>74</v>
      </c>
      <c r="W63" s="6" t="s">
        <v>74</v>
      </c>
      <c r="X63" s="6" t="s">
        <v>74</v>
      </c>
      <c r="Y63" s="6" t="s">
        <v>74</v>
      </c>
      <c r="Z63" s="6" t="s">
        <v>74</v>
      </c>
      <c r="AA63" s="6" t="s">
        <v>88</v>
      </c>
      <c r="AB63" s="21" t="s">
        <v>89</v>
      </c>
      <c r="AC63" s="21">
        <v>54.452227081967223</v>
      </c>
      <c r="AD63" s="21">
        <v>1.4969095081967219</v>
      </c>
      <c r="AE63" s="21">
        <v>4.8022937704918034</v>
      </c>
      <c r="AF63" s="21">
        <v>7.0890491803278701</v>
      </c>
      <c r="AG63" s="6" t="s">
        <v>74</v>
      </c>
      <c r="AH63" s="6" t="s">
        <v>74</v>
      </c>
      <c r="AI63" s="6" t="s">
        <v>74</v>
      </c>
      <c r="AJ63" s="6" t="s">
        <v>74</v>
      </c>
      <c r="AK63" s="6" t="s">
        <v>74</v>
      </c>
      <c r="AL63" s="6" t="s">
        <v>74</v>
      </c>
      <c r="AM63" s="21" t="s">
        <v>74</v>
      </c>
      <c r="AN63" s="21">
        <v>0.18</v>
      </c>
      <c r="AO63" s="21">
        <v>1.665</v>
      </c>
      <c r="AP63" s="21">
        <v>9.25</v>
      </c>
      <c r="AQ63" s="21">
        <v>0.17</v>
      </c>
      <c r="AR63" s="21">
        <v>1.665</v>
      </c>
      <c r="AS63" s="21">
        <v>9.7941176470588225</v>
      </c>
      <c r="AT63" s="6" t="s">
        <v>87</v>
      </c>
      <c r="AU63" s="6">
        <v>5.238558909444972</v>
      </c>
      <c r="AV63" s="6">
        <v>5.4649548924357836</v>
      </c>
      <c r="AW63" s="6" t="s">
        <v>74</v>
      </c>
      <c r="AX63" s="6" t="s">
        <v>74</v>
      </c>
      <c r="AY63" s="6" t="s">
        <v>74</v>
      </c>
      <c r="AZ63" s="6" t="s">
        <v>74</v>
      </c>
      <c r="BA63" s="6" t="s">
        <v>74</v>
      </c>
      <c r="BB63" s="6" t="s">
        <v>74</v>
      </c>
      <c r="BC63" s="6" t="s">
        <v>74</v>
      </c>
      <c r="BD63" s="6" t="s">
        <v>74</v>
      </c>
      <c r="BE63" s="21" t="s">
        <v>74</v>
      </c>
      <c r="BF63" s="21" t="s">
        <v>74</v>
      </c>
      <c r="BG63" s="21" t="s">
        <v>74</v>
      </c>
      <c r="BH63" s="21" t="s">
        <v>74</v>
      </c>
      <c r="BI63" s="21" t="s">
        <v>74</v>
      </c>
      <c r="BJ63" s="21" t="s">
        <v>74</v>
      </c>
      <c r="BK63" s="21" t="s">
        <v>74</v>
      </c>
      <c r="BL63" s="21" t="s">
        <v>74</v>
      </c>
      <c r="BM63" s="6">
        <v>1.671454545454552</v>
      </c>
      <c r="BN63" s="6">
        <v>1.3420625000000004</v>
      </c>
      <c r="BO63" s="6">
        <v>1.6126153846153815</v>
      </c>
      <c r="BP63" s="6">
        <v>1.5327999999999946</v>
      </c>
      <c r="BQ63" s="6">
        <v>0.87350703970969013</v>
      </c>
      <c r="BR63" s="6">
        <v>0.59600820448036596</v>
      </c>
      <c r="BS63" s="6">
        <v>0.78183324753640093</v>
      </c>
      <c r="BT63" s="6">
        <v>0.68988643267534888</v>
      </c>
    </row>
    <row r="64" spans="1:72" x14ac:dyDescent="0.15">
      <c r="A64" s="7" t="s">
        <v>72</v>
      </c>
      <c r="B64" s="13">
        <v>41851</v>
      </c>
      <c r="C64" s="5">
        <v>17</v>
      </c>
      <c r="D64" s="9">
        <f t="shared" si="6"/>
        <v>7</v>
      </c>
      <c r="E64" s="9">
        <f t="shared" si="10"/>
        <v>31</v>
      </c>
      <c r="F64" s="9">
        <f t="shared" si="7"/>
        <v>2014</v>
      </c>
      <c r="G64" s="9" t="s">
        <v>74</v>
      </c>
      <c r="H64" s="9" t="s">
        <v>74</v>
      </c>
      <c r="I64" s="9" t="s">
        <v>74</v>
      </c>
      <c r="J64" s="9" t="s">
        <v>74</v>
      </c>
      <c r="K64" s="25">
        <v>32</v>
      </c>
      <c r="L64" s="25">
        <v>24</v>
      </c>
      <c r="M64" s="28">
        <v>448.89986180511943</v>
      </c>
      <c r="N64" s="25">
        <v>0</v>
      </c>
      <c r="O64" s="25">
        <v>0</v>
      </c>
      <c r="P64" s="25">
        <f t="shared" si="9"/>
        <v>0</v>
      </c>
      <c r="Q64" s="25">
        <v>0</v>
      </c>
      <c r="R64" s="25">
        <f t="shared" si="8"/>
        <v>0</v>
      </c>
      <c r="S64" s="6" t="s">
        <v>74</v>
      </c>
      <c r="T64" s="6" t="s">
        <v>74</v>
      </c>
      <c r="U64" s="6" t="s">
        <v>74</v>
      </c>
      <c r="V64" s="6" t="s">
        <v>74</v>
      </c>
      <c r="W64" s="6" t="s">
        <v>74</v>
      </c>
      <c r="X64" s="6" t="s">
        <v>74</v>
      </c>
      <c r="Y64" s="6" t="s">
        <v>74</v>
      </c>
      <c r="Z64" s="6" t="s">
        <v>74</v>
      </c>
      <c r="AA64" s="6" t="s">
        <v>88</v>
      </c>
      <c r="AB64" s="21" t="s">
        <v>89</v>
      </c>
      <c r="AC64" s="21">
        <v>64.31617436170211</v>
      </c>
      <c r="AD64" s="21">
        <v>1.4653244680851056</v>
      </c>
      <c r="AE64" s="21">
        <v>1.8885638297872338</v>
      </c>
      <c r="AF64" s="21">
        <v>11.234441489361698</v>
      </c>
      <c r="AG64" s="6" t="s">
        <v>74</v>
      </c>
      <c r="AH64" s="6" t="s">
        <v>74</v>
      </c>
      <c r="AI64" s="6" t="s">
        <v>74</v>
      </c>
      <c r="AJ64" s="6" t="s">
        <v>74</v>
      </c>
      <c r="AK64" s="6" t="s">
        <v>74</v>
      </c>
      <c r="AL64" s="6" t="s">
        <v>74</v>
      </c>
      <c r="AM64" s="21" t="s">
        <v>74</v>
      </c>
      <c r="AN64" s="21">
        <v>0.18</v>
      </c>
      <c r="AO64" s="21">
        <v>1.7149999999999999</v>
      </c>
      <c r="AP64" s="21">
        <v>9.5277777777777768</v>
      </c>
      <c r="AQ64" s="21">
        <v>0.17</v>
      </c>
      <c r="AR64" s="21">
        <v>1.67</v>
      </c>
      <c r="AS64" s="21">
        <v>9.8235294117647047</v>
      </c>
      <c r="AT64" s="6" t="s">
        <v>87</v>
      </c>
      <c r="AU64" s="6">
        <v>5.7795698924731225</v>
      </c>
      <c r="AV64" s="6">
        <v>5.3180212014134298</v>
      </c>
      <c r="AW64" s="6" t="s">
        <v>74</v>
      </c>
      <c r="AX64" s="6" t="s">
        <v>74</v>
      </c>
      <c r="AY64" s="6" t="s">
        <v>74</v>
      </c>
      <c r="AZ64" s="6" t="s">
        <v>74</v>
      </c>
      <c r="BA64" s="6" t="s">
        <v>74</v>
      </c>
      <c r="BB64" s="6" t="s">
        <v>74</v>
      </c>
      <c r="BC64" s="6" t="s">
        <v>74</v>
      </c>
      <c r="BD64" s="6" t="s">
        <v>74</v>
      </c>
      <c r="BE64" s="21" t="s">
        <v>74</v>
      </c>
      <c r="BF64" s="21" t="s">
        <v>74</v>
      </c>
      <c r="BG64" s="21" t="s">
        <v>74</v>
      </c>
      <c r="BH64" s="21" t="s">
        <v>74</v>
      </c>
      <c r="BI64" s="21" t="s">
        <v>74</v>
      </c>
      <c r="BJ64" s="21" t="s">
        <v>74</v>
      </c>
      <c r="BK64" s="21" t="s">
        <v>74</v>
      </c>
      <c r="BL64" s="21" t="s">
        <v>74</v>
      </c>
      <c r="BM64" s="6">
        <v>1.3194999999999968</v>
      </c>
      <c r="BN64" s="6">
        <v>1.4025454545454548</v>
      </c>
      <c r="BO64" s="6">
        <v>1.586857142857139</v>
      </c>
      <c r="BP64" s="6">
        <v>1.6434615384615427</v>
      </c>
      <c r="BQ64" s="6">
        <v>0.74198559716026702</v>
      </c>
      <c r="BR64" s="6">
        <v>0.69625205018574343</v>
      </c>
      <c r="BS64" s="6">
        <v>0.76156559820388303</v>
      </c>
      <c r="BT64" s="6">
        <v>0.75277298267094372</v>
      </c>
    </row>
    <row r="65" spans="1:72" x14ac:dyDescent="0.15">
      <c r="A65" s="7" t="s">
        <v>72</v>
      </c>
      <c r="B65" s="13">
        <v>41851</v>
      </c>
      <c r="C65" s="5" t="s">
        <v>90</v>
      </c>
      <c r="D65" s="9">
        <f t="shared" si="6"/>
        <v>7</v>
      </c>
      <c r="E65" s="9">
        <f t="shared" si="10"/>
        <v>31</v>
      </c>
      <c r="F65" s="9">
        <f t="shared" si="7"/>
        <v>2014</v>
      </c>
      <c r="G65" s="9" t="s">
        <v>74</v>
      </c>
      <c r="H65" s="9" t="s">
        <v>74</v>
      </c>
      <c r="I65" s="9" t="s">
        <v>74</v>
      </c>
      <c r="J65" s="9" t="s">
        <v>74</v>
      </c>
      <c r="K65" s="25">
        <v>31.9</v>
      </c>
      <c r="L65" s="25">
        <v>24</v>
      </c>
      <c r="M65" s="28">
        <v>494.21036781096461</v>
      </c>
      <c r="N65" s="25">
        <v>0</v>
      </c>
      <c r="O65" s="25">
        <v>0</v>
      </c>
      <c r="P65" s="25">
        <f t="shared" si="9"/>
        <v>0</v>
      </c>
      <c r="Q65" s="25">
        <v>0</v>
      </c>
      <c r="R65" s="25">
        <f t="shared" si="8"/>
        <v>0</v>
      </c>
      <c r="S65" s="6" t="s">
        <v>74</v>
      </c>
      <c r="T65" s="6" t="s">
        <v>74</v>
      </c>
      <c r="U65" s="6" t="s">
        <v>74</v>
      </c>
      <c r="V65" s="6" t="s">
        <v>74</v>
      </c>
      <c r="W65" s="6" t="s">
        <v>74</v>
      </c>
      <c r="X65" s="6" t="s">
        <v>74</v>
      </c>
      <c r="Y65" s="6" t="s">
        <v>74</v>
      </c>
      <c r="Z65" s="6" t="s">
        <v>74</v>
      </c>
      <c r="AA65" s="6" t="s">
        <v>88</v>
      </c>
      <c r="AB65" s="21" t="s">
        <v>89</v>
      </c>
      <c r="AC65" s="21">
        <v>44.23571759410801</v>
      </c>
      <c r="AD65" s="21">
        <v>1.6222058101472991</v>
      </c>
      <c r="AE65" s="21">
        <v>2.8187057283142392</v>
      </c>
      <c r="AF65" s="21">
        <v>0.70333674304419258</v>
      </c>
      <c r="AG65" s="6" t="s">
        <v>74</v>
      </c>
      <c r="AH65" s="6" t="s">
        <v>74</v>
      </c>
      <c r="AI65" s="6" t="s">
        <v>74</v>
      </c>
      <c r="AJ65" s="6" t="s">
        <v>74</v>
      </c>
      <c r="AK65" s="6" t="s">
        <v>74</v>
      </c>
      <c r="AL65" s="6" t="s">
        <v>74</v>
      </c>
      <c r="AM65" s="21" t="s">
        <v>74</v>
      </c>
      <c r="AN65" s="21">
        <v>0.18</v>
      </c>
      <c r="AO65" s="21">
        <v>1.68</v>
      </c>
      <c r="AP65" s="21">
        <v>9.3333333333333339</v>
      </c>
      <c r="AQ65" s="21">
        <v>0.27430759999999998</v>
      </c>
      <c r="AR65" s="21">
        <v>1.7678880000000001</v>
      </c>
      <c r="AS65" s="21">
        <v>6.444910749829754</v>
      </c>
      <c r="AT65" s="6" t="s">
        <v>87</v>
      </c>
      <c r="AU65" s="6">
        <v>5.2913198573127547</v>
      </c>
      <c r="AV65" s="6">
        <v>5.5499899819675518</v>
      </c>
      <c r="AW65" s="6" t="s">
        <v>74</v>
      </c>
      <c r="AX65" s="6" t="s">
        <v>74</v>
      </c>
      <c r="AY65" s="6" t="s">
        <v>74</v>
      </c>
      <c r="AZ65" s="6" t="s">
        <v>74</v>
      </c>
      <c r="BA65" s="6" t="s">
        <v>74</v>
      </c>
      <c r="BB65" s="6" t="s">
        <v>74</v>
      </c>
      <c r="BC65" s="6" t="s">
        <v>74</v>
      </c>
      <c r="BD65" s="6" t="s">
        <v>74</v>
      </c>
      <c r="BE65" s="21" t="s">
        <v>74</v>
      </c>
      <c r="BF65" s="21" t="s">
        <v>74</v>
      </c>
      <c r="BG65" s="21" t="s">
        <v>74</v>
      </c>
      <c r="BH65" s="21" t="s">
        <v>74</v>
      </c>
      <c r="BI65" s="21" t="s">
        <v>74</v>
      </c>
      <c r="BJ65" s="21" t="s">
        <v>74</v>
      </c>
      <c r="BK65" s="21" t="s">
        <v>74</v>
      </c>
      <c r="BL65" s="21" t="s">
        <v>74</v>
      </c>
      <c r="BM65" s="6">
        <v>1.4432941176470588</v>
      </c>
      <c r="BN65" s="6">
        <v>1.6450999999999993</v>
      </c>
      <c r="BO65" s="6">
        <v>1.587769230769227</v>
      </c>
      <c r="BP65" s="6">
        <v>1.5733636363636345</v>
      </c>
      <c r="BQ65" s="6">
        <v>0.79086355357707439</v>
      </c>
      <c r="BR65" s="6">
        <v>0.82309184049887985</v>
      </c>
      <c r="BS65" s="6">
        <v>0.76028458933934373</v>
      </c>
      <c r="BT65" s="6">
        <v>0.77734701590928978</v>
      </c>
    </row>
    <row r="66" spans="1:72" x14ac:dyDescent="0.15">
      <c r="A66" s="7" t="s">
        <v>72</v>
      </c>
      <c r="B66" s="13">
        <v>41851</v>
      </c>
      <c r="C66" s="5">
        <v>21</v>
      </c>
      <c r="D66" s="9">
        <f t="shared" si="6"/>
        <v>7</v>
      </c>
      <c r="E66" s="9">
        <f t="shared" si="10"/>
        <v>31</v>
      </c>
      <c r="F66" s="9">
        <f t="shared" si="7"/>
        <v>2014</v>
      </c>
      <c r="G66" s="9" t="s">
        <v>74</v>
      </c>
      <c r="H66" s="9" t="s">
        <v>74</v>
      </c>
      <c r="I66" s="9" t="s">
        <v>74</v>
      </c>
      <c r="J66" s="9" t="s">
        <v>74</v>
      </c>
      <c r="K66" s="25">
        <v>32</v>
      </c>
      <c r="L66" s="25">
        <v>24</v>
      </c>
      <c r="M66" s="28">
        <v>630.34</v>
      </c>
      <c r="N66" s="25">
        <v>0</v>
      </c>
      <c r="O66" s="25">
        <v>0</v>
      </c>
      <c r="P66" s="25">
        <f t="shared" si="9"/>
        <v>0</v>
      </c>
      <c r="Q66" s="26">
        <v>318.28684911823768</v>
      </c>
      <c r="R66" s="25">
        <f t="shared" ref="R66:R75" si="11">Q66/1000</f>
        <v>0.31828684911823768</v>
      </c>
      <c r="S66" s="6" t="s">
        <v>74</v>
      </c>
      <c r="T66" s="6" t="s">
        <v>74</v>
      </c>
      <c r="U66" s="6" t="s">
        <v>74</v>
      </c>
      <c r="V66" s="6" t="s">
        <v>74</v>
      </c>
      <c r="W66" s="6" t="s">
        <v>74</v>
      </c>
      <c r="X66" s="6" t="s">
        <v>74</v>
      </c>
      <c r="Y66" s="6" t="s">
        <v>74</v>
      </c>
      <c r="Z66" s="6" t="s">
        <v>74</v>
      </c>
      <c r="AA66" s="6" t="s">
        <v>88</v>
      </c>
      <c r="AB66" s="21" t="s">
        <v>89</v>
      </c>
      <c r="AC66" s="21">
        <v>99.168032789559518</v>
      </c>
      <c r="AD66" s="21">
        <v>0.37252732463295218</v>
      </c>
      <c r="AE66" s="21">
        <v>0.71627814029363723</v>
      </c>
      <c r="AF66" s="21">
        <v>8.7138866231647665</v>
      </c>
      <c r="AG66" s="6" t="s">
        <v>74</v>
      </c>
      <c r="AH66" s="6" t="s">
        <v>74</v>
      </c>
      <c r="AI66" s="6" t="s">
        <v>74</v>
      </c>
      <c r="AJ66" s="6" t="s">
        <v>74</v>
      </c>
      <c r="AK66" s="6" t="s">
        <v>74</v>
      </c>
      <c r="AL66" s="6" t="s">
        <v>74</v>
      </c>
      <c r="AM66" s="21" t="s">
        <v>74</v>
      </c>
      <c r="AN66" s="21">
        <v>0.18697949999999999</v>
      </c>
      <c r="AO66" s="21">
        <v>1.7745410000000001</v>
      </c>
      <c r="AP66" s="21">
        <v>9.4905644736455077</v>
      </c>
      <c r="AQ66" s="21">
        <v>0.23149039999999999</v>
      </c>
      <c r="AR66" s="21">
        <v>1.7321955</v>
      </c>
      <c r="AS66" s="21">
        <v>7.4827962628255866</v>
      </c>
      <c r="AT66" s="6" t="s">
        <v>87</v>
      </c>
      <c r="AU66" s="6">
        <v>5.3034886065739046</v>
      </c>
      <c r="AV66" s="6">
        <v>5.321421635269</v>
      </c>
      <c r="AW66" s="6" t="s">
        <v>74</v>
      </c>
      <c r="AX66" s="6" t="s">
        <v>74</v>
      </c>
      <c r="AY66" s="6" t="s">
        <v>74</v>
      </c>
      <c r="AZ66" s="6" t="s">
        <v>74</v>
      </c>
      <c r="BA66" s="6" t="s">
        <v>74</v>
      </c>
      <c r="BB66" s="6" t="s">
        <v>74</v>
      </c>
      <c r="BC66" s="6" t="s">
        <v>74</v>
      </c>
      <c r="BD66" s="6" t="s">
        <v>74</v>
      </c>
      <c r="BE66" s="21" t="s">
        <v>74</v>
      </c>
      <c r="BF66" s="21" t="s">
        <v>74</v>
      </c>
      <c r="BG66" s="21" t="s">
        <v>74</v>
      </c>
      <c r="BH66" s="21" t="s">
        <v>74</v>
      </c>
      <c r="BI66" s="21" t="s">
        <v>74</v>
      </c>
      <c r="BJ66" s="21" t="s">
        <v>74</v>
      </c>
      <c r="BK66" s="21" t="s">
        <v>74</v>
      </c>
      <c r="BL66" s="21" t="s">
        <v>74</v>
      </c>
      <c r="BM66" s="6">
        <v>1.2655000000000018</v>
      </c>
      <c r="BN66" s="6">
        <v>1.3827500000000024</v>
      </c>
      <c r="BO66" s="6">
        <v>1.3778571428571449</v>
      </c>
      <c r="BP66" s="6">
        <v>1.4784166666666712</v>
      </c>
      <c r="BQ66" s="6">
        <v>0.7003461530937628</v>
      </c>
      <c r="BR66" s="6">
        <v>0.6908310385523222</v>
      </c>
      <c r="BS66" s="6">
        <v>0.64111147749668451</v>
      </c>
      <c r="BT66" s="6">
        <v>0.6834711623206926</v>
      </c>
    </row>
    <row r="67" spans="1:72" x14ac:dyDescent="0.15">
      <c r="A67" s="7" t="s">
        <v>72</v>
      </c>
      <c r="B67" s="13">
        <v>41851</v>
      </c>
      <c r="C67" s="5" t="s">
        <v>91</v>
      </c>
      <c r="D67" s="9">
        <f t="shared" si="6"/>
        <v>7</v>
      </c>
      <c r="E67" s="9">
        <f t="shared" si="10"/>
        <v>31</v>
      </c>
      <c r="F67" s="9">
        <f t="shared" si="7"/>
        <v>2014</v>
      </c>
      <c r="G67" s="9" t="s">
        <v>74</v>
      </c>
      <c r="H67" s="9" t="s">
        <v>74</v>
      </c>
      <c r="I67" s="9" t="s">
        <v>74</v>
      </c>
      <c r="J67" s="9" t="s">
        <v>74</v>
      </c>
      <c r="K67" s="25">
        <v>32</v>
      </c>
      <c r="L67" s="25">
        <v>24</v>
      </c>
      <c r="M67" s="28" t="s">
        <v>74</v>
      </c>
      <c r="N67" s="25" t="s">
        <v>74</v>
      </c>
      <c r="O67" s="25">
        <v>0</v>
      </c>
      <c r="P67" s="25">
        <f t="shared" si="9"/>
        <v>0</v>
      </c>
      <c r="Q67" s="26">
        <v>0</v>
      </c>
      <c r="R67" s="25">
        <f t="shared" si="11"/>
        <v>0</v>
      </c>
      <c r="S67" s="6" t="s">
        <v>74</v>
      </c>
      <c r="T67" s="6" t="s">
        <v>74</v>
      </c>
      <c r="U67" s="6" t="s">
        <v>74</v>
      </c>
      <c r="V67" s="6" t="s">
        <v>74</v>
      </c>
      <c r="W67" s="6" t="s">
        <v>74</v>
      </c>
      <c r="X67" s="6" t="s">
        <v>74</v>
      </c>
      <c r="Y67" s="6" t="s">
        <v>74</v>
      </c>
      <c r="Z67" s="6" t="s">
        <v>74</v>
      </c>
      <c r="AA67" s="6" t="s">
        <v>88</v>
      </c>
      <c r="AB67" s="21" t="s">
        <v>89</v>
      </c>
      <c r="AC67" s="21">
        <v>8.0276241435563181E-2</v>
      </c>
      <c r="AD67" s="21">
        <v>-1.256632561174551</v>
      </c>
      <c r="AE67" s="21">
        <v>-4.4941851876019578</v>
      </c>
      <c r="AF67" s="21">
        <v>-4.6284959216965778</v>
      </c>
      <c r="AG67" s="6" t="s">
        <v>74</v>
      </c>
      <c r="AH67" s="6" t="s">
        <v>74</v>
      </c>
      <c r="AI67" s="6" t="s">
        <v>74</v>
      </c>
      <c r="AJ67" s="6" t="s">
        <v>74</v>
      </c>
      <c r="AK67" s="6" t="s">
        <v>74</v>
      </c>
      <c r="AL67" s="6" t="s">
        <v>74</v>
      </c>
      <c r="AM67" s="21" t="s">
        <v>74</v>
      </c>
      <c r="AN67" s="21" t="s">
        <v>74</v>
      </c>
      <c r="AO67" s="21" t="s">
        <v>74</v>
      </c>
      <c r="AP67" s="21" t="s">
        <v>74</v>
      </c>
      <c r="AQ67" s="21" t="s">
        <v>74</v>
      </c>
      <c r="AR67" s="21" t="s">
        <v>74</v>
      </c>
      <c r="AS67" s="21" t="s">
        <v>74</v>
      </c>
      <c r="AT67" s="6" t="s">
        <v>74</v>
      </c>
      <c r="AU67" s="6" t="s">
        <v>74</v>
      </c>
      <c r="AV67" s="6" t="s">
        <v>74</v>
      </c>
      <c r="AW67" s="6" t="s">
        <v>74</v>
      </c>
      <c r="AX67" s="6" t="s">
        <v>74</v>
      </c>
      <c r="AY67" s="6" t="s">
        <v>74</v>
      </c>
      <c r="AZ67" s="6" t="s">
        <v>74</v>
      </c>
      <c r="BA67" s="6" t="s">
        <v>74</v>
      </c>
      <c r="BB67" s="6" t="s">
        <v>74</v>
      </c>
      <c r="BC67" s="6" t="s">
        <v>74</v>
      </c>
      <c r="BD67" s="6" t="s">
        <v>74</v>
      </c>
      <c r="BE67" s="21" t="s">
        <v>74</v>
      </c>
      <c r="BF67" s="21" t="s">
        <v>74</v>
      </c>
      <c r="BG67" s="21" t="s">
        <v>74</v>
      </c>
      <c r="BH67" s="21" t="s">
        <v>74</v>
      </c>
      <c r="BI67" s="21" t="s">
        <v>74</v>
      </c>
      <c r="BJ67" s="21" t="s">
        <v>74</v>
      </c>
      <c r="BK67" s="21" t="s">
        <v>74</v>
      </c>
      <c r="BL67" s="21" t="s">
        <v>74</v>
      </c>
      <c r="BM67" s="6" t="s">
        <v>74</v>
      </c>
      <c r="BN67" s="6" t="s">
        <v>74</v>
      </c>
      <c r="BO67" s="6" t="s">
        <v>74</v>
      </c>
      <c r="BP67" s="6" t="s">
        <v>74</v>
      </c>
      <c r="BQ67" s="6" t="s">
        <v>74</v>
      </c>
      <c r="BR67" s="6" t="s">
        <v>74</v>
      </c>
      <c r="BS67" s="6" t="s">
        <v>74</v>
      </c>
      <c r="BT67" s="6" t="s">
        <v>74</v>
      </c>
    </row>
    <row r="68" spans="1:72" x14ac:dyDescent="0.15">
      <c r="A68" s="7" t="s">
        <v>79</v>
      </c>
      <c r="B68" s="13">
        <v>41851</v>
      </c>
      <c r="C68" s="5">
        <v>16</v>
      </c>
      <c r="D68" s="9">
        <f t="shared" si="6"/>
        <v>7</v>
      </c>
      <c r="E68" s="9">
        <f t="shared" si="10"/>
        <v>31</v>
      </c>
      <c r="F68" s="9">
        <f t="shared" si="7"/>
        <v>2014</v>
      </c>
      <c r="G68" s="9" t="s">
        <v>74</v>
      </c>
      <c r="H68" s="9" t="s">
        <v>74</v>
      </c>
      <c r="I68" s="9" t="s">
        <v>74</v>
      </c>
      <c r="J68" s="9" t="s">
        <v>74</v>
      </c>
      <c r="K68" s="25">
        <v>22.7</v>
      </c>
      <c r="L68" s="25">
        <v>24</v>
      </c>
      <c r="M68" s="26">
        <v>1088.1193158610693</v>
      </c>
      <c r="N68" s="26">
        <v>69.880958406715806</v>
      </c>
      <c r="O68" s="25">
        <v>149.04137330959199</v>
      </c>
      <c r="P68" s="25">
        <f t="shared" si="9"/>
        <v>0.149041373309592</v>
      </c>
      <c r="Q68" s="26">
        <v>3269.1031948150485</v>
      </c>
      <c r="R68" s="25">
        <f t="shared" si="11"/>
        <v>3.2691031948150484</v>
      </c>
      <c r="S68" s="6" t="s">
        <v>74</v>
      </c>
      <c r="T68" s="6" t="s">
        <v>74</v>
      </c>
      <c r="U68" s="6" t="s">
        <v>74</v>
      </c>
      <c r="V68" s="6" t="s">
        <v>74</v>
      </c>
      <c r="W68" s="6" t="s">
        <v>74</v>
      </c>
      <c r="X68" s="6" t="s">
        <v>74</v>
      </c>
      <c r="Y68" s="6" t="s">
        <v>74</v>
      </c>
      <c r="Z68" s="6" t="s">
        <v>74</v>
      </c>
      <c r="AA68" s="6" t="s">
        <v>88</v>
      </c>
      <c r="AB68" s="21" t="s">
        <v>89</v>
      </c>
      <c r="AC68" s="21">
        <v>50.113195969163002</v>
      </c>
      <c r="AD68" s="21">
        <v>4.2350848017621177</v>
      </c>
      <c r="AE68" s="21">
        <v>12.846449339207052</v>
      </c>
      <c r="AF68" s="21">
        <v>-8.9754185022026594</v>
      </c>
      <c r="AG68" s="6" t="s">
        <v>74</v>
      </c>
      <c r="AH68" s="6" t="s">
        <v>74</v>
      </c>
      <c r="AI68" s="6" t="s">
        <v>74</v>
      </c>
      <c r="AJ68" s="6" t="s">
        <v>74</v>
      </c>
      <c r="AK68" s="6" t="s">
        <v>74</v>
      </c>
      <c r="AL68" s="6" t="s">
        <v>74</v>
      </c>
      <c r="AM68" s="21" t="s">
        <v>74</v>
      </c>
      <c r="AN68" s="21" t="s">
        <v>74</v>
      </c>
      <c r="AO68" s="21" t="s">
        <v>74</v>
      </c>
      <c r="AP68" s="21" t="s">
        <v>74</v>
      </c>
      <c r="AQ68" s="21" t="s">
        <v>74</v>
      </c>
      <c r="AR68" s="21" t="s">
        <v>74</v>
      </c>
      <c r="AS68" s="21" t="s">
        <v>74</v>
      </c>
      <c r="AT68" s="6" t="s">
        <v>74</v>
      </c>
      <c r="AU68" s="6" t="s">
        <v>74</v>
      </c>
      <c r="AV68" s="6" t="s">
        <v>74</v>
      </c>
      <c r="AW68" s="6" t="s">
        <v>74</v>
      </c>
      <c r="AX68" s="6" t="s">
        <v>74</v>
      </c>
      <c r="AY68" s="6" t="s">
        <v>74</v>
      </c>
      <c r="AZ68" s="6" t="s">
        <v>74</v>
      </c>
      <c r="BA68" s="6" t="s">
        <v>74</v>
      </c>
      <c r="BB68" s="6" t="s">
        <v>74</v>
      </c>
      <c r="BC68" s="6" t="s">
        <v>74</v>
      </c>
      <c r="BD68" s="6" t="s">
        <v>74</v>
      </c>
      <c r="BE68" s="21" t="s">
        <v>74</v>
      </c>
      <c r="BF68" s="21" t="s">
        <v>74</v>
      </c>
      <c r="BG68" s="21" t="s">
        <v>74</v>
      </c>
      <c r="BH68" s="21" t="s">
        <v>74</v>
      </c>
      <c r="BI68" s="21" t="s">
        <v>74</v>
      </c>
      <c r="BJ68" s="21" t="s">
        <v>74</v>
      </c>
      <c r="BK68" s="21" t="s">
        <v>74</v>
      </c>
      <c r="BL68" s="21" t="s">
        <v>74</v>
      </c>
      <c r="BM68" s="6" t="s">
        <v>74</v>
      </c>
      <c r="BN68" s="6" t="s">
        <v>74</v>
      </c>
      <c r="BO68" s="6" t="s">
        <v>74</v>
      </c>
      <c r="BP68" s="6" t="s">
        <v>74</v>
      </c>
      <c r="BQ68" s="6" t="s">
        <v>74</v>
      </c>
      <c r="BR68" s="6" t="s">
        <v>74</v>
      </c>
      <c r="BS68" s="6" t="s">
        <v>74</v>
      </c>
      <c r="BT68" s="6" t="s">
        <v>74</v>
      </c>
    </row>
    <row r="69" spans="1:72" x14ac:dyDescent="0.15">
      <c r="A69" s="7" t="s">
        <v>79</v>
      </c>
      <c r="B69" s="13">
        <v>41851</v>
      </c>
      <c r="C69" s="5">
        <v>13</v>
      </c>
      <c r="D69" s="9">
        <f t="shared" si="6"/>
        <v>7</v>
      </c>
      <c r="E69" s="9">
        <f t="shared" si="10"/>
        <v>31</v>
      </c>
      <c r="F69" s="9">
        <f t="shared" si="7"/>
        <v>2014</v>
      </c>
      <c r="G69" s="9" t="s">
        <v>74</v>
      </c>
      <c r="H69" s="9" t="s">
        <v>74</v>
      </c>
      <c r="I69" s="9" t="s">
        <v>74</v>
      </c>
      <c r="J69" s="9" t="s">
        <v>74</v>
      </c>
      <c r="K69" s="25">
        <v>28.6</v>
      </c>
      <c r="L69" s="25">
        <v>24</v>
      </c>
      <c r="M69" s="26">
        <v>1544.2518315470106</v>
      </c>
      <c r="N69" s="26">
        <v>216.21334215201733</v>
      </c>
      <c r="O69" s="25">
        <v>0</v>
      </c>
      <c r="P69" s="25">
        <f t="shared" si="9"/>
        <v>0</v>
      </c>
      <c r="Q69" s="26">
        <v>0</v>
      </c>
      <c r="R69" s="25">
        <f t="shared" si="11"/>
        <v>0</v>
      </c>
      <c r="S69" s="6" t="s">
        <v>74</v>
      </c>
      <c r="T69" s="6" t="s">
        <v>74</v>
      </c>
      <c r="U69" s="6" t="s">
        <v>74</v>
      </c>
      <c r="V69" s="6" t="s">
        <v>74</v>
      </c>
      <c r="W69" s="6" t="s">
        <v>74</v>
      </c>
      <c r="X69" s="6" t="s">
        <v>74</v>
      </c>
      <c r="Y69" s="6" t="s">
        <v>74</v>
      </c>
      <c r="Z69" s="6" t="s">
        <v>74</v>
      </c>
      <c r="AA69" s="6" t="s">
        <v>88</v>
      </c>
      <c r="AB69" s="21" t="s">
        <v>89</v>
      </c>
      <c r="AC69" s="21">
        <v>194.28932986725667</v>
      </c>
      <c r="AD69" s="21">
        <v>12.34553495575221</v>
      </c>
      <c r="AE69" s="21">
        <v>33.363179203539815</v>
      </c>
      <c r="AF69" s="21">
        <v>14.618230088495562</v>
      </c>
      <c r="AG69" s="6" t="s">
        <v>74</v>
      </c>
      <c r="AH69" s="6" t="s">
        <v>74</v>
      </c>
      <c r="AI69" s="6" t="s">
        <v>74</v>
      </c>
      <c r="AJ69" s="6" t="s">
        <v>74</v>
      </c>
      <c r="AK69" s="6" t="s">
        <v>74</v>
      </c>
      <c r="AL69" s="6" t="s">
        <v>74</v>
      </c>
      <c r="AM69" s="21" t="s">
        <v>74</v>
      </c>
      <c r="AN69" s="21">
        <v>0.40500000000000003</v>
      </c>
      <c r="AO69" s="21">
        <v>4.1500000000000004</v>
      </c>
      <c r="AP69" s="21">
        <v>10.246913580246913</v>
      </c>
      <c r="AQ69" s="21">
        <v>0.33500000000000002</v>
      </c>
      <c r="AR69" s="21">
        <v>3.7450000000000001</v>
      </c>
      <c r="AS69" s="21">
        <v>11.17910447761194</v>
      </c>
      <c r="AT69" s="6" t="s">
        <v>87</v>
      </c>
      <c r="AU69" s="6">
        <v>11.332551778038267</v>
      </c>
      <c r="AV69" s="6">
        <v>9.7823916949490801</v>
      </c>
      <c r="AW69" s="6" t="s">
        <v>74</v>
      </c>
      <c r="AX69" s="6" t="s">
        <v>74</v>
      </c>
      <c r="AY69" s="6" t="s">
        <v>74</v>
      </c>
      <c r="AZ69" s="6" t="s">
        <v>74</v>
      </c>
      <c r="BA69" s="6" t="s">
        <v>74</v>
      </c>
      <c r="BB69" s="6" t="s">
        <v>74</v>
      </c>
      <c r="BC69" s="6" t="s">
        <v>74</v>
      </c>
      <c r="BD69" s="6" t="s">
        <v>74</v>
      </c>
      <c r="BE69" s="21" t="s">
        <v>74</v>
      </c>
      <c r="BF69" s="21" t="s">
        <v>74</v>
      </c>
      <c r="BG69" s="21" t="s">
        <v>74</v>
      </c>
      <c r="BH69" s="21" t="s">
        <v>74</v>
      </c>
      <c r="BI69" s="21" t="s">
        <v>74</v>
      </c>
      <c r="BJ69" s="21" t="s">
        <v>74</v>
      </c>
      <c r="BK69" s="21" t="s">
        <v>74</v>
      </c>
      <c r="BL69" s="21" t="s">
        <v>74</v>
      </c>
      <c r="BM69" s="6">
        <v>1.2922999999999973</v>
      </c>
      <c r="BN69" s="6">
        <v>1.3829166666666675</v>
      </c>
      <c r="BO69" s="6">
        <v>1.4054615384615334</v>
      </c>
      <c r="BP69" s="6">
        <v>1.3552999999999986</v>
      </c>
      <c r="BQ69" s="6">
        <v>0.88977251928494161</v>
      </c>
      <c r="BR69" s="6">
        <v>0.86672288158048849</v>
      </c>
      <c r="BS69" s="6">
        <v>0.78988910514554189</v>
      </c>
      <c r="BT69" s="6">
        <v>0.60212983743857529</v>
      </c>
    </row>
    <row r="70" spans="1:72" x14ac:dyDescent="0.15">
      <c r="A70" s="7" t="s">
        <v>79</v>
      </c>
      <c r="B70" s="13">
        <v>41851</v>
      </c>
      <c r="C70" s="5">
        <v>6</v>
      </c>
      <c r="D70" s="9">
        <f t="shared" si="6"/>
        <v>7</v>
      </c>
      <c r="E70" s="9">
        <f t="shared" si="10"/>
        <v>31</v>
      </c>
      <c r="F70" s="9">
        <f t="shared" si="7"/>
        <v>2014</v>
      </c>
      <c r="G70" s="9" t="s">
        <v>74</v>
      </c>
      <c r="H70" s="9" t="s">
        <v>74</v>
      </c>
      <c r="I70" s="9" t="s">
        <v>74</v>
      </c>
      <c r="J70" s="9" t="s">
        <v>74</v>
      </c>
      <c r="K70" s="25">
        <v>28.7</v>
      </c>
      <c r="L70" s="25">
        <v>24</v>
      </c>
      <c r="M70" s="26">
        <v>1211.0597358300413</v>
      </c>
      <c r="N70" s="26">
        <v>87.596606579001886</v>
      </c>
      <c r="O70" s="25">
        <v>0</v>
      </c>
      <c r="P70" s="25">
        <f t="shared" si="9"/>
        <v>0</v>
      </c>
      <c r="Q70" s="26">
        <v>0</v>
      </c>
      <c r="R70" s="25">
        <f t="shared" si="11"/>
        <v>0</v>
      </c>
      <c r="S70" s="6" t="s">
        <v>74</v>
      </c>
      <c r="T70" s="6" t="s">
        <v>74</v>
      </c>
      <c r="U70" s="6" t="s">
        <v>74</v>
      </c>
      <c r="V70" s="6" t="s">
        <v>74</v>
      </c>
      <c r="W70" s="6" t="s">
        <v>74</v>
      </c>
      <c r="X70" s="6" t="s">
        <v>74</v>
      </c>
      <c r="Y70" s="6" t="s">
        <v>74</v>
      </c>
      <c r="Z70" s="6" t="s">
        <v>74</v>
      </c>
      <c r="AA70" s="6" t="s">
        <v>88</v>
      </c>
      <c r="AB70" s="21" t="s">
        <v>89</v>
      </c>
      <c r="AC70" s="21">
        <v>33.692439066666708</v>
      </c>
      <c r="AD70" s="21">
        <v>-4.1273820000000017</v>
      </c>
      <c r="AE70" s="21">
        <v>1.1764866666666987</v>
      </c>
      <c r="AF70" s="21">
        <v>1.3877499999999983</v>
      </c>
      <c r="AG70" s="6" t="s">
        <v>74</v>
      </c>
      <c r="AH70" s="6" t="s">
        <v>74</v>
      </c>
      <c r="AI70" s="6" t="s">
        <v>74</v>
      </c>
      <c r="AJ70" s="6" t="s">
        <v>74</v>
      </c>
      <c r="AK70" s="6" t="s">
        <v>74</v>
      </c>
      <c r="AL70" s="6" t="s">
        <v>74</v>
      </c>
      <c r="AM70" s="21" t="s">
        <v>74</v>
      </c>
      <c r="AN70" s="21">
        <v>0.36</v>
      </c>
      <c r="AO70" s="21">
        <v>3.835</v>
      </c>
      <c r="AP70" s="21">
        <v>10.652777777777779</v>
      </c>
      <c r="AQ70" s="21">
        <v>0.38788135000000001</v>
      </c>
      <c r="AR70" s="21">
        <v>4.1994509999999998</v>
      </c>
      <c r="AS70" s="21">
        <v>10.826638094355399</v>
      </c>
      <c r="AT70" s="6" t="s">
        <v>87</v>
      </c>
      <c r="AU70" s="6">
        <v>10.079575596816962</v>
      </c>
      <c r="AV70" s="6">
        <v>10.543259557344062</v>
      </c>
      <c r="AW70" s="6" t="s">
        <v>74</v>
      </c>
      <c r="AX70" s="6" t="s">
        <v>74</v>
      </c>
      <c r="AY70" s="6" t="s">
        <v>74</v>
      </c>
      <c r="AZ70" s="6" t="s">
        <v>74</v>
      </c>
      <c r="BA70" s="6" t="s">
        <v>74</v>
      </c>
      <c r="BB70" s="6" t="s">
        <v>74</v>
      </c>
      <c r="BC70" s="6" t="s">
        <v>74</v>
      </c>
      <c r="BD70" s="6" t="s">
        <v>74</v>
      </c>
      <c r="BE70" s="21" t="s">
        <v>74</v>
      </c>
      <c r="BF70" s="21" t="s">
        <v>74</v>
      </c>
      <c r="BG70" s="21" t="s">
        <v>74</v>
      </c>
      <c r="BH70" s="21" t="s">
        <v>74</v>
      </c>
      <c r="BI70" s="21" t="s">
        <v>74</v>
      </c>
      <c r="BJ70" s="21" t="s">
        <v>74</v>
      </c>
      <c r="BK70" s="21" t="s">
        <v>74</v>
      </c>
      <c r="BL70" s="21" t="s">
        <v>74</v>
      </c>
      <c r="BM70" s="6">
        <v>1.2319999999999975</v>
      </c>
      <c r="BN70" s="6">
        <v>1.4014999999999971</v>
      </c>
      <c r="BO70" s="6">
        <v>1.3278461538461594</v>
      </c>
      <c r="BP70" s="6">
        <v>1.5553000000000039</v>
      </c>
      <c r="BQ70" s="6">
        <v>0.81927572650890157</v>
      </c>
      <c r="BR70" s="6">
        <v>0.84759721613327299</v>
      </c>
      <c r="BS70" s="6">
        <v>0.74011244954739908</v>
      </c>
      <c r="BT70" s="6">
        <v>0.8355243469272714</v>
      </c>
    </row>
    <row r="71" spans="1:72" x14ac:dyDescent="0.15">
      <c r="A71" s="7" t="s">
        <v>79</v>
      </c>
      <c r="B71" s="13">
        <v>41851</v>
      </c>
      <c r="C71" s="5" t="s">
        <v>92</v>
      </c>
      <c r="D71" s="9">
        <v>7</v>
      </c>
      <c r="E71" s="9">
        <v>31</v>
      </c>
      <c r="F71" s="9">
        <v>2014</v>
      </c>
      <c r="G71" s="9" t="s">
        <v>74</v>
      </c>
      <c r="H71" s="9" t="s">
        <v>74</v>
      </c>
      <c r="I71" s="9" t="s">
        <v>74</v>
      </c>
      <c r="J71" s="9" t="s">
        <v>74</v>
      </c>
      <c r="K71" s="25">
        <v>28.7</v>
      </c>
      <c r="L71" s="25">
        <v>24</v>
      </c>
      <c r="M71" s="26" t="s">
        <v>74</v>
      </c>
      <c r="N71" s="26" t="s">
        <v>74</v>
      </c>
      <c r="O71" s="25">
        <v>0</v>
      </c>
      <c r="P71" s="25">
        <f t="shared" ref="P71:P75" si="12">O71/1000</f>
        <v>0</v>
      </c>
      <c r="Q71" s="26">
        <v>525.38140824470781</v>
      </c>
      <c r="R71" s="25">
        <f t="shared" si="11"/>
        <v>0.5253814082447078</v>
      </c>
      <c r="S71" s="6" t="s">
        <v>74</v>
      </c>
      <c r="T71" s="6" t="s">
        <v>74</v>
      </c>
      <c r="U71" s="6" t="s">
        <v>74</v>
      </c>
      <c r="V71" s="6" t="s">
        <v>74</v>
      </c>
      <c r="W71" s="6" t="s">
        <v>74</v>
      </c>
      <c r="X71" s="6" t="s">
        <v>74</v>
      </c>
      <c r="Y71" s="6" t="s">
        <v>74</v>
      </c>
      <c r="Z71" s="6" t="s">
        <v>74</v>
      </c>
      <c r="AA71" s="6" t="s">
        <v>88</v>
      </c>
      <c r="AB71" s="21" t="s">
        <v>89</v>
      </c>
      <c r="AC71" s="21">
        <v>-42.391563366515825</v>
      </c>
      <c r="AD71" s="21">
        <v>-1.0537835294117672</v>
      </c>
      <c r="AE71" s="21">
        <v>-3.0568930316742118</v>
      </c>
      <c r="AF71" s="21">
        <v>-8.0041357466063356</v>
      </c>
      <c r="AG71" s="6" t="s">
        <v>74</v>
      </c>
      <c r="AH71" s="6" t="s">
        <v>74</v>
      </c>
      <c r="AI71" s="6" t="s">
        <v>74</v>
      </c>
      <c r="AJ71" s="6" t="s">
        <v>74</v>
      </c>
      <c r="AK71" s="6" t="s">
        <v>74</v>
      </c>
      <c r="AL71" s="6" t="s">
        <v>74</v>
      </c>
      <c r="AM71" s="21" t="s">
        <v>74</v>
      </c>
      <c r="AN71" s="21" t="s">
        <v>74</v>
      </c>
      <c r="AO71" s="21" t="s">
        <v>74</v>
      </c>
      <c r="AP71" s="21" t="s">
        <v>74</v>
      </c>
      <c r="AQ71" s="21" t="s">
        <v>74</v>
      </c>
      <c r="AR71" s="21" t="s">
        <v>74</v>
      </c>
      <c r="AS71" s="21" t="s">
        <v>74</v>
      </c>
      <c r="AT71" s="6" t="s">
        <v>74</v>
      </c>
      <c r="AU71" s="6" t="s">
        <v>74</v>
      </c>
      <c r="AV71" s="6" t="s">
        <v>74</v>
      </c>
      <c r="AW71" s="6" t="s">
        <v>74</v>
      </c>
      <c r="AX71" s="6" t="s">
        <v>74</v>
      </c>
      <c r="AY71" s="6" t="s">
        <v>74</v>
      </c>
      <c r="AZ71" s="6" t="s">
        <v>74</v>
      </c>
      <c r="BA71" s="6" t="s">
        <v>74</v>
      </c>
      <c r="BB71" s="6" t="s">
        <v>74</v>
      </c>
      <c r="BC71" s="6" t="s">
        <v>74</v>
      </c>
      <c r="BD71" s="6" t="s">
        <v>74</v>
      </c>
      <c r="BE71" s="21" t="s">
        <v>74</v>
      </c>
      <c r="BF71" s="21" t="s">
        <v>74</v>
      </c>
      <c r="BG71" s="21" t="s">
        <v>74</v>
      </c>
      <c r="BH71" s="21" t="s">
        <v>74</v>
      </c>
      <c r="BI71" s="21" t="s">
        <v>74</v>
      </c>
      <c r="BJ71" s="21" t="s">
        <v>74</v>
      </c>
      <c r="BK71" s="21" t="s">
        <v>74</v>
      </c>
      <c r="BL71" s="21" t="s">
        <v>74</v>
      </c>
      <c r="BM71" s="6" t="s">
        <v>74</v>
      </c>
      <c r="BN71" s="6" t="s">
        <v>74</v>
      </c>
      <c r="BO71" s="6" t="s">
        <v>74</v>
      </c>
      <c r="BP71" s="6" t="s">
        <v>74</v>
      </c>
      <c r="BQ71" s="6" t="s">
        <v>74</v>
      </c>
      <c r="BR71" s="6" t="s">
        <v>74</v>
      </c>
      <c r="BS71" s="6" t="s">
        <v>74</v>
      </c>
      <c r="BT71" s="6" t="s">
        <v>74</v>
      </c>
    </row>
    <row r="72" spans="1:72" x14ac:dyDescent="0.15">
      <c r="A72" s="7" t="s">
        <v>72</v>
      </c>
      <c r="B72" s="13">
        <v>42222</v>
      </c>
      <c r="C72" s="5">
        <v>5</v>
      </c>
      <c r="D72" s="5">
        <f t="shared" ref="D72:D82" si="13">MONTH(B72)</f>
        <v>8</v>
      </c>
      <c r="E72" s="5">
        <f t="shared" ref="E72:E82" si="14">DAY(B72)</f>
        <v>6</v>
      </c>
      <c r="F72" s="5">
        <f t="shared" ref="F72:F82" si="15">YEAR(B72)</f>
        <v>2015</v>
      </c>
      <c r="G72" s="9" t="s">
        <v>74</v>
      </c>
      <c r="H72" s="9" t="s">
        <v>74</v>
      </c>
      <c r="I72" s="9" t="s">
        <v>74</v>
      </c>
      <c r="J72" s="9" t="s">
        <v>74</v>
      </c>
      <c r="K72" s="25">
        <v>32.200000000000003</v>
      </c>
      <c r="L72" s="25">
        <v>25</v>
      </c>
      <c r="M72" s="26">
        <v>1035.9198019999999</v>
      </c>
      <c r="N72" s="26">
        <v>198.51345649999999</v>
      </c>
      <c r="O72" s="25">
        <v>0</v>
      </c>
      <c r="P72" s="25">
        <f t="shared" si="12"/>
        <v>0</v>
      </c>
      <c r="Q72" s="26">
        <v>1043.1146624153828</v>
      </c>
      <c r="R72" s="25">
        <f t="shared" si="11"/>
        <v>1.0431146624153829</v>
      </c>
      <c r="S72" s="6" t="s">
        <v>74</v>
      </c>
      <c r="T72" s="6" t="s">
        <v>74</v>
      </c>
      <c r="U72" s="6" t="s">
        <v>74</v>
      </c>
      <c r="V72" s="6" t="s">
        <v>74</v>
      </c>
      <c r="W72" s="6" t="s">
        <v>74</v>
      </c>
      <c r="X72" s="6" t="s">
        <v>74</v>
      </c>
      <c r="Y72" s="6" t="s">
        <v>74</v>
      </c>
      <c r="Z72" s="6" t="s">
        <v>74</v>
      </c>
      <c r="AA72" s="6" t="s">
        <v>88</v>
      </c>
      <c r="AB72" s="21" t="s">
        <v>89</v>
      </c>
      <c r="AC72" s="21">
        <v>94.149247451848282</v>
      </c>
      <c r="AD72" s="21">
        <v>1.9812870963035021</v>
      </c>
      <c r="AE72" s="21">
        <v>-0.83632464980544441</v>
      </c>
      <c r="AF72" s="21">
        <v>-9.3854142752918275</v>
      </c>
      <c r="AG72" s="6" t="s">
        <v>74</v>
      </c>
      <c r="AH72" s="6" t="s">
        <v>74</v>
      </c>
      <c r="AI72" s="6" t="s">
        <v>74</v>
      </c>
      <c r="AJ72" s="6" t="s">
        <v>74</v>
      </c>
      <c r="AK72" s="6" t="s">
        <v>74</v>
      </c>
      <c r="AL72" s="6" t="s">
        <v>74</v>
      </c>
      <c r="AM72" s="21">
        <v>-373.1386320525292</v>
      </c>
      <c r="AN72" s="21">
        <v>0.2</v>
      </c>
      <c r="AO72" s="21">
        <v>2.0099999999999998</v>
      </c>
      <c r="AP72" s="21">
        <v>10.049999999999999</v>
      </c>
      <c r="AQ72" s="21">
        <v>0.19500000000000001</v>
      </c>
      <c r="AR72" s="21">
        <v>1.92</v>
      </c>
      <c r="AS72" s="21">
        <v>9.8461538461538449</v>
      </c>
      <c r="AT72" s="6" t="s">
        <v>87</v>
      </c>
      <c r="AU72" s="6">
        <v>6.1428001595532375</v>
      </c>
      <c r="AV72" s="6">
        <v>6.4516129032258105</v>
      </c>
      <c r="AW72" s="6" t="s">
        <v>74</v>
      </c>
      <c r="AX72" s="6" t="s">
        <v>74</v>
      </c>
      <c r="AY72" s="6" t="s">
        <v>74</v>
      </c>
      <c r="AZ72" s="6" t="s">
        <v>74</v>
      </c>
      <c r="BA72" s="6" t="s">
        <v>74</v>
      </c>
      <c r="BB72" s="6" t="s">
        <v>74</v>
      </c>
      <c r="BC72" s="6" t="s">
        <v>74</v>
      </c>
      <c r="BD72" s="6" t="s">
        <v>74</v>
      </c>
      <c r="BE72" s="21">
        <v>48.27935449067418</v>
      </c>
      <c r="BF72" s="21">
        <v>247.82739323815224</v>
      </c>
      <c r="BG72" s="21">
        <v>41.811961595562835</v>
      </c>
      <c r="BH72" s="21">
        <v>186.35264604638206</v>
      </c>
      <c r="BI72" s="21">
        <v>23.431547956499941</v>
      </c>
      <c r="BJ72" s="21">
        <v>186.27684494554626</v>
      </c>
      <c r="BK72" s="21">
        <v>21.889111021380636</v>
      </c>
      <c r="BL72" s="21">
        <v>188.07305827935127</v>
      </c>
      <c r="BM72" s="6">
        <v>1.3195999999999941</v>
      </c>
      <c r="BN72" s="6">
        <v>1.4896000000000029</v>
      </c>
      <c r="BO72" s="6" t="s">
        <v>74</v>
      </c>
      <c r="BP72" s="6" t="s">
        <v>74</v>
      </c>
      <c r="BQ72" s="6">
        <v>0.75480490030889869</v>
      </c>
      <c r="BR72" s="6">
        <v>0.76317923383685926</v>
      </c>
      <c r="BS72" s="6" t="s">
        <v>74</v>
      </c>
      <c r="BT72" s="6" t="s">
        <v>74</v>
      </c>
    </row>
    <row r="73" spans="1:72" x14ac:dyDescent="0.15">
      <c r="A73" s="7" t="s">
        <v>72</v>
      </c>
      <c r="B73" s="13">
        <v>42222</v>
      </c>
      <c r="C73" s="5">
        <v>6</v>
      </c>
      <c r="D73" s="5">
        <f t="shared" si="13"/>
        <v>8</v>
      </c>
      <c r="E73" s="5">
        <f t="shared" si="14"/>
        <v>6</v>
      </c>
      <c r="F73" s="5">
        <f t="shared" si="15"/>
        <v>2015</v>
      </c>
      <c r="G73" s="9" t="s">
        <v>74</v>
      </c>
      <c r="H73" s="9" t="s">
        <v>74</v>
      </c>
      <c r="I73" s="9" t="s">
        <v>74</v>
      </c>
      <c r="J73" s="9" t="s">
        <v>74</v>
      </c>
      <c r="K73" s="25">
        <v>32.200000000000003</v>
      </c>
      <c r="L73" s="25">
        <v>25</v>
      </c>
      <c r="M73" s="26">
        <v>3199.2742029999999</v>
      </c>
      <c r="N73" s="26">
        <v>0</v>
      </c>
      <c r="O73" s="25">
        <v>0</v>
      </c>
      <c r="P73" s="25">
        <f t="shared" si="12"/>
        <v>0</v>
      </c>
      <c r="Q73" s="26">
        <v>318.87932612593102</v>
      </c>
      <c r="R73" s="25">
        <f t="shared" si="11"/>
        <v>0.31887932612593101</v>
      </c>
      <c r="S73" s="6" t="s">
        <v>74</v>
      </c>
      <c r="T73" s="6" t="s">
        <v>74</v>
      </c>
      <c r="U73" s="6" t="s">
        <v>74</v>
      </c>
      <c r="V73" s="6" t="s">
        <v>74</v>
      </c>
      <c r="W73" s="6" t="s">
        <v>74</v>
      </c>
      <c r="X73" s="6" t="s">
        <v>74</v>
      </c>
      <c r="Y73" s="6" t="s">
        <v>74</v>
      </c>
      <c r="Z73" s="6" t="s">
        <v>74</v>
      </c>
      <c r="AA73" s="6" t="s">
        <v>88</v>
      </c>
      <c r="AB73" s="21" t="s">
        <v>89</v>
      </c>
      <c r="AC73" s="21">
        <v>25.405225523964518</v>
      </c>
      <c r="AD73" s="21">
        <v>3.5050855872781059</v>
      </c>
      <c r="AE73" s="21">
        <v>3.7623558372781059</v>
      </c>
      <c r="AF73" s="21">
        <v>2.6384954511834318</v>
      </c>
      <c r="AG73" s="6" t="s">
        <v>74</v>
      </c>
      <c r="AH73" s="6" t="s">
        <v>74</v>
      </c>
      <c r="AI73" s="6" t="s">
        <v>74</v>
      </c>
      <c r="AJ73" s="6" t="s">
        <v>74</v>
      </c>
      <c r="AK73" s="6" t="s">
        <v>74</v>
      </c>
      <c r="AL73" s="6" t="s">
        <v>74</v>
      </c>
      <c r="AM73" s="21">
        <v>72.810170857988055</v>
      </c>
      <c r="AN73" s="21">
        <v>0.245</v>
      </c>
      <c r="AO73" s="21">
        <v>2.4500000000000002</v>
      </c>
      <c r="AP73" s="21">
        <v>10.000000000000002</v>
      </c>
      <c r="AQ73" s="21">
        <v>0.185</v>
      </c>
      <c r="AR73" s="21">
        <v>2.0350000000000001</v>
      </c>
      <c r="AS73" s="21">
        <v>11.000000000000002</v>
      </c>
      <c r="AT73" s="6" t="s">
        <v>87</v>
      </c>
      <c r="AU73" s="6">
        <v>6.4751033261168915</v>
      </c>
      <c r="AV73" s="6">
        <v>5.4566123531640649</v>
      </c>
      <c r="AW73" s="6" t="s">
        <v>74</v>
      </c>
      <c r="AX73" s="6" t="s">
        <v>74</v>
      </c>
      <c r="AY73" s="6" t="s">
        <v>74</v>
      </c>
      <c r="AZ73" s="6" t="s">
        <v>74</v>
      </c>
      <c r="BA73" s="6" t="s">
        <v>74</v>
      </c>
      <c r="BB73" s="6" t="s">
        <v>74</v>
      </c>
      <c r="BC73" s="6" t="s">
        <v>74</v>
      </c>
      <c r="BD73" s="6" t="s">
        <v>74</v>
      </c>
      <c r="BE73" s="21">
        <v>36.667943084607657</v>
      </c>
      <c r="BF73" s="21">
        <v>254.81334697994515</v>
      </c>
      <c r="BG73" s="21">
        <v>37.185351851551665</v>
      </c>
      <c r="BH73" s="21">
        <v>239.72375099945191</v>
      </c>
      <c r="BI73" s="21">
        <v>27.143502081433486</v>
      </c>
      <c r="BJ73" s="21">
        <v>197.02771906512734</v>
      </c>
      <c r="BK73" s="21">
        <v>36.017613086344753</v>
      </c>
      <c r="BL73" s="21">
        <v>266.27235099535733</v>
      </c>
      <c r="BM73" s="6">
        <v>1.2768000000000015</v>
      </c>
      <c r="BN73" s="6">
        <v>1.3802222222222182</v>
      </c>
      <c r="BO73" s="6" t="s">
        <v>74</v>
      </c>
      <c r="BP73" s="6" t="s">
        <v>74</v>
      </c>
      <c r="BQ73" s="6">
        <v>0.71619930658742048</v>
      </c>
      <c r="BR73" s="6">
        <v>0.67081259163980123</v>
      </c>
      <c r="BS73" s="6" t="s">
        <v>74</v>
      </c>
      <c r="BT73" s="6" t="s">
        <v>74</v>
      </c>
    </row>
    <row r="74" spans="1:72" x14ac:dyDescent="0.15">
      <c r="A74" s="7" t="s">
        <v>72</v>
      </c>
      <c r="B74" s="13">
        <v>42222</v>
      </c>
      <c r="C74" s="5">
        <v>33</v>
      </c>
      <c r="D74" s="5">
        <f t="shared" si="13"/>
        <v>8</v>
      </c>
      <c r="E74" s="5">
        <f t="shared" si="14"/>
        <v>6</v>
      </c>
      <c r="F74" s="5">
        <f t="shared" si="15"/>
        <v>2015</v>
      </c>
      <c r="G74" s="9" t="s">
        <v>74</v>
      </c>
      <c r="H74" s="9" t="s">
        <v>74</v>
      </c>
      <c r="I74" s="9" t="s">
        <v>74</v>
      </c>
      <c r="J74" s="9" t="s">
        <v>74</v>
      </c>
      <c r="K74" s="25">
        <v>32.200000000000003</v>
      </c>
      <c r="L74" s="25">
        <v>25</v>
      </c>
      <c r="M74" s="26">
        <v>3294.6137279999998</v>
      </c>
      <c r="N74" s="26">
        <v>177.08121259999999</v>
      </c>
      <c r="O74" s="25">
        <v>0</v>
      </c>
      <c r="P74" s="25">
        <f t="shared" si="12"/>
        <v>0</v>
      </c>
      <c r="Q74" s="25">
        <v>0</v>
      </c>
      <c r="R74" s="25">
        <f t="shared" si="11"/>
        <v>0</v>
      </c>
      <c r="S74" s="6" t="s">
        <v>74</v>
      </c>
      <c r="T74" s="6" t="s">
        <v>74</v>
      </c>
      <c r="U74" s="6" t="s">
        <v>74</v>
      </c>
      <c r="V74" s="6" t="s">
        <v>74</v>
      </c>
      <c r="W74" s="6" t="s">
        <v>74</v>
      </c>
      <c r="X74" s="6" t="s">
        <v>74</v>
      </c>
      <c r="Y74" s="6" t="s">
        <v>74</v>
      </c>
      <c r="Z74" s="6" t="s">
        <v>74</v>
      </c>
      <c r="AA74" s="6" t="s">
        <v>88</v>
      </c>
      <c r="AB74" s="21" t="s">
        <v>89</v>
      </c>
      <c r="AC74" s="21">
        <v>61.719221085984088</v>
      </c>
      <c r="AD74" s="21">
        <v>2.0083453031809149</v>
      </c>
      <c r="AE74" s="21">
        <v>3.0130623757455264</v>
      </c>
      <c r="AF74" s="21">
        <v>1.8516230740556709</v>
      </c>
      <c r="AG74" s="6" t="s">
        <v>74</v>
      </c>
      <c r="AH74" s="6" t="s">
        <v>74</v>
      </c>
      <c r="AI74" s="6" t="s">
        <v>74</v>
      </c>
      <c r="AJ74" s="6" t="s">
        <v>74</v>
      </c>
      <c r="AK74" s="6" t="s">
        <v>74</v>
      </c>
      <c r="AL74" s="6" t="s">
        <v>74</v>
      </c>
      <c r="AM74" s="21">
        <v>251.59941911033815</v>
      </c>
      <c r="AN74" s="21">
        <v>0.21</v>
      </c>
      <c r="AO74" s="21">
        <v>2.0750000000000002</v>
      </c>
      <c r="AP74" s="21">
        <v>9.8809523809523814</v>
      </c>
      <c r="AQ74" s="21">
        <v>0.19</v>
      </c>
      <c r="AR74" s="21">
        <v>1.88</v>
      </c>
      <c r="AS74" s="21">
        <v>9.8947368421052619</v>
      </c>
      <c r="AT74" s="6" t="s">
        <v>87</v>
      </c>
      <c r="AU74" s="6">
        <v>6.0893633847370818</v>
      </c>
      <c r="AV74" s="6">
        <v>5.9766475361171603</v>
      </c>
      <c r="AW74" s="6" t="s">
        <v>74</v>
      </c>
      <c r="AX74" s="6" t="s">
        <v>74</v>
      </c>
      <c r="AY74" s="6" t="s">
        <v>74</v>
      </c>
      <c r="AZ74" s="6" t="s">
        <v>74</v>
      </c>
      <c r="BA74" s="6" t="s">
        <v>74</v>
      </c>
      <c r="BB74" s="6" t="s">
        <v>74</v>
      </c>
      <c r="BC74" s="6" t="s">
        <v>74</v>
      </c>
      <c r="BD74" s="6" t="s">
        <v>74</v>
      </c>
      <c r="BE74" s="21">
        <v>40.994689770815448</v>
      </c>
      <c r="BF74" s="21">
        <v>242.04650599765426</v>
      </c>
      <c r="BG74" s="21">
        <v>26.458399440378447</v>
      </c>
      <c r="BH74" s="21">
        <v>218.77333428606181</v>
      </c>
      <c r="BI74" s="21">
        <v>17.367392801393397</v>
      </c>
      <c r="BJ74" s="21">
        <v>206.09747148473082</v>
      </c>
      <c r="BK74" s="21">
        <v>15.048485811899802</v>
      </c>
      <c r="BL74" s="21">
        <v>168.81650846019505</v>
      </c>
      <c r="BM74" s="6">
        <v>1.5682000000000045</v>
      </c>
      <c r="BN74" s="6">
        <v>1.3558000000000021</v>
      </c>
      <c r="BO74" s="6" t="s">
        <v>74</v>
      </c>
      <c r="BP74" s="6" t="s">
        <v>74</v>
      </c>
      <c r="BQ74" s="6">
        <v>0.86426121421831026</v>
      </c>
      <c r="BR74" s="6">
        <v>0.69020208075434053</v>
      </c>
      <c r="BS74" s="6" t="s">
        <v>74</v>
      </c>
      <c r="BT74" s="6" t="s">
        <v>74</v>
      </c>
    </row>
    <row r="75" spans="1:72" x14ac:dyDescent="0.15">
      <c r="A75" s="7" t="s">
        <v>72</v>
      </c>
      <c r="B75" s="13">
        <v>42222</v>
      </c>
      <c r="C75" s="5" t="s">
        <v>83</v>
      </c>
      <c r="D75" s="5">
        <f t="shared" si="13"/>
        <v>8</v>
      </c>
      <c r="E75" s="5">
        <f t="shared" si="14"/>
        <v>6</v>
      </c>
      <c r="F75" s="5">
        <f t="shared" si="15"/>
        <v>2015</v>
      </c>
      <c r="G75" s="9" t="s">
        <v>74</v>
      </c>
      <c r="H75" s="9" t="s">
        <v>74</v>
      </c>
      <c r="I75" s="9" t="s">
        <v>74</v>
      </c>
      <c r="J75" s="9" t="s">
        <v>74</v>
      </c>
      <c r="K75" s="25">
        <v>32.200000000000003</v>
      </c>
      <c r="L75" s="25">
        <v>25</v>
      </c>
      <c r="M75" s="26">
        <v>0</v>
      </c>
      <c r="N75" s="26">
        <v>-730.29</v>
      </c>
      <c r="O75" s="25">
        <v>0</v>
      </c>
      <c r="P75" s="25">
        <f t="shared" si="12"/>
        <v>0</v>
      </c>
      <c r="Q75" s="25">
        <v>0</v>
      </c>
      <c r="R75" s="25">
        <f t="shared" si="11"/>
        <v>0</v>
      </c>
      <c r="S75" s="6" t="s">
        <v>74</v>
      </c>
      <c r="T75" s="6" t="s">
        <v>74</v>
      </c>
      <c r="U75" s="6" t="s">
        <v>74</v>
      </c>
      <c r="V75" s="6" t="s">
        <v>74</v>
      </c>
      <c r="W75" s="6" t="s">
        <v>74</v>
      </c>
      <c r="X75" s="6" t="s">
        <v>74</v>
      </c>
      <c r="Y75" s="6" t="s">
        <v>74</v>
      </c>
      <c r="Z75" s="6" t="s">
        <v>74</v>
      </c>
      <c r="AA75" s="6" t="s">
        <v>88</v>
      </c>
      <c r="AB75" s="21" t="s">
        <v>89</v>
      </c>
      <c r="AC75" s="21">
        <v>-5.011019639277732E-2</v>
      </c>
      <c r="AD75" s="21">
        <v>2.5489313026052112</v>
      </c>
      <c r="AE75" s="21">
        <v>4.3428836873747523</v>
      </c>
      <c r="AF75" s="21">
        <v>0.52647294589177385</v>
      </c>
      <c r="AG75" s="6" t="s">
        <v>74</v>
      </c>
      <c r="AH75" s="6" t="s">
        <v>74</v>
      </c>
      <c r="AI75" s="6" t="s">
        <v>74</v>
      </c>
      <c r="AJ75" s="6" t="s">
        <v>74</v>
      </c>
      <c r="AK75" s="6" t="s">
        <v>74</v>
      </c>
      <c r="AL75" s="6" t="s">
        <v>74</v>
      </c>
      <c r="AM75" s="21">
        <v>946.59835671342671</v>
      </c>
      <c r="AN75" s="21" t="s">
        <v>74</v>
      </c>
      <c r="AO75" s="21" t="s">
        <v>74</v>
      </c>
      <c r="AP75" s="21" t="s">
        <v>74</v>
      </c>
      <c r="AQ75" s="21" t="s">
        <v>74</v>
      </c>
      <c r="AR75" s="21" t="s">
        <v>74</v>
      </c>
      <c r="AS75" s="21" t="s">
        <v>74</v>
      </c>
      <c r="AT75" s="6" t="s">
        <v>74</v>
      </c>
      <c r="AU75" s="6" t="s">
        <v>74</v>
      </c>
      <c r="AV75" s="6" t="s">
        <v>74</v>
      </c>
      <c r="AW75" s="6" t="s">
        <v>74</v>
      </c>
      <c r="AX75" s="6" t="s">
        <v>74</v>
      </c>
      <c r="AY75" s="6" t="s">
        <v>74</v>
      </c>
      <c r="AZ75" s="6" t="s">
        <v>74</v>
      </c>
      <c r="BA75" s="6" t="s">
        <v>74</v>
      </c>
      <c r="BB75" s="6" t="s">
        <v>74</v>
      </c>
      <c r="BC75" s="6" t="s">
        <v>74</v>
      </c>
      <c r="BD75" s="6" t="s">
        <v>74</v>
      </c>
      <c r="BE75" s="21" t="s">
        <v>74</v>
      </c>
      <c r="BF75" s="21" t="s">
        <v>74</v>
      </c>
      <c r="BG75" s="21" t="s">
        <v>74</v>
      </c>
      <c r="BH75" s="21" t="s">
        <v>74</v>
      </c>
      <c r="BI75" s="21" t="s">
        <v>74</v>
      </c>
      <c r="BJ75" s="21" t="s">
        <v>74</v>
      </c>
      <c r="BK75" s="21" t="s">
        <v>74</v>
      </c>
      <c r="BL75" s="21" t="s">
        <v>74</v>
      </c>
      <c r="BM75" s="6" t="s">
        <v>74</v>
      </c>
      <c r="BN75" s="6" t="s">
        <v>74</v>
      </c>
      <c r="BO75" s="6" t="s">
        <v>74</v>
      </c>
      <c r="BP75" s="6" t="s">
        <v>74</v>
      </c>
      <c r="BQ75" s="6" t="s">
        <v>74</v>
      </c>
      <c r="BR75" s="6" t="s">
        <v>74</v>
      </c>
      <c r="BS75" s="6" t="s">
        <v>74</v>
      </c>
      <c r="BT75" s="6" t="s">
        <v>74</v>
      </c>
    </row>
    <row r="76" spans="1:72" x14ac:dyDescent="0.15">
      <c r="A76" s="7" t="s">
        <v>79</v>
      </c>
      <c r="B76" s="13">
        <v>42222</v>
      </c>
      <c r="C76" s="5">
        <v>31</v>
      </c>
      <c r="D76" s="5">
        <f t="shared" si="13"/>
        <v>8</v>
      </c>
      <c r="E76" s="5">
        <f t="shared" si="14"/>
        <v>6</v>
      </c>
      <c r="F76" s="5">
        <f t="shared" si="15"/>
        <v>2015</v>
      </c>
      <c r="G76" s="9" t="s">
        <v>74</v>
      </c>
      <c r="H76" s="9" t="s">
        <v>74</v>
      </c>
      <c r="I76" s="9" t="s">
        <v>74</v>
      </c>
      <c r="J76" s="9" t="s">
        <v>74</v>
      </c>
      <c r="K76" s="25">
        <v>29.4</v>
      </c>
      <c r="L76" s="25">
        <v>25</v>
      </c>
      <c r="M76" s="26">
        <v>5013.7260740000002</v>
      </c>
      <c r="N76" s="26">
        <v>160.9556212</v>
      </c>
      <c r="O76" s="26">
        <v>79.317364073901047</v>
      </c>
      <c r="P76" s="25">
        <v>7.9317364073901053E-2</v>
      </c>
      <c r="Q76" s="26">
        <v>480.793303606297</v>
      </c>
      <c r="R76" s="25">
        <v>0.48079330360629702</v>
      </c>
      <c r="S76" s="6" t="s">
        <v>74</v>
      </c>
      <c r="T76" s="6" t="s">
        <v>74</v>
      </c>
      <c r="U76" s="6" t="s">
        <v>74</v>
      </c>
      <c r="V76" s="6" t="s">
        <v>74</v>
      </c>
      <c r="W76" s="6" t="s">
        <v>74</v>
      </c>
      <c r="X76" s="6" t="s">
        <v>74</v>
      </c>
      <c r="Y76" s="6" t="s">
        <v>74</v>
      </c>
      <c r="Z76" s="6" t="s">
        <v>74</v>
      </c>
      <c r="AA76" s="6" t="s">
        <v>88</v>
      </c>
      <c r="AB76" s="21" t="s">
        <v>89</v>
      </c>
      <c r="AC76" s="21">
        <v>169.46420335179695</v>
      </c>
      <c r="AD76" s="21">
        <v>5.5937598393234671</v>
      </c>
      <c r="AE76" s="21">
        <v>16.980277509513748</v>
      </c>
      <c r="AF76" s="21">
        <v>-14.71663850422833</v>
      </c>
      <c r="AG76" s="6" t="s">
        <v>74</v>
      </c>
      <c r="AH76" s="6" t="s">
        <v>74</v>
      </c>
      <c r="AI76" s="6" t="s">
        <v>74</v>
      </c>
      <c r="AJ76" s="6" t="s">
        <v>74</v>
      </c>
      <c r="AK76" s="6" t="s">
        <v>74</v>
      </c>
      <c r="AL76" s="6" t="s">
        <v>74</v>
      </c>
      <c r="AM76" s="21">
        <v>289.70790935517954</v>
      </c>
      <c r="AN76" s="21">
        <v>0.28000000000000003</v>
      </c>
      <c r="AO76" s="21">
        <v>4.1850000000000005</v>
      </c>
      <c r="AP76" s="21">
        <v>14.946428571428571</v>
      </c>
      <c r="AQ76" s="21">
        <v>0.25</v>
      </c>
      <c r="AR76" s="21">
        <v>3.8949999999999996</v>
      </c>
      <c r="AS76" s="21">
        <v>15.579999999999998</v>
      </c>
      <c r="AT76" s="6" t="s">
        <v>87</v>
      </c>
      <c r="AU76" s="6">
        <v>8.125741399762715</v>
      </c>
      <c r="AV76" s="6">
        <v>7.6245747448469121</v>
      </c>
      <c r="AW76" s="6" t="s">
        <v>74</v>
      </c>
      <c r="AX76" s="6" t="s">
        <v>74</v>
      </c>
      <c r="AY76" s="6" t="s">
        <v>74</v>
      </c>
      <c r="AZ76" s="6" t="s">
        <v>74</v>
      </c>
      <c r="BA76" s="6" t="s">
        <v>74</v>
      </c>
      <c r="BB76" s="6" t="s">
        <v>74</v>
      </c>
      <c r="BC76" s="6" t="s">
        <v>74</v>
      </c>
      <c r="BD76" s="6" t="s">
        <v>74</v>
      </c>
      <c r="BE76" s="21" t="s">
        <v>74</v>
      </c>
      <c r="BF76" s="21" t="s">
        <v>74</v>
      </c>
      <c r="BG76" s="21" t="s">
        <v>74</v>
      </c>
      <c r="BH76" s="21" t="s">
        <v>74</v>
      </c>
      <c r="BI76" s="21" t="s">
        <v>74</v>
      </c>
      <c r="BJ76" s="21" t="s">
        <v>74</v>
      </c>
      <c r="BK76" s="21" t="s">
        <v>74</v>
      </c>
      <c r="BL76" s="21" t="s">
        <v>74</v>
      </c>
      <c r="BM76" s="6">
        <v>0.97257142857143541</v>
      </c>
      <c r="BN76" s="6">
        <v>1.253300000000003</v>
      </c>
      <c r="BO76" s="6" t="s">
        <v>74</v>
      </c>
      <c r="BP76" s="6" t="s">
        <v>74</v>
      </c>
      <c r="BQ76" s="6">
        <v>0.41555049823559659</v>
      </c>
      <c r="BR76" s="6">
        <v>0.63763269837029257</v>
      </c>
      <c r="BS76" s="6" t="s">
        <v>74</v>
      </c>
      <c r="BT76" s="6" t="s">
        <v>74</v>
      </c>
    </row>
    <row r="77" spans="1:72" x14ac:dyDescent="0.15">
      <c r="A77" s="7" t="s">
        <v>79</v>
      </c>
      <c r="B77" s="13">
        <v>42222</v>
      </c>
      <c r="C77" s="5">
        <v>32</v>
      </c>
      <c r="D77" s="5">
        <f t="shared" si="13"/>
        <v>8</v>
      </c>
      <c r="E77" s="5">
        <f t="shared" si="14"/>
        <v>6</v>
      </c>
      <c r="F77" s="5">
        <f t="shared" si="15"/>
        <v>2015</v>
      </c>
      <c r="G77" s="9" t="s">
        <v>74</v>
      </c>
      <c r="H77" s="9" t="s">
        <v>74</v>
      </c>
      <c r="I77" s="9" t="s">
        <v>74</v>
      </c>
      <c r="J77" s="9" t="s">
        <v>74</v>
      </c>
      <c r="K77" s="25">
        <v>29.4</v>
      </c>
      <c r="L77" s="25">
        <v>25</v>
      </c>
      <c r="M77" s="26">
        <v>3776.0375530000001</v>
      </c>
      <c r="N77" s="26">
        <v>128.90348180000001</v>
      </c>
      <c r="O77" s="26">
        <v>47.231377902828463</v>
      </c>
      <c r="P77" s="25">
        <f t="shared" ref="P77:P85" si="16">O77/1000</f>
        <v>4.7231377902828463E-2</v>
      </c>
      <c r="Q77" s="26">
        <v>660.69465657852663</v>
      </c>
      <c r="R77" s="25">
        <f t="shared" ref="R77:R82" si="17">Q77/1000</f>
        <v>0.66069465657852666</v>
      </c>
      <c r="S77" s="6" t="s">
        <v>74</v>
      </c>
      <c r="T77" s="6" t="s">
        <v>74</v>
      </c>
      <c r="U77" s="6" t="s">
        <v>74</v>
      </c>
      <c r="V77" s="6" t="s">
        <v>74</v>
      </c>
      <c r="W77" s="6" t="s">
        <v>74</v>
      </c>
      <c r="X77" s="6" t="s">
        <v>74</v>
      </c>
      <c r="Y77" s="6" t="s">
        <v>74</v>
      </c>
      <c r="Z77" s="6" t="s">
        <v>74</v>
      </c>
      <c r="AA77" s="6" t="s">
        <v>88</v>
      </c>
      <c r="AB77" s="21" t="s">
        <v>89</v>
      </c>
      <c r="AC77" s="21">
        <v>-0.20266215634249615</v>
      </c>
      <c r="AD77" s="21">
        <v>8.0811489482029586</v>
      </c>
      <c r="AE77" s="21">
        <v>7.6910569027484215</v>
      </c>
      <c r="AF77" s="21">
        <v>-22.155200343551797</v>
      </c>
      <c r="AG77" s="6" t="s">
        <v>74</v>
      </c>
      <c r="AH77" s="6" t="s">
        <v>74</v>
      </c>
      <c r="AI77" s="6" t="s">
        <v>74</v>
      </c>
      <c r="AJ77" s="6" t="s">
        <v>74</v>
      </c>
      <c r="AK77" s="6" t="s">
        <v>74</v>
      </c>
      <c r="AL77" s="6" t="s">
        <v>74</v>
      </c>
      <c r="AM77" s="21">
        <v>80.152975687103506</v>
      </c>
      <c r="AN77" s="21">
        <v>0.29000000000000004</v>
      </c>
      <c r="AO77" s="21">
        <v>4.2850000000000001</v>
      </c>
      <c r="AP77" s="21">
        <v>14.775862068965516</v>
      </c>
      <c r="AQ77" s="21">
        <v>0.215</v>
      </c>
      <c r="AR77" s="21">
        <v>4.2799999999999994</v>
      </c>
      <c r="AS77" s="21">
        <v>19.906976744186043</v>
      </c>
      <c r="AT77" s="6" t="s">
        <v>87</v>
      </c>
      <c r="AU77" s="6">
        <v>8.8592474616762864</v>
      </c>
      <c r="AV77" s="6">
        <v>7.9968485325979843</v>
      </c>
      <c r="AW77" s="6" t="s">
        <v>74</v>
      </c>
      <c r="AX77" s="6" t="s">
        <v>74</v>
      </c>
      <c r="AY77" s="6" t="s">
        <v>74</v>
      </c>
      <c r="AZ77" s="6" t="s">
        <v>74</v>
      </c>
      <c r="BA77" s="6" t="s">
        <v>74</v>
      </c>
      <c r="BB77" s="6" t="s">
        <v>74</v>
      </c>
      <c r="BC77" s="6" t="s">
        <v>74</v>
      </c>
      <c r="BD77" s="6" t="s">
        <v>74</v>
      </c>
      <c r="BE77" s="21">
        <v>31.422168705833254</v>
      </c>
      <c r="BF77" s="21">
        <v>200.99875168398867</v>
      </c>
      <c r="BG77" s="21">
        <v>31.623666483421218</v>
      </c>
      <c r="BH77" s="21">
        <v>199.41943130265633</v>
      </c>
      <c r="BI77" s="21">
        <v>26.006100152680339</v>
      </c>
      <c r="BJ77" s="21">
        <v>189.9745776734255</v>
      </c>
      <c r="BK77" s="21">
        <v>9.8960970533515606</v>
      </c>
      <c r="BL77" s="21">
        <v>89.903940759539253</v>
      </c>
      <c r="BM77" s="6">
        <v>1.3666666666666627</v>
      </c>
      <c r="BN77" s="6">
        <v>1.4086249999999976</v>
      </c>
      <c r="BO77" s="6" t="s">
        <v>74</v>
      </c>
      <c r="BP77" s="6" t="s">
        <v>74</v>
      </c>
      <c r="BQ77" s="6">
        <v>0.72493908269331409</v>
      </c>
      <c r="BR77" s="6">
        <v>0.48392899789082017</v>
      </c>
      <c r="BS77" s="6" t="s">
        <v>74</v>
      </c>
      <c r="BT77" s="6" t="s">
        <v>74</v>
      </c>
    </row>
    <row r="78" spans="1:72" x14ac:dyDescent="0.15">
      <c r="A78" s="7" t="s">
        <v>79</v>
      </c>
      <c r="B78" s="13">
        <v>42222</v>
      </c>
      <c r="C78" s="5">
        <v>36</v>
      </c>
      <c r="D78" s="5">
        <f t="shared" si="13"/>
        <v>8</v>
      </c>
      <c r="E78" s="5">
        <f t="shared" si="14"/>
        <v>6</v>
      </c>
      <c r="F78" s="5">
        <f t="shared" si="15"/>
        <v>2015</v>
      </c>
      <c r="G78" s="9" t="s">
        <v>74</v>
      </c>
      <c r="H78" s="9" t="s">
        <v>74</v>
      </c>
      <c r="I78" s="9" t="s">
        <v>74</v>
      </c>
      <c r="J78" s="9" t="s">
        <v>74</v>
      </c>
      <c r="K78" s="25">
        <v>29.4</v>
      </c>
      <c r="L78" s="25">
        <v>25</v>
      </c>
      <c r="M78" s="26">
        <v>4885.2688520000002</v>
      </c>
      <c r="N78" s="26">
        <v>279.64095600000002</v>
      </c>
      <c r="O78" s="26">
        <v>141.45701608769136</v>
      </c>
      <c r="P78" s="25">
        <f t="shared" si="16"/>
        <v>0.14145701608769135</v>
      </c>
      <c r="Q78" s="26">
        <v>0</v>
      </c>
      <c r="R78" s="25">
        <f t="shared" si="17"/>
        <v>0</v>
      </c>
      <c r="S78" s="6" t="s">
        <v>74</v>
      </c>
      <c r="T78" s="6" t="s">
        <v>74</v>
      </c>
      <c r="U78" s="6" t="s">
        <v>74</v>
      </c>
      <c r="V78" s="6" t="s">
        <v>74</v>
      </c>
      <c r="W78" s="6" t="s">
        <v>74</v>
      </c>
      <c r="X78" s="6" t="s">
        <v>74</v>
      </c>
      <c r="Y78" s="6" t="s">
        <v>74</v>
      </c>
      <c r="Z78" s="6" t="s">
        <v>74</v>
      </c>
      <c r="AA78" s="6" t="s">
        <v>88</v>
      </c>
      <c r="AB78" s="21" t="s">
        <v>89</v>
      </c>
      <c r="AC78" s="21">
        <v>110.20359763797462</v>
      </c>
      <c r="AD78" s="21">
        <v>1.9579155949367042</v>
      </c>
      <c r="AE78" s="21">
        <v>22.362603696202534</v>
      </c>
      <c r="AF78" s="21">
        <v>5.7543056962025334</v>
      </c>
      <c r="AG78" s="6" t="s">
        <v>74</v>
      </c>
      <c r="AH78" s="6" t="s">
        <v>74</v>
      </c>
      <c r="AI78" s="6" t="s">
        <v>74</v>
      </c>
      <c r="AJ78" s="6" t="s">
        <v>74</v>
      </c>
      <c r="AK78" s="6" t="s">
        <v>74</v>
      </c>
      <c r="AL78" s="6" t="s">
        <v>74</v>
      </c>
      <c r="AM78" s="21">
        <v>19.017848101265798</v>
      </c>
      <c r="AN78" s="21">
        <v>0.26</v>
      </c>
      <c r="AO78" s="21">
        <v>4.6500000000000004</v>
      </c>
      <c r="AP78" s="21">
        <v>17.884615384615387</v>
      </c>
      <c r="AQ78" s="21">
        <v>0.26</v>
      </c>
      <c r="AR78" s="21">
        <v>4.3249999999999993</v>
      </c>
      <c r="AS78" s="21">
        <v>16.63461538461538</v>
      </c>
      <c r="AT78" s="6" t="s">
        <v>87</v>
      </c>
      <c r="AU78" s="6">
        <v>8.8783194609592062</v>
      </c>
      <c r="AV78" s="6">
        <v>8.5668534827862626</v>
      </c>
      <c r="AW78" s="6" t="s">
        <v>74</v>
      </c>
      <c r="AX78" s="6" t="s">
        <v>74</v>
      </c>
      <c r="AY78" s="6" t="s">
        <v>74</v>
      </c>
      <c r="AZ78" s="6" t="s">
        <v>74</v>
      </c>
      <c r="BA78" s="6" t="s">
        <v>74</v>
      </c>
      <c r="BB78" s="6" t="s">
        <v>74</v>
      </c>
      <c r="BC78" s="6" t="s">
        <v>74</v>
      </c>
      <c r="BD78" s="6" t="s">
        <v>74</v>
      </c>
      <c r="BE78" s="21">
        <v>97.858514896064534</v>
      </c>
      <c r="BF78" s="21">
        <v>183.99721960746018</v>
      </c>
      <c r="BG78" s="21" t="s">
        <v>74</v>
      </c>
      <c r="BH78" s="21" t="s">
        <v>74</v>
      </c>
      <c r="BI78" s="21" t="s">
        <v>74</v>
      </c>
      <c r="BJ78" s="21" t="s">
        <v>74</v>
      </c>
      <c r="BK78" s="21" t="s">
        <v>74</v>
      </c>
      <c r="BL78" s="21" t="s">
        <v>74</v>
      </c>
      <c r="BM78" s="6">
        <v>1.3211111111111107</v>
      </c>
      <c r="BN78" s="6">
        <v>1.5730999999999966</v>
      </c>
      <c r="BO78" s="6" t="s">
        <v>74</v>
      </c>
      <c r="BP78" s="6" t="s">
        <v>74</v>
      </c>
      <c r="BQ78" s="6">
        <v>0.77587847730600268</v>
      </c>
      <c r="BR78" s="6">
        <v>0.7490793448990567</v>
      </c>
      <c r="BS78" s="6" t="s">
        <v>74</v>
      </c>
      <c r="BT78" s="6" t="s">
        <v>74</v>
      </c>
    </row>
    <row r="79" spans="1:72" x14ac:dyDescent="0.15">
      <c r="A79" s="7" t="s">
        <v>79</v>
      </c>
      <c r="B79" s="13">
        <v>42222</v>
      </c>
      <c r="C79" s="5" t="s">
        <v>83</v>
      </c>
      <c r="D79" s="5">
        <f t="shared" si="13"/>
        <v>8</v>
      </c>
      <c r="E79" s="5">
        <f t="shared" si="14"/>
        <v>6</v>
      </c>
      <c r="F79" s="5">
        <f t="shared" si="15"/>
        <v>2015</v>
      </c>
      <c r="G79" s="9" t="s">
        <v>74</v>
      </c>
      <c r="H79" s="9" t="s">
        <v>74</v>
      </c>
      <c r="I79" s="9" t="s">
        <v>74</v>
      </c>
      <c r="J79" s="9" t="s">
        <v>74</v>
      </c>
      <c r="K79" s="25">
        <v>29.4</v>
      </c>
      <c r="L79" s="25">
        <v>25</v>
      </c>
      <c r="M79" s="26">
        <v>4240.47</v>
      </c>
      <c r="N79" s="26">
        <v>0</v>
      </c>
      <c r="O79" s="26">
        <v>0</v>
      </c>
      <c r="P79" s="25">
        <f t="shared" si="16"/>
        <v>0</v>
      </c>
      <c r="Q79" s="26">
        <v>0</v>
      </c>
      <c r="R79" s="25">
        <f t="shared" si="17"/>
        <v>0</v>
      </c>
      <c r="S79" s="6" t="s">
        <v>74</v>
      </c>
      <c r="T79" s="6" t="s">
        <v>74</v>
      </c>
      <c r="U79" s="6" t="s">
        <v>74</v>
      </c>
      <c r="V79" s="6" t="s">
        <v>74</v>
      </c>
      <c r="W79" s="6" t="s">
        <v>74</v>
      </c>
      <c r="X79" s="6" t="s">
        <v>74</v>
      </c>
      <c r="Y79" s="6" t="s">
        <v>74</v>
      </c>
      <c r="Z79" s="6" t="s">
        <v>74</v>
      </c>
      <c r="AA79" s="6" t="s">
        <v>88</v>
      </c>
      <c r="AB79" s="21" t="s">
        <v>89</v>
      </c>
      <c r="AC79" s="21">
        <v>-47.500703519999973</v>
      </c>
      <c r="AD79" s="21">
        <v>-0.67885844210526181</v>
      </c>
      <c r="AE79" s="21">
        <v>0.99742888421052955</v>
      </c>
      <c r="AF79" s="21">
        <v>-5.7888378947368402</v>
      </c>
      <c r="AG79" s="6" t="s">
        <v>74</v>
      </c>
      <c r="AH79" s="6" t="s">
        <v>74</v>
      </c>
      <c r="AI79" s="6" t="s">
        <v>74</v>
      </c>
      <c r="AJ79" s="6" t="s">
        <v>74</v>
      </c>
      <c r="AK79" s="6" t="s">
        <v>74</v>
      </c>
      <c r="AL79" s="6" t="s">
        <v>74</v>
      </c>
      <c r="AM79" s="21">
        <v>-0.89545263157873167</v>
      </c>
      <c r="AN79" s="21" t="s">
        <v>74</v>
      </c>
      <c r="AO79" s="21" t="s">
        <v>74</v>
      </c>
      <c r="AP79" s="21" t="s">
        <v>74</v>
      </c>
      <c r="AQ79" s="21" t="s">
        <v>74</v>
      </c>
      <c r="AR79" s="21" t="s">
        <v>74</v>
      </c>
      <c r="AS79" s="21" t="s">
        <v>74</v>
      </c>
      <c r="AT79" s="6" t="s">
        <v>74</v>
      </c>
      <c r="AU79" s="6" t="s">
        <v>74</v>
      </c>
      <c r="AV79" s="6" t="s">
        <v>74</v>
      </c>
      <c r="AW79" s="6" t="s">
        <v>74</v>
      </c>
      <c r="AX79" s="6" t="s">
        <v>74</v>
      </c>
      <c r="AY79" s="6" t="s">
        <v>74</v>
      </c>
      <c r="AZ79" s="6" t="s">
        <v>74</v>
      </c>
      <c r="BA79" s="6" t="s">
        <v>74</v>
      </c>
      <c r="BB79" s="6" t="s">
        <v>74</v>
      </c>
      <c r="BC79" s="6" t="s">
        <v>74</v>
      </c>
      <c r="BD79" s="6" t="s">
        <v>74</v>
      </c>
      <c r="BE79" s="21" t="s">
        <v>74</v>
      </c>
      <c r="BF79" s="21" t="s">
        <v>74</v>
      </c>
      <c r="BG79" s="21" t="s">
        <v>74</v>
      </c>
      <c r="BH79" s="21" t="s">
        <v>74</v>
      </c>
      <c r="BI79" s="21" t="s">
        <v>74</v>
      </c>
      <c r="BJ79" s="21" t="s">
        <v>74</v>
      </c>
      <c r="BK79" s="21" t="s">
        <v>74</v>
      </c>
      <c r="BL79" s="21" t="s">
        <v>74</v>
      </c>
      <c r="BM79" s="6" t="s">
        <v>74</v>
      </c>
      <c r="BN79" s="6" t="s">
        <v>74</v>
      </c>
      <c r="BO79" s="6" t="s">
        <v>74</v>
      </c>
      <c r="BP79" s="6" t="s">
        <v>74</v>
      </c>
      <c r="BQ79" s="6" t="s">
        <v>74</v>
      </c>
      <c r="BR79" s="6" t="s">
        <v>74</v>
      </c>
      <c r="BS79" s="6" t="s">
        <v>74</v>
      </c>
      <c r="BT79" s="6" t="s">
        <v>74</v>
      </c>
    </row>
    <row r="80" spans="1:72" x14ac:dyDescent="0.15">
      <c r="A80" s="7" t="s">
        <v>72</v>
      </c>
      <c r="B80" s="13">
        <v>42557</v>
      </c>
      <c r="C80" s="5">
        <v>35</v>
      </c>
      <c r="D80" s="5">
        <f t="shared" si="13"/>
        <v>7</v>
      </c>
      <c r="E80" s="5">
        <f t="shared" si="14"/>
        <v>6</v>
      </c>
      <c r="F80" s="5">
        <f t="shared" si="15"/>
        <v>2016</v>
      </c>
      <c r="G80" s="19">
        <v>41.585720000000002</v>
      </c>
      <c r="H80" s="19">
        <v>-71.374529999999993</v>
      </c>
      <c r="I80" s="9">
        <f>26*0.3048</f>
        <v>7.9248000000000003</v>
      </c>
      <c r="J80" s="9" t="s">
        <v>93</v>
      </c>
      <c r="K80" s="25">
        <v>30.9</v>
      </c>
      <c r="L80" s="25">
        <v>19</v>
      </c>
      <c r="M80" s="26">
        <v>1096.3616460000001</v>
      </c>
      <c r="N80" s="26">
        <v>0</v>
      </c>
      <c r="O80" s="26">
        <v>-7.7282084240364259</v>
      </c>
      <c r="P80" s="25">
        <f t="shared" si="16"/>
        <v>-7.7282084240364261E-3</v>
      </c>
      <c r="Q80" s="25">
        <v>0</v>
      </c>
      <c r="R80" s="25">
        <f t="shared" si="17"/>
        <v>0</v>
      </c>
      <c r="S80" s="5">
        <v>0.08</v>
      </c>
      <c r="T80" s="6">
        <v>1.7884000000000001E-2</v>
      </c>
      <c r="U80" s="6">
        <v>9.6659999999999992E-3</v>
      </c>
      <c r="V80" s="6">
        <v>0.64575000000000005</v>
      </c>
      <c r="W80" s="5">
        <v>0.209874</v>
      </c>
      <c r="X80" s="5">
        <v>0.15359200000000001</v>
      </c>
      <c r="Y80" s="6">
        <v>1.6646999999999995E-2</v>
      </c>
      <c r="Z80" s="6">
        <v>0.65572499999999989</v>
      </c>
      <c r="AA80" s="6" t="s">
        <v>88</v>
      </c>
      <c r="AB80" s="21" t="s">
        <v>89</v>
      </c>
      <c r="AC80" s="21">
        <v>85.159822335766435</v>
      </c>
      <c r="AD80" s="21">
        <v>1.7559899999999999</v>
      </c>
      <c r="AE80" s="21">
        <v>1.8079042335766433</v>
      </c>
      <c r="AF80" s="21">
        <v>0.65161313868613124</v>
      </c>
      <c r="AG80" s="6" t="s">
        <v>74</v>
      </c>
      <c r="AH80" s="6" t="s">
        <v>74</v>
      </c>
      <c r="AI80" s="6" t="s">
        <v>74</v>
      </c>
      <c r="AJ80" s="6" t="s">
        <v>74</v>
      </c>
      <c r="AK80" s="6" t="s">
        <v>74</v>
      </c>
      <c r="AL80" s="6" t="s">
        <v>74</v>
      </c>
      <c r="AM80" s="21" t="s">
        <v>74</v>
      </c>
      <c r="AN80" s="21">
        <v>0.22999999999999998</v>
      </c>
      <c r="AO80" s="21">
        <v>2.1</v>
      </c>
      <c r="AP80" s="21">
        <v>9.1304347826086971</v>
      </c>
      <c r="AQ80" s="21">
        <v>0.2</v>
      </c>
      <c r="AR80" s="21">
        <v>1.92</v>
      </c>
      <c r="AS80" s="21">
        <v>9.6</v>
      </c>
      <c r="AT80" s="6" t="s">
        <v>87</v>
      </c>
      <c r="AU80" s="6">
        <v>61.078962105656132</v>
      </c>
      <c r="AV80" s="6">
        <v>6.0011540680899964</v>
      </c>
      <c r="AW80" s="6" t="s">
        <v>74</v>
      </c>
      <c r="AX80" s="6" t="s">
        <v>74</v>
      </c>
      <c r="AY80" s="6" t="s">
        <v>74</v>
      </c>
      <c r="AZ80" s="6" t="s">
        <v>74</v>
      </c>
      <c r="BA80" s="6" t="s">
        <v>74</v>
      </c>
      <c r="BB80" s="6" t="s">
        <v>74</v>
      </c>
      <c r="BC80" s="6" t="s">
        <v>74</v>
      </c>
      <c r="BD80" s="6" t="s">
        <v>74</v>
      </c>
      <c r="BE80" s="21">
        <v>32.647834477900254</v>
      </c>
      <c r="BF80" s="21">
        <v>228.06710138207652</v>
      </c>
      <c r="BG80" s="21">
        <v>91.013394777050735</v>
      </c>
      <c r="BH80" s="21">
        <v>339.25114979573641</v>
      </c>
      <c r="BI80" s="21">
        <v>37.87285437186631</v>
      </c>
      <c r="BJ80" s="21">
        <v>196.93279734018884</v>
      </c>
      <c r="BK80" s="21">
        <v>29.876838434381707</v>
      </c>
      <c r="BL80" s="21">
        <v>208.08123056606524</v>
      </c>
      <c r="BM80" s="6">
        <v>0.97033333333333338</v>
      </c>
      <c r="BN80" s="6">
        <v>1.4652999999999992</v>
      </c>
      <c r="BO80" s="6" t="s">
        <v>74</v>
      </c>
      <c r="BP80" s="6" t="s">
        <v>74</v>
      </c>
      <c r="BQ80" s="6">
        <v>0.59439128458438129</v>
      </c>
      <c r="BR80" s="6">
        <v>0.77891555534907453</v>
      </c>
      <c r="BS80" s="6" t="s">
        <v>74</v>
      </c>
      <c r="BT80" s="6" t="s">
        <v>74</v>
      </c>
    </row>
    <row r="81" spans="1:72" x14ac:dyDescent="0.15">
      <c r="A81" s="7" t="s">
        <v>72</v>
      </c>
      <c r="B81" s="13">
        <v>42557</v>
      </c>
      <c r="C81" s="5">
        <v>18</v>
      </c>
      <c r="D81" s="5">
        <f t="shared" si="13"/>
        <v>7</v>
      </c>
      <c r="E81" s="5">
        <f t="shared" si="14"/>
        <v>6</v>
      </c>
      <c r="F81" s="5">
        <f t="shared" si="15"/>
        <v>2016</v>
      </c>
      <c r="G81" s="19">
        <v>41.585720000000002</v>
      </c>
      <c r="H81" s="19">
        <v>-71.374529999999993</v>
      </c>
      <c r="I81" s="9">
        <f>26*0.3048</f>
        <v>7.9248000000000003</v>
      </c>
      <c r="J81" s="9" t="s">
        <v>93</v>
      </c>
      <c r="K81" s="25">
        <v>30.9</v>
      </c>
      <c r="L81" s="25">
        <v>19</v>
      </c>
      <c r="M81" s="26">
        <v>0</v>
      </c>
      <c r="N81" s="26">
        <v>0</v>
      </c>
      <c r="O81" s="26">
        <v>4.5078871483983267</v>
      </c>
      <c r="P81" s="25">
        <f t="shared" si="16"/>
        <v>4.507887148398327E-3</v>
      </c>
      <c r="Q81" s="26">
        <v>44.951105261350378</v>
      </c>
      <c r="R81" s="25">
        <f t="shared" si="17"/>
        <v>4.4951105261350377E-2</v>
      </c>
      <c r="S81" s="5">
        <v>0.08</v>
      </c>
      <c r="T81" s="6">
        <v>1.7884000000000001E-2</v>
      </c>
      <c r="U81" s="6">
        <v>9.6659999999999992E-3</v>
      </c>
      <c r="V81" s="6">
        <v>0.64575000000000005</v>
      </c>
      <c r="W81" s="5">
        <v>0.209874</v>
      </c>
      <c r="X81" s="5">
        <v>0.15359200000000001</v>
      </c>
      <c r="Y81" s="6">
        <v>1.6646999999999995E-2</v>
      </c>
      <c r="Z81" s="6">
        <v>0.65572499999999989</v>
      </c>
      <c r="AA81" s="6" t="s">
        <v>88</v>
      </c>
      <c r="AB81" s="21" t="s">
        <v>89</v>
      </c>
      <c r="AC81" s="21">
        <v>38.127573371661747</v>
      </c>
      <c r="AD81" s="21">
        <v>1.8565938427299706</v>
      </c>
      <c r="AE81" s="21">
        <v>3.0076235163204768</v>
      </c>
      <c r="AF81" s="21">
        <v>-4.6634254451038579</v>
      </c>
      <c r="AG81" s="6" t="s">
        <v>74</v>
      </c>
      <c r="AH81" s="6" t="s">
        <v>74</v>
      </c>
      <c r="AI81" s="6" t="s">
        <v>74</v>
      </c>
      <c r="AJ81" s="6" t="s">
        <v>74</v>
      </c>
      <c r="AK81" s="6" t="s">
        <v>74</v>
      </c>
      <c r="AL81" s="6" t="s">
        <v>74</v>
      </c>
      <c r="AM81" s="21" t="s">
        <v>74</v>
      </c>
      <c r="AN81" s="21">
        <v>0.23499999999999999</v>
      </c>
      <c r="AO81" s="21">
        <v>2.1799999999999997</v>
      </c>
      <c r="AP81" s="21">
        <v>9.2765957446808507</v>
      </c>
      <c r="AQ81" s="21">
        <v>0.2</v>
      </c>
      <c r="AR81" s="21">
        <v>1.93</v>
      </c>
      <c r="AS81" s="21">
        <v>9.6499999999999986</v>
      </c>
      <c r="AT81" s="6" t="s">
        <v>87</v>
      </c>
      <c r="AU81" s="6">
        <v>6.1863743148003278</v>
      </c>
      <c r="AV81" s="6">
        <v>6.0091100210231252</v>
      </c>
      <c r="AW81" s="6" t="s">
        <v>74</v>
      </c>
      <c r="AX81" s="6" t="s">
        <v>74</v>
      </c>
      <c r="AY81" s="6" t="s">
        <v>74</v>
      </c>
      <c r="AZ81" s="6" t="s">
        <v>74</v>
      </c>
      <c r="BA81" s="6" t="s">
        <v>74</v>
      </c>
      <c r="BB81" s="6" t="s">
        <v>74</v>
      </c>
      <c r="BC81" s="6" t="s">
        <v>74</v>
      </c>
      <c r="BD81" s="6" t="s">
        <v>74</v>
      </c>
      <c r="BE81" s="21">
        <v>48.748311955251296</v>
      </c>
      <c r="BF81" s="21">
        <v>210.80717385997562</v>
      </c>
      <c r="BG81" s="21">
        <v>62.066417682160079</v>
      </c>
      <c r="BH81" s="21">
        <v>230.75491740693585</v>
      </c>
      <c r="BI81" s="21">
        <v>35.099448612980872</v>
      </c>
      <c r="BJ81" s="21">
        <v>197.08955544373259</v>
      </c>
      <c r="BK81" s="21">
        <v>20.692113691326405</v>
      </c>
      <c r="BL81" s="21">
        <v>149.21278994899069</v>
      </c>
      <c r="BM81" s="6">
        <v>1.162625000000004</v>
      </c>
      <c r="BN81" s="6">
        <v>1.3532222222222232</v>
      </c>
      <c r="BO81" s="6" t="s">
        <v>74</v>
      </c>
      <c r="BP81" s="6" t="s">
        <v>74</v>
      </c>
      <c r="BQ81" s="6">
        <v>0.67636532440225017</v>
      </c>
      <c r="BR81" s="6">
        <v>0.70917985456928212</v>
      </c>
      <c r="BS81" s="6" t="s">
        <v>74</v>
      </c>
      <c r="BT81" s="6" t="s">
        <v>74</v>
      </c>
    </row>
    <row r="82" spans="1:72" x14ac:dyDescent="0.15">
      <c r="A82" s="7" t="s">
        <v>72</v>
      </c>
      <c r="B82" s="13">
        <v>42557</v>
      </c>
      <c r="C82" s="5">
        <v>19</v>
      </c>
      <c r="D82" s="5">
        <f t="shared" si="13"/>
        <v>7</v>
      </c>
      <c r="E82" s="5">
        <f t="shared" si="14"/>
        <v>6</v>
      </c>
      <c r="F82" s="5">
        <f t="shared" si="15"/>
        <v>2016</v>
      </c>
      <c r="G82" s="19">
        <v>41.585720000000002</v>
      </c>
      <c r="H82" s="19">
        <v>-71.374529999999993</v>
      </c>
      <c r="I82" s="9">
        <f>26*0.3048</f>
        <v>7.9248000000000003</v>
      </c>
      <c r="J82" s="9" t="s">
        <v>93</v>
      </c>
      <c r="K82" s="25">
        <v>30.9</v>
      </c>
      <c r="L82" s="25">
        <v>19</v>
      </c>
      <c r="M82" s="26">
        <v>532.02498790000004</v>
      </c>
      <c r="N82" s="26">
        <v>0</v>
      </c>
      <c r="O82" s="25">
        <v>0</v>
      </c>
      <c r="P82" s="25">
        <f t="shared" si="16"/>
        <v>0</v>
      </c>
      <c r="Q82" s="26">
        <v>89.372525224280309</v>
      </c>
      <c r="R82" s="25">
        <f t="shared" si="17"/>
        <v>8.9372525224280311E-2</v>
      </c>
      <c r="S82" s="5">
        <v>0.08</v>
      </c>
      <c r="T82" s="6">
        <v>1.7884000000000001E-2</v>
      </c>
      <c r="U82" s="6">
        <v>9.6659999999999992E-3</v>
      </c>
      <c r="V82" s="6">
        <v>0.64575000000000005</v>
      </c>
      <c r="W82" s="5">
        <v>0.209874</v>
      </c>
      <c r="X82" s="5">
        <v>0.15359200000000001</v>
      </c>
      <c r="Y82" s="6">
        <v>1.6646999999999995E-2</v>
      </c>
      <c r="Z82" s="6">
        <v>0.65572499999999989</v>
      </c>
      <c r="AA82" s="6" t="s">
        <v>88</v>
      </c>
      <c r="AB82" s="21" t="s">
        <v>89</v>
      </c>
      <c r="AC82" s="21">
        <v>29.407344999999999</v>
      </c>
      <c r="AD82" s="21">
        <v>1.3203882352941174</v>
      </c>
      <c r="AE82" s="21">
        <v>6.585829411764708</v>
      </c>
      <c r="AF82" s="21">
        <v>-0.73036764705882218</v>
      </c>
      <c r="AG82" s="6" t="s">
        <v>74</v>
      </c>
      <c r="AH82" s="6" t="s">
        <v>74</v>
      </c>
      <c r="AI82" s="6" t="s">
        <v>74</v>
      </c>
      <c r="AJ82" s="6" t="s">
        <v>74</v>
      </c>
      <c r="AK82" s="6" t="s">
        <v>74</v>
      </c>
      <c r="AL82" s="6" t="s">
        <v>74</v>
      </c>
      <c r="AM82" s="21" t="s">
        <v>74</v>
      </c>
      <c r="AN82" s="21">
        <v>0.25</v>
      </c>
      <c r="AO82" s="21">
        <v>2.2749999999999999</v>
      </c>
      <c r="AP82" s="21">
        <v>9.1</v>
      </c>
      <c r="AQ82" s="21">
        <v>0.2</v>
      </c>
      <c r="AR82" s="21">
        <v>1.9849999999999999</v>
      </c>
      <c r="AS82" s="21">
        <v>9.9249999999999989</v>
      </c>
      <c r="AT82" s="6" t="s">
        <v>87</v>
      </c>
      <c r="AU82" s="6" t="s">
        <v>74</v>
      </c>
      <c r="AV82" s="6">
        <v>7.8741735123221597</v>
      </c>
      <c r="AW82" s="6" t="s">
        <v>74</v>
      </c>
      <c r="AX82" s="6" t="s">
        <v>74</v>
      </c>
      <c r="AY82" s="6" t="s">
        <v>74</v>
      </c>
      <c r="AZ82" s="6" t="s">
        <v>74</v>
      </c>
      <c r="BA82" s="6" t="s">
        <v>74</v>
      </c>
      <c r="BB82" s="6" t="s">
        <v>74</v>
      </c>
      <c r="BC82" s="6" t="s">
        <v>74</v>
      </c>
      <c r="BD82" s="6" t="s">
        <v>74</v>
      </c>
      <c r="BE82" s="21">
        <v>74.838910020422674</v>
      </c>
      <c r="BF82" s="21">
        <v>316.11395299694408</v>
      </c>
      <c r="BG82" s="21">
        <v>76.293204785089728</v>
      </c>
      <c r="BH82" s="21">
        <v>221.06691536656319</v>
      </c>
      <c r="BI82" s="21">
        <v>36.423543049973539</v>
      </c>
      <c r="BJ82" s="21">
        <v>140.55908192251684</v>
      </c>
      <c r="BK82" s="21">
        <v>32.881021750807982</v>
      </c>
      <c r="BL82" s="21">
        <v>225.12929442533391</v>
      </c>
      <c r="BM82" s="6">
        <v>1.2019999999999982</v>
      </c>
      <c r="BN82" s="6">
        <v>1.4002999999999943</v>
      </c>
      <c r="BO82" s="6" t="s">
        <v>74</v>
      </c>
      <c r="BP82" s="6" t="s">
        <v>74</v>
      </c>
      <c r="BQ82" s="6">
        <v>0.70544427692985179</v>
      </c>
      <c r="BR82" s="6">
        <v>0.73134027390698186</v>
      </c>
      <c r="BS82" s="6" t="s">
        <v>74</v>
      </c>
      <c r="BT82" s="6" t="s">
        <v>74</v>
      </c>
    </row>
    <row r="83" spans="1:72" x14ac:dyDescent="0.15">
      <c r="A83" s="7" t="s">
        <v>72</v>
      </c>
      <c r="B83" s="13">
        <v>42557</v>
      </c>
      <c r="C83" s="5" t="s">
        <v>83</v>
      </c>
      <c r="D83" s="5">
        <v>7</v>
      </c>
      <c r="E83" s="5">
        <v>6</v>
      </c>
      <c r="F83" s="5">
        <v>2016</v>
      </c>
      <c r="G83" s="19">
        <v>41.585720000000002</v>
      </c>
      <c r="H83" s="19">
        <v>-71.374529999999993</v>
      </c>
      <c r="I83" s="9">
        <f>26*0.3048</f>
        <v>7.9248000000000003</v>
      </c>
      <c r="J83" s="9" t="s">
        <v>93</v>
      </c>
      <c r="K83" s="25">
        <v>30.9</v>
      </c>
      <c r="L83" s="25">
        <v>19</v>
      </c>
      <c r="M83" s="26">
        <v>0</v>
      </c>
      <c r="N83" s="26">
        <v>0</v>
      </c>
      <c r="O83" s="25">
        <v>0</v>
      </c>
      <c r="P83" s="25">
        <f t="shared" si="16"/>
        <v>0</v>
      </c>
      <c r="Q83" s="26">
        <v>0</v>
      </c>
      <c r="R83" s="25">
        <v>0</v>
      </c>
      <c r="S83" s="5">
        <v>0.08</v>
      </c>
      <c r="T83" s="6">
        <v>1.7884000000000001E-2</v>
      </c>
      <c r="U83" s="6">
        <v>9.6659999999999992E-3</v>
      </c>
      <c r="V83" s="6">
        <v>0.64575000000000005</v>
      </c>
      <c r="W83" s="5">
        <v>0.209874</v>
      </c>
      <c r="X83" s="5">
        <v>0.15359200000000001</v>
      </c>
      <c r="Y83" s="6">
        <v>1.6646999999999995E-2</v>
      </c>
      <c r="Z83" s="6">
        <v>0.65572499999999989</v>
      </c>
      <c r="AA83" s="6" t="s">
        <v>88</v>
      </c>
      <c r="AB83" s="21" t="s">
        <v>89</v>
      </c>
      <c r="AC83" s="21">
        <v>-1.8312042503816794</v>
      </c>
      <c r="AD83" s="21">
        <v>8.2050320610686997E-2</v>
      </c>
      <c r="AE83" s="21">
        <v>7.7690601526717558</v>
      </c>
      <c r="AF83" s="21">
        <v>-3.3958442748091597</v>
      </c>
      <c r="AG83" s="6" t="s">
        <v>74</v>
      </c>
      <c r="AH83" s="6" t="s">
        <v>74</v>
      </c>
      <c r="AI83" s="6" t="s">
        <v>74</v>
      </c>
      <c r="AJ83" s="6" t="s">
        <v>74</v>
      </c>
      <c r="AK83" s="6" t="s">
        <v>74</v>
      </c>
      <c r="AL83" s="6" t="s">
        <v>74</v>
      </c>
      <c r="AM83" s="21" t="s">
        <v>74</v>
      </c>
      <c r="AN83" s="21" t="s">
        <v>74</v>
      </c>
      <c r="AO83" s="21" t="s">
        <v>74</v>
      </c>
      <c r="AP83" s="21" t="s">
        <v>74</v>
      </c>
      <c r="AQ83" s="21" t="s">
        <v>74</v>
      </c>
      <c r="AR83" s="21" t="s">
        <v>74</v>
      </c>
      <c r="AS83" s="21" t="s">
        <v>74</v>
      </c>
      <c r="AT83" s="6" t="s">
        <v>74</v>
      </c>
      <c r="AU83" s="6" t="s">
        <v>74</v>
      </c>
      <c r="AV83" s="6" t="s">
        <v>74</v>
      </c>
      <c r="AW83" s="6" t="s">
        <v>74</v>
      </c>
      <c r="AX83" s="6" t="s">
        <v>74</v>
      </c>
      <c r="AY83" s="6" t="s">
        <v>74</v>
      </c>
      <c r="AZ83" s="6" t="s">
        <v>74</v>
      </c>
      <c r="BA83" s="6" t="s">
        <v>74</v>
      </c>
      <c r="BB83" s="6" t="s">
        <v>74</v>
      </c>
      <c r="BC83" s="6" t="s">
        <v>74</v>
      </c>
      <c r="BD83" s="6" t="s">
        <v>74</v>
      </c>
      <c r="BE83" s="21" t="s">
        <v>74</v>
      </c>
      <c r="BF83" s="21" t="s">
        <v>74</v>
      </c>
      <c r="BG83" s="21" t="s">
        <v>74</v>
      </c>
      <c r="BH83" s="21" t="s">
        <v>74</v>
      </c>
      <c r="BI83" s="21" t="s">
        <v>74</v>
      </c>
      <c r="BJ83" s="21" t="s">
        <v>74</v>
      </c>
      <c r="BK83" s="21" t="s">
        <v>74</v>
      </c>
      <c r="BL83" s="21" t="s">
        <v>74</v>
      </c>
      <c r="BM83" s="6" t="s">
        <v>74</v>
      </c>
      <c r="BN83" s="6" t="s">
        <v>74</v>
      </c>
      <c r="BO83" s="6" t="s">
        <v>74</v>
      </c>
      <c r="BP83" s="6" t="s">
        <v>74</v>
      </c>
      <c r="BQ83" s="6" t="s">
        <v>74</v>
      </c>
      <c r="BR83" s="6" t="s">
        <v>74</v>
      </c>
      <c r="BS83" s="6" t="s">
        <v>74</v>
      </c>
      <c r="BT83" s="6" t="s">
        <v>74</v>
      </c>
    </row>
    <row r="84" spans="1:72" x14ac:dyDescent="0.15">
      <c r="A84" s="7" t="s">
        <v>79</v>
      </c>
      <c r="B84" s="8">
        <v>42606</v>
      </c>
      <c r="C84" s="5">
        <v>16</v>
      </c>
      <c r="D84" s="5">
        <f t="shared" ref="D84:D107" si="18">MONTH(B84)</f>
        <v>8</v>
      </c>
      <c r="E84" s="5">
        <f t="shared" ref="E84:E107" si="19">DAY(B84)</f>
        <v>24</v>
      </c>
      <c r="F84" s="5">
        <f t="shared" ref="F84:F107" si="20">YEAR(B84)</f>
        <v>2016</v>
      </c>
      <c r="G84" s="5">
        <v>41.779305999999998</v>
      </c>
      <c r="H84" s="5">
        <v>-71.379555999999994</v>
      </c>
      <c r="I84" s="5">
        <f>9.6*0.3048</f>
        <v>2.9260800000000002</v>
      </c>
      <c r="J84" s="9" t="s">
        <v>93</v>
      </c>
      <c r="K84" s="25">
        <v>26.4</v>
      </c>
      <c r="L84" s="25">
        <v>25.1</v>
      </c>
      <c r="M84" s="29">
        <v>2077.8558250000001</v>
      </c>
      <c r="N84" s="29">
        <v>19.68</v>
      </c>
      <c r="O84" s="26">
        <v>15.222601590167924</v>
      </c>
      <c r="P84" s="25">
        <f t="shared" si="16"/>
        <v>1.5222601590167924E-2</v>
      </c>
      <c r="Q84" s="26">
        <v>525.64390151380576</v>
      </c>
      <c r="R84" s="25">
        <f>Q84/1000</f>
        <v>0.5256439015138058</v>
      </c>
      <c r="S84" s="5">
        <v>1.2332596</v>
      </c>
      <c r="T84" s="5">
        <v>6.1463100000000006</v>
      </c>
      <c r="U84" s="6">
        <v>0.40650900000000001</v>
      </c>
      <c r="V84" s="6">
        <v>3.5894250000000003</v>
      </c>
      <c r="W84" s="6" t="s">
        <v>74</v>
      </c>
      <c r="X84" s="6" t="s">
        <v>74</v>
      </c>
      <c r="Y84" s="6" t="s">
        <v>74</v>
      </c>
      <c r="Z84" s="6" t="s">
        <v>74</v>
      </c>
      <c r="AA84" s="6" t="s">
        <v>88</v>
      </c>
      <c r="AB84" s="21" t="s">
        <v>89</v>
      </c>
      <c r="AC84" s="21">
        <v>-5.6245302325580697</v>
      </c>
      <c r="AD84" s="21">
        <v>0.96709953488372247</v>
      </c>
      <c r="AE84" s="21">
        <v>-3.5523348837209325</v>
      </c>
      <c r="AF84" s="21">
        <v>-5.761569767441852</v>
      </c>
      <c r="AG84" s="6">
        <v>53.880463000000006</v>
      </c>
      <c r="AH84" s="6">
        <v>0.19312641829123023</v>
      </c>
      <c r="AI84" s="6">
        <v>2</v>
      </c>
      <c r="AJ84" s="6">
        <v>54.0572035</v>
      </c>
      <c r="AK84" s="6">
        <v>5.4556470149059212E-2</v>
      </c>
      <c r="AL84" s="6">
        <v>2</v>
      </c>
      <c r="AM84" s="21">
        <v>164.80875348837216</v>
      </c>
      <c r="AN84" s="21">
        <v>0.25</v>
      </c>
      <c r="AO84" s="21">
        <v>3.36</v>
      </c>
      <c r="AP84" s="21">
        <v>13.44</v>
      </c>
      <c r="AQ84" s="21" t="s">
        <v>74</v>
      </c>
      <c r="AR84" s="21" t="s">
        <v>74</v>
      </c>
      <c r="AS84" s="21" t="s">
        <v>74</v>
      </c>
      <c r="AT84" s="6" t="s">
        <v>87</v>
      </c>
      <c r="AU84" s="6">
        <v>10.567514677103713</v>
      </c>
      <c r="AV84" s="6">
        <v>6.5225225225225252</v>
      </c>
      <c r="AW84" s="6" t="s">
        <v>74</v>
      </c>
      <c r="AX84" s="6" t="s">
        <v>74</v>
      </c>
      <c r="AY84" s="6">
        <v>12.38214</v>
      </c>
      <c r="AZ84" s="6">
        <v>7.4855099999999997</v>
      </c>
      <c r="BA84" s="6">
        <v>9.2879180000000012</v>
      </c>
      <c r="BB84" s="6">
        <v>4.8259244999999993</v>
      </c>
      <c r="BC84" s="6" t="s">
        <v>74</v>
      </c>
      <c r="BD84" s="6" t="s">
        <v>74</v>
      </c>
      <c r="BE84" s="21">
        <v>38.2502342959665</v>
      </c>
      <c r="BF84" s="21">
        <v>265.25428353513519</v>
      </c>
      <c r="BG84" s="21">
        <v>24.295589061051938</v>
      </c>
      <c r="BH84" s="21">
        <v>274.0811934604954</v>
      </c>
      <c r="BI84" s="21">
        <v>35.8924244047749</v>
      </c>
      <c r="BJ84" s="21">
        <v>272.52648361184725</v>
      </c>
      <c r="BK84" s="21">
        <v>37.871495184568829</v>
      </c>
      <c r="BL84" s="21">
        <v>241.82436738660249</v>
      </c>
      <c r="BM84" s="6" t="s">
        <v>74</v>
      </c>
      <c r="BN84" s="6" t="s">
        <v>74</v>
      </c>
      <c r="BO84" s="6" t="s">
        <v>74</v>
      </c>
      <c r="BP84" s="6" t="s">
        <v>74</v>
      </c>
      <c r="BQ84" s="6" t="s">
        <v>74</v>
      </c>
      <c r="BR84" s="6" t="s">
        <v>74</v>
      </c>
      <c r="BS84" s="6" t="s">
        <v>74</v>
      </c>
      <c r="BT84" s="6" t="s">
        <v>74</v>
      </c>
    </row>
    <row r="85" spans="1:72" x14ac:dyDescent="0.15">
      <c r="A85" s="7" t="s">
        <v>79</v>
      </c>
      <c r="B85" s="8">
        <v>42606</v>
      </c>
      <c r="C85" s="5">
        <v>12</v>
      </c>
      <c r="D85" s="5">
        <f t="shared" si="18"/>
        <v>8</v>
      </c>
      <c r="E85" s="5">
        <f t="shared" si="19"/>
        <v>24</v>
      </c>
      <c r="F85" s="5">
        <f t="shared" si="20"/>
        <v>2016</v>
      </c>
      <c r="G85" s="5">
        <v>41.779305999999998</v>
      </c>
      <c r="H85" s="5">
        <v>-71.379555999999994</v>
      </c>
      <c r="I85" s="5">
        <f>9.6*0.3048</f>
        <v>2.9260800000000002</v>
      </c>
      <c r="J85" s="9" t="s">
        <v>93</v>
      </c>
      <c r="K85" s="25">
        <v>26.4</v>
      </c>
      <c r="L85" s="25">
        <v>25.1</v>
      </c>
      <c r="M85" s="29">
        <v>3330.9973129999998</v>
      </c>
      <c r="N85" s="29">
        <v>35.71</v>
      </c>
      <c r="O85" s="26">
        <v>118.43109478870514</v>
      </c>
      <c r="P85" s="25">
        <f t="shared" si="16"/>
        <v>0.11843109478870514</v>
      </c>
      <c r="Q85" s="26">
        <v>207.97293397066821</v>
      </c>
      <c r="R85" s="25">
        <f>Q85/1000</f>
        <v>0.20797293397066821</v>
      </c>
      <c r="S85" s="5">
        <v>1.2332596</v>
      </c>
      <c r="T85" s="5">
        <v>6.1463100000000006</v>
      </c>
      <c r="U85" s="6">
        <v>0.40650900000000001</v>
      </c>
      <c r="V85" s="6">
        <v>3.5894250000000003</v>
      </c>
      <c r="W85" s="6" t="s">
        <v>74</v>
      </c>
      <c r="X85" s="6" t="s">
        <v>74</v>
      </c>
      <c r="Y85" s="6" t="s">
        <v>74</v>
      </c>
      <c r="Z85" s="6" t="s">
        <v>74</v>
      </c>
      <c r="AA85" s="6" t="s">
        <v>88</v>
      </c>
      <c r="AB85" s="21" t="s">
        <v>89</v>
      </c>
      <c r="AC85" s="21">
        <v>159.18912306122448</v>
      </c>
      <c r="AD85" s="21">
        <v>8.9496803571428547</v>
      </c>
      <c r="AE85" s="21">
        <v>15.789258673469391</v>
      </c>
      <c r="AF85" s="21">
        <v>2.8675446428571454</v>
      </c>
      <c r="AG85" s="6">
        <v>53.880463000000006</v>
      </c>
      <c r="AH85" s="6">
        <v>0.19312641829123023</v>
      </c>
      <c r="AI85" s="6">
        <v>2</v>
      </c>
      <c r="AJ85" s="6">
        <v>54.0572035</v>
      </c>
      <c r="AK85" s="6">
        <v>5.4556470149059212E-2</v>
      </c>
      <c r="AL85" s="6">
        <v>2</v>
      </c>
      <c r="AM85" s="21">
        <v>301.12892755102035</v>
      </c>
      <c r="AN85" s="21">
        <v>0.22999999999999998</v>
      </c>
      <c r="AO85" s="21">
        <v>3.51</v>
      </c>
      <c r="AP85" s="21">
        <v>15.260869565217391</v>
      </c>
      <c r="AQ85" s="21">
        <v>0.22999999999999998</v>
      </c>
      <c r="AR85" s="21">
        <v>3.2650000000000001</v>
      </c>
      <c r="AS85" s="21">
        <v>14.195652173913045</v>
      </c>
      <c r="AT85" s="6" t="s">
        <v>87</v>
      </c>
      <c r="AU85" s="6">
        <v>8.0454014354865286</v>
      </c>
      <c r="AV85" s="6">
        <v>7.3940124573035853</v>
      </c>
      <c r="AW85" s="6" t="s">
        <v>74</v>
      </c>
      <c r="AX85" s="6" t="s">
        <v>74</v>
      </c>
      <c r="AY85" s="6">
        <v>12.38214</v>
      </c>
      <c r="AZ85" s="6">
        <v>7.4855099999999997</v>
      </c>
      <c r="BA85" s="6">
        <v>9.2879180000000012</v>
      </c>
      <c r="BB85" s="6">
        <v>4.8259244999999993</v>
      </c>
      <c r="BC85" s="6" t="s">
        <v>74</v>
      </c>
      <c r="BD85" s="6" t="s">
        <v>74</v>
      </c>
      <c r="BE85" s="21" t="s">
        <v>74</v>
      </c>
      <c r="BF85" s="21" t="s">
        <v>74</v>
      </c>
      <c r="BG85" s="21" t="s">
        <v>74</v>
      </c>
      <c r="BH85" s="21" t="s">
        <v>74</v>
      </c>
      <c r="BI85" s="21" t="s">
        <v>74</v>
      </c>
      <c r="BJ85" s="21" t="s">
        <v>74</v>
      </c>
      <c r="BK85" s="21" t="s">
        <v>74</v>
      </c>
      <c r="BL85" s="21" t="s">
        <v>74</v>
      </c>
      <c r="BM85" s="6" t="s">
        <v>74</v>
      </c>
      <c r="BN85" s="6" t="s">
        <v>74</v>
      </c>
      <c r="BO85" s="6" t="s">
        <v>74</v>
      </c>
      <c r="BP85" s="6" t="s">
        <v>74</v>
      </c>
      <c r="BQ85" s="6" t="s">
        <v>74</v>
      </c>
      <c r="BR85" s="6" t="s">
        <v>74</v>
      </c>
      <c r="BS85" s="6" t="s">
        <v>74</v>
      </c>
      <c r="BT85" s="6" t="s">
        <v>74</v>
      </c>
    </row>
    <row r="86" spans="1:72" x14ac:dyDescent="0.15">
      <c r="A86" s="7" t="s">
        <v>79</v>
      </c>
      <c r="B86" s="8">
        <v>42606</v>
      </c>
      <c r="C86" s="5">
        <v>19</v>
      </c>
      <c r="D86" s="5">
        <f t="shared" si="18"/>
        <v>8</v>
      </c>
      <c r="E86" s="5">
        <f t="shared" si="19"/>
        <v>24</v>
      </c>
      <c r="F86" s="5">
        <f t="shared" si="20"/>
        <v>2016</v>
      </c>
      <c r="G86" s="5">
        <v>41.779305999999998</v>
      </c>
      <c r="H86" s="5">
        <v>-71.379555999999994</v>
      </c>
      <c r="I86" s="5">
        <f>9.6*0.3048</f>
        <v>2.9260800000000002</v>
      </c>
      <c r="J86" s="9" t="s">
        <v>93</v>
      </c>
      <c r="K86" s="25">
        <v>26.4</v>
      </c>
      <c r="L86" s="25">
        <v>25.1</v>
      </c>
      <c r="M86" s="26">
        <v>2157.04271249062</v>
      </c>
      <c r="N86" s="21">
        <v>-84.583802477096796</v>
      </c>
      <c r="O86" s="21" t="s">
        <v>74</v>
      </c>
      <c r="P86" s="25" t="s">
        <v>74</v>
      </c>
      <c r="Q86" s="26" t="s">
        <v>74</v>
      </c>
      <c r="R86" s="25" t="s">
        <v>74</v>
      </c>
      <c r="S86" s="5">
        <v>1.2332596</v>
      </c>
      <c r="T86" s="5">
        <v>6.1463100000000006</v>
      </c>
      <c r="U86" s="6">
        <v>0.40650900000000001</v>
      </c>
      <c r="V86" s="6">
        <v>3.5894250000000003</v>
      </c>
      <c r="W86" s="6" t="s">
        <v>74</v>
      </c>
      <c r="X86" s="6" t="s">
        <v>74</v>
      </c>
      <c r="Y86" s="6" t="s">
        <v>74</v>
      </c>
      <c r="Z86" s="6" t="s">
        <v>74</v>
      </c>
      <c r="AA86" s="6" t="s">
        <v>88</v>
      </c>
      <c r="AB86" s="21" t="s">
        <v>89</v>
      </c>
      <c r="AC86" s="21">
        <v>-33.733272689295042</v>
      </c>
      <c r="AD86" s="21">
        <v>2.5136647519582236</v>
      </c>
      <c r="AE86" s="21">
        <v>0.14832375979111762</v>
      </c>
      <c r="AF86" s="21">
        <v>-20.45937336814621</v>
      </c>
      <c r="AG86" s="6">
        <v>53.880463000000006</v>
      </c>
      <c r="AH86" s="6">
        <v>0.19312641829123023</v>
      </c>
      <c r="AI86" s="6">
        <v>2</v>
      </c>
      <c r="AJ86" s="6">
        <v>54.0572035</v>
      </c>
      <c r="AK86" s="6">
        <v>5.4556470149059212E-2</v>
      </c>
      <c r="AL86" s="6">
        <v>2</v>
      </c>
      <c r="AM86" s="21">
        <v>219.55156449086206</v>
      </c>
      <c r="AN86" s="21">
        <v>0.27500000000000002</v>
      </c>
      <c r="AO86" s="21">
        <v>3.4950000000000001</v>
      </c>
      <c r="AP86" s="21">
        <v>12.709090909090909</v>
      </c>
      <c r="AQ86" s="21" t="s">
        <v>74</v>
      </c>
      <c r="AR86" s="21" t="s">
        <v>74</v>
      </c>
      <c r="AS86" s="21" t="s">
        <v>74</v>
      </c>
      <c r="AT86" s="6" t="s">
        <v>87</v>
      </c>
      <c r="AU86" s="6">
        <v>8.3218571709620317</v>
      </c>
      <c r="AV86" s="6">
        <v>8.874496761771395</v>
      </c>
      <c r="AW86" s="6" t="s">
        <v>74</v>
      </c>
      <c r="AX86" s="6" t="s">
        <v>74</v>
      </c>
      <c r="AY86" s="6">
        <v>12.38214</v>
      </c>
      <c r="AZ86" s="6">
        <v>7.4855099999999997</v>
      </c>
      <c r="BA86" s="6">
        <v>9.2879180000000012</v>
      </c>
      <c r="BB86" s="6">
        <v>4.8259244999999993</v>
      </c>
      <c r="BC86" s="6" t="s">
        <v>74</v>
      </c>
      <c r="BD86" s="6" t="s">
        <v>74</v>
      </c>
      <c r="BE86" s="21">
        <v>35.787580343555874</v>
      </c>
      <c r="BF86" s="21">
        <v>279.10460770939028</v>
      </c>
      <c r="BG86" s="21">
        <v>27.192293659851615</v>
      </c>
      <c r="BH86" s="21">
        <v>241.76205281898316</v>
      </c>
      <c r="BI86" s="21">
        <v>49.437175249933546</v>
      </c>
      <c r="BJ86" s="21">
        <v>430.86488861056483</v>
      </c>
      <c r="BK86" s="21">
        <v>19.533386187284421</v>
      </c>
      <c r="BL86" s="21">
        <v>178.34488416816464</v>
      </c>
      <c r="BM86" s="6" t="s">
        <v>74</v>
      </c>
      <c r="BN86" s="6" t="s">
        <v>74</v>
      </c>
      <c r="BO86" s="6" t="s">
        <v>74</v>
      </c>
      <c r="BP86" s="6" t="s">
        <v>74</v>
      </c>
      <c r="BQ86" s="6" t="s">
        <v>74</v>
      </c>
      <c r="BR86" s="6" t="s">
        <v>74</v>
      </c>
      <c r="BS86" s="6" t="s">
        <v>74</v>
      </c>
      <c r="BT86" s="6" t="s">
        <v>74</v>
      </c>
    </row>
    <row r="87" spans="1:72" x14ac:dyDescent="0.15">
      <c r="A87" s="7" t="s">
        <v>79</v>
      </c>
      <c r="B87" s="8">
        <v>42606</v>
      </c>
      <c r="C87" s="5" t="s">
        <v>94</v>
      </c>
      <c r="D87" s="5">
        <f t="shared" si="18"/>
        <v>8</v>
      </c>
      <c r="E87" s="5">
        <f t="shared" si="19"/>
        <v>24</v>
      </c>
      <c r="F87" s="5">
        <f t="shared" si="20"/>
        <v>2016</v>
      </c>
      <c r="G87" s="5">
        <v>41.779305999999998</v>
      </c>
      <c r="H87" s="5">
        <v>-71.379555999999994</v>
      </c>
      <c r="I87" s="5">
        <f>9.6*0.3048</f>
        <v>2.9260800000000002</v>
      </c>
      <c r="J87" s="9" t="s">
        <v>93</v>
      </c>
      <c r="K87" s="25">
        <v>26.4</v>
      </c>
      <c r="L87" s="25">
        <v>25.1</v>
      </c>
      <c r="M87" s="26">
        <v>702.054537796114</v>
      </c>
      <c r="N87" s="21">
        <v>0</v>
      </c>
      <c r="O87" s="21" t="s">
        <v>74</v>
      </c>
      <c r="P87" s="25" t="s">
        <v>74</v>
      </c>
      <c r="Q87" s="26" t="s">
        <v>74</v>
      </c>
      <c r="R87" s="25" t="s">
        <v>74</v>
      </c>
      <c r="S87" s="5">
        <v>1.2332596</v>
      </c>
      <c r="T87" s="5">
        <v>6.1463100000000006</v>
      </c>
      <c r="U87" s="6">
        <v>0.40650900000000001</v>
      </c>
      <c r="V87" s="6">
        <v>3.5894250000000003</v>
      </c>
      <c r="W87" s="6" t="s">
        <v>74</v>
      </c>
      <c r="X87" s="6" t="s">
        <v>74</v>
      </c>
      <c r="Y87" s="6" t="s">
        <v>74</v>
      </c>
      <c r="Z87" s="6" t="s">
        <v>74</v>
      </c>
      <c r="AA87" s="6" t="s">
        <v>88</v>
      </c>
      <c r="AB87" s="21" t="s">
        <v>89</v>
      </c>
      <c r="AC87" s="21">
        <v>-105.56171877747991</v>
      </c>
      <c r="AD87" s="21">
        <v>0.86449801608579169</v>
      </c>
      <c r="AE87" s="21">
        <v>6.5390966219839255</v>
      </c>
      <c r="AF87" s="21">
        <v>-8.6396139410187676</v>
      </c>
      <c r="AG87" s="6">
        <v>53.880463000000006</v>
      </c>
      <c r="AH87" s="6">
        <v>0.19312641829123023</v>
      </c>
      <c r="AI87" s="6">
        <v>2</v>
      </c>
      <c r="AJ87" s="6">
        <v>54.0572035</v>
      </c>
      <c r="AK87" s="6">
        <v>5.4556470149059212E-2</v>
      </c>
      <c r="AL87" s="6">
        <v>2</v>
      </c>
      <c r="AM87" s="21">
        <v>-11.236196943699825</v>
      </c>
      <c r="AN87" s="21" t="s">
        <v>74</v>
      </c>
      <c r="AO87" s="21" t="s">
        <v>74</v>
      </c>
      <c r="AP87" s="21" t="s">
        <v>74</v>
      </c>
      <c r="AQ87" s="21" t="s">
        <v>74</v>
      </c>
      <c r="AR87" s="21" t="s">
        <v>74</v>
      </c>
      <c r="AS87" s="21" t="s">
        <v>74</v>
      </c>
      <c r="AT87" s="6" t="s">
        <v>74</v>
      </c>
      <c r="AU87" s="6" t="s">
        <v>74</v>
      </c>
      <c r="AV87" s="6" t="s">
        <v>74</v>
      </c>
      <c r="AW87" s="6" t="s">
        <v>74</v>
      </c>
      <c r="AX87" s="6" t="s">
        <v>74</v>
      </c>
      <c r="AY87" s="6">
        <v>12.38214</v>
      </c>
      <c r="AZ87" s="6">
        <v>7.4855099999999997</v>
      </c>
      <c r="BA87" s="6">
        <v>9.2879180000000012</v>
      </c>
      <c r="BB87" s="6">
        <v>4.8259244999999993</v>
      </c>
      <c r="BC87" s="6" t="s">
        <v>74</v>
      </c>
      <c r="BD87" s="6" t="s">
        <v>74</v>
      </c>
      <c r="BE87" s="21" t="s">
        <v>74</v>
      </c>
      <c r="BF87" s="21" t="s">
        <v>74</v>
      </c>
      <c r="BG87" s="21" t="s">
        <v>74</v>
      </c>
      <c r="BH87" s="21" t="s">
        <v>74</v>
      </c>
      <c r="BI87" s="21" t="s">
        <v>74</v>
      </c>
      <c r="BJ87" s="21" t="s">
        <v>74</v>
      </c>
      <c r="BK87" s="21" t="s">
        <v>74</v>
      </c>
      <c r="BL87" s="21" t="s">
        <v>74</v>
      </c>
      <c r="BM87" s="6" t="s">
        <v>74</v>
      </c>
      <c r="BN87" s="6" t="s">
        <v>74</v>
      </c>
      <c r="BO87" s="6" t="s">
        <v>74</v>
      </c>
      <c r="BP87" s="6" t="s">
        <v>74</v>
      </c>
      <c r="BQ87" s="6" t="s">
        <v>74</v>
      </c>
      <c r="BR87" s="6" t="s">
        <v>74</v>
      </c>
      <c r="BS87" s="6" t="s">
        <v>74</v>
      </c>
      <c r="BT87" s="6" t="s">
        <v>74</v>
      </c>
    </row>
    <row r="88" spans="1:72" x14ac:dyDescent="0.15">
      <c r="A88" s="7" t="s">
        <v>72</v>
      </c>
      <c r="B88" s="13">
        <v>42616</v>
      </c>
      <c r="C88" s="5">
        <v>6</v>
      </c>
      <c r="D88" s="5">
        <f t="shared" si="18"/>
        <v>9</v>
      </c>
      <c r="E88" s="5">
        <f t="shared" si="19"/>
        <v>3</v>
      </c>
      <c r="F88" s="5">
        <f t="shared" si="20"/>
        <v>2016</v>
      </c>
      <c r="G88" s="5" t="s">
        <v>74</v>
      </c>
      <c r="H88" s="5" t="s">
        <v>74</v>
      </c>
      <c r="I88" s="9">
        <f t="shared" ref="I88:I95" si="21">26*0.3048</f>
        <v>7.9248000000000003</v>
      </c>
      <c r="J88" s="9" t="s">
        <v>93</v>
      </c>
      <c r="K88" s="25">
        <v>30.4</v>
      </c>
      <c r="L88" s="25">
        <v>23</v>
      </c>
      <c r="M88" s="26">
        <v>788.68693900000005</v>
      </c>
      <c r="N88" s="26">
        <v>0</v>
      </c>
      <c r="O88" s="26">
        <v>29.754538568651814</v>
      </c>
      <c r="P88" s="25">
        <f t="shared" ref="P88:P94" si="22">O88/1000</f>
        <v>2.9754538568651814E-2</v>
      </c>
      <c r="Q88" s="26">
        <v>112.61118780278949</v>
      </c>
      <c r="R88" s="25">
        <f t="shared" ref="R88:R119" si="23">Q88/1000</f>
        <v>0.11261118780278949</v>
      </c>
      <c r="S88" s="5">
        <v>0.97841259999999997</v>
      </c>
      <c r="T88" s="5">
        <v>0.47182200000000007</v>
      </c>
      <c r="U88" s="6">
        <v>8.9141999999999985E-2</v>
      </c>
      <c r="V88" s="6">
        <v>1.3125</v>
      </c>
      <c r="W88" s="6" t="s">
        <v>74</v>
      </c>
      <c r="X88" s="6" t="s">
        <v>74</v>
      </c>
      <c r="Y88" s="6" t="s">
        <v>74</v>
      </c>
      <c r="Z88" s="6" t="s">
        <v>74</v>
      </c>
      <c r="AA88" s="6" t="s">
        <v>88</v>
      </c>
      <c r="AB88" s="21" t="s">
        <v>89</v>
      </c>
      <c r="AC88" s="21">
        <v>13.662797400000009</v>
      </c>
      <c r="AD88" s="21">
        <v>5.8011465599999985</v>
      </c>
      <c r="AE88" s="21">
        <v>5.7644971200000006</v>
      </c>
      <c r="AF88" s="21">
        <v>-0.49215600000000287</v>
      </c>
      <c r="AG88" s="6">
        <v>30.751121499999996</v>
      </c>
      <c r="AH88" s="6">
        <v>6.7977710409358912E-3</v>
      </c>
      <c r="AI88" s="6">
        <v>2</v>
      </c>
      <c r="AJ88" s="6" t="s">
        <v>74</v>
      </c>
      <c r="AK88" s="6" t="s">
        <v>74</v>
      </c>
      <c r="AL88" s="6" t="s">
        <v>74</v>
      </c>
      <c r="AM88" s="21">
        <v>172.92959028000013</v>
      </c>
      <c r="AN88" s="21">
        <v>0.22</v>
      </c>
      <c r="AO88" s="21">
        <v>2.2400000000000002</v>
      </c>
      <c r="AP88" s="21">
        <v>10.181818181818183</v>
      </c>
      <c r="AQ88" s="21">
        <v>0.22500000000000001</v>
      </c>
      <c r="AR88" s="21">
        <v>2.23</v>
      </c>
      <c r="AS88" s="21">
        <v>9.9111111111111114</v>
      </c>
      <c r="AT88" s="6" t="s">
        <v>87</v>
      </c>
      <c r="AU88" s="6">
        <v>6.0731948565776346</v>
      </c>
      <c r="AV88" s="6">
        <v>6.3588338876932031</v>
      </c>
      <c r="AW88" s="6" t="s">
        <v>74</v>
      </c>
      <c r="AX88" s="6" t="s">
        <v>74</v>
      </c>
      <c r="AY88" s="6">
        <v>1.4049479142454704</v>
      </c>
      <c r="AZ88" s="6">
        <v>1.6989586305019833</v>
      </c>
      <c r="BA88" s="6" t="s">
        <v>74</v>
      </c>
      <c r="BB88" s="6" t="s">
        <v>74</v>
      </c>
      <c r="BC88" s="6" t="s">
        <v>74</v>
      </c>
      <c r="BD88" s="6" t="s">
        <v>74</v>
      </c>
      <c r="BE88" s="21">
        <v>31.837604913269171</v>
      </c>
      <c r="BF88" s="21">
        <v>185.20152047082334</v>
      </c>
      <c r="BG88" s="21">
        <v>48.081680684067734</v>
      </c>
      <c r="BH88" s="21">
        <v>197.22025363534888</v>
      </c>
      <c r="BI88" s="21">
        <v>21.091124756950144</v>
      </c>
      <c r="BJ88" s="21">
        <v>389.9581329722202</v>
      </c>
      <c r="BK88" s="21">
        <v>10.646891267013071</v>
      </c>
      <c r="BL88" s="21">
        <v>230.35565417338478</v>
      </c>
      <c r="BM88" s="6">
        <v>1.1397999999999939</v>
      </c>
      <c r="BN88" s="6">
        <v>1.2077000000000027</v>
      </c>
      <c r="BO88" s="6" t="s">
        <v>74</v>
      </c>
      <c r="BP88" s="6" t="s">
        <v>74</v>
      </c>
      <c r="BQ88" s="6">
        <v>0.63521526867976441</v>
      </c>
      <c r="BR88" s="6">
        <v>0.63932609996521073</v>
      </c>
      <c r="BS88" s="6" t="s">
        <v>74</v>
      </c>
      <c r="BT88" s="6" t="s">
        <v>74</v>
      </c>
    </row>
    <row r="89" spans="1:72" x14ac:dyDescent="0.15">
      <c r="A89" s="7" t="s">
        <v>72</v>
      </c>
      <c r="B89" s="13">
        <v>42616</v>
      </c>
      <c r="C89" s="5">
        <v>36</v>
      </c>
      <c r="D89" s="5">
        <f t="shared" si="18"/>
        <v>9</v>
      </c>
      <c r="E89" s="5">
        <f t="shared" si="19"/>
        <v>3</v>
      </c>
      <c r="F89" s="5">
        <f t="shared" si="20"/>
        <v>2016</v>
      </c>
      <c r="G89" s="5" t="s">
        <v>74</v>
      </c>
      <c r="H89" s="5" t="s">
        <v>74</v>
      </c>
      <c r="I89" s="9">
        <f t="shared" si="21"/>
        <v>7.9248000000000003</v>
      </c>
      <c r="J89" s="9" t="s">
        <v>93</v>
      </c>
      <c r="K89" s="25">
        <v>30.4</v>
      </c>
      <c r="L89" s="25">
        <v>23</v>
      </c>
      <c r="M89" s="26">
        <v>846.78367709999998</v>
      </c>
      <c r="N89" s="26">
        <v>0</v>
      </c>
      <c r="O89" s="26">
        <v>46.992882029224624</v>
      </c>
      <c r="P89" s="25">
        <f t="shared" si="22"/>
        <v>4.6992882029224622E-2</v>
      </c>
      <c r="Q89" s="26">
        <v>116.39663782400625</v>
      </c>
      <c r="R89" s="25">
        <f t="shared" si="23"/>
        <v>0.11639663782400625</v>
      </c>
      <c r="S89" s="5">
        <v>0.97841259999999997</v>
      </c>
      <c r="T89" s="5">
        <v>0.47182200000000007</v>
      </c>
      <c r="U89" s="6">
        <v>8.9141999999999985E-2</v>
      </c>
      <c r="V89" s="6">
        <v>1.3125</v>
      </c>
      <c r="W89" s="6" t="s">
        <v>74</v>
      </c>
      <c r="X89" s="6" t="s">
        <v>74</v>
      </c>
      <c r="Y89" s="6" t="s">
        <v>74</v>
      </c>
      <c r="Z89" s="6" t="s">
        <v>74</v>
      </c>
      <c r="AA89" s="6" t="s">
        <v>88</v>
      </c>
      <c r="AB89" s="21" t="s">
        <v>89</v>
      </c>
      <c r="AC89" s="21">
        <v>65.793672787148623</v>
      </c>
      <c r="AD89" s="21">
        <v>7.9714954216867451</v>
      </c>
      <c r="AE89" s="21">
        <v>10.758537831325304</v>
      </c>
      <c r="AF89" s="21">
        <v>9.2784156626506036</v>
      </c>
      <c r="AG89" s="6">
        <v>30.751121499999996</v>
      </c>
      <c r="AH89" s="6">
        <v>6.7977710409358912E-3</v>
      </c>
      <c r="AI89" s="6">
        <v>2</v>
      </c>
      <c r="AJ89" s="6" t="s">
        <v>74</v>
      </c>
      <c r="AK89" s="6" t="s">
        <v>74</v>
      </c>
      <c r="AL89" s="6" t="s">
        <v>74</v>
      </c>
      <c r="AM89" s="21">
        <v>263.65681578313257</v>
      </c>
      <c r="AN89" s="21">
        <v>0.26500000000000001</v>
      </c>
      <c r="AO89" s="21">
        <v>2.5149999999999997</v>
      </c>
      <c r="AP89" s="21">
        <v>9.4905660377358476</v>
      </c>
      <c r="AQ89" s="21" t="s">
        <v>74</v>
      </c>
      <c r="AR89" s="21" t="s">
        <v>74</v>
      </c>
      <c r="AS89" s="21" t="s">
        <v>74</v>
      </c>
      <c r="AT89" s="6" t="s">
        <v>87</v>
      </c>
      <c r="AU89" s="6">
        <v>7.0060105184072334</v>
      </c>
      <c r="AV89" s="6">
        <v>6.0231352213801364</v>
      </c>
      <c r="AW89" s="6" t="s">
        <v>74</v>
      </c>
      <c r="AX89" s="6" t="s">
        <v>74</v>
      </c>
      <c r="AY89" s="6">
        <v>1.4049479142454704</v>
      </c>
      <c r="AZ89" s="6">
        <v>1.6989586305019833</v>
      </c>
      <c r="BA89" s="6" t="s">
        <v>74</v>
      </c>
      <c r="BB89" s="6" t="s">
        <v>74</v>
      </c>
      <c r="BC89" s="6" t="s">
        <v>74</v>
      </c>
      <c r="BD89" s="6" t="s">
        <v>74</v>
      </c>
      <c r="BE89" s="21">
        <v>29.260809320779554</v>
      </c>
      <c r="BF89" s="21">
        <v>260.76588931517102</v>
      </c>
      <c r="BG89" s="21">
        <v>54.079987058871957</v>
      </c>
      <c r="BH89" s="21">
        <v>231.90244568887101</v>
      </c>
      <c r="BI89" s="21">
        <v>26.190466540270936</v>
      </c>
      <c r="BJ89" s="21">
        <v>181.57326953023806</v>
      </c>
      <c r="BK89" s="21">
        <v>18.814995256170189</v>
      </c>
      <c r="BL89" s="21">
        <v>179.6598803500172</v>
      </c>
      <c r="BM89" s="6">
        <v>1.063749999999998</v>
      </c>
      <c r="BN89" s="6">
        <v>1.3123999999999967</v>
      </c>
      <c r="BO89" s="6" t="s">
        <v>74</v>
      </c>
      <c r="BP89" s="6" t="s">
        <v>74</v>
      </c>
      <c r="BQ89" s="6">
        <v>0.70611923574530877</v>
      </c>
      <c r="BR89" s="6">
        <v>0.69863879882435687</v>
      </c>
      <c r="BS89" s="6" t="s">
        <v>74</v>
      </c>
      <c r="BT89" s="6" t="s">
        <v>74</v>
      </c>
    </row>
    <row r="90" spans="1:72" x14ac:dyDescent="0.15">
      <c r="A90" s="7" t="s">
        <v>72</v>
      </c>
      <c r="B90" s="13">
        <v>42616</v>
      </c>
      <c r="C90" s="5">
        <v>3</v>
      </c>
      <c r="D90" s="5">
        <f t="shared" si="18"/>
        <v>9</v>
      </c>
      <c r="E90" s="5">
        <f t="shared" si="19"/>
        <v>3</v>
      </c>
      <c r="F90" s="5">
        <f t="shared" si="20"/>
        <v>2016</v>
      </c>
      <c r="G90" s="5" t="s">
        <v>74</v>
      </c>
      <c r="H90" s="5" t="s">
        <v>74</v>
      </c>
      <c r="I90" s="9">
        <f t="shared" si="21"/>
        <v>7.9248000000000003</v>
      </c>
      <c r="J90" s="9" t="s">
        <v>93</v>
      </c>
      <c r="K90" s="25">
        <v>30.4</v>
      </c>
      <c r="L90" s="25">
        <v>23</v>
      </c>
      <c r="M90" s="26">
        <v>867.28101470000001</v>
      </c>
      <c r="N90" s="26">
        <v>0</v>
      </c>
      <c r="O90" s="26">
        <v>40.357746514927456</v>
      </c>
      <c r="P90" s="25">
        <f t="shared" si="22"/>
        <v>4.0357746514927455E-2</v>
      </c>
      <c r="Q90" s="26">
        <v>0</v>
      </c>
      <c r="R90" s="25">
        <f t="shared" si="23"/>
        <v>0</v>
      </c>
      <c r="S90" s="5">
        <v>0.97841259999999997</v>
      </c>
      <c r="T90" s="5">
        <v>0.47182200000000007</v>
      </c>
      <c r="U90" s="6">
        <v>8.9141999999999985E-2</v>
      </c>
      <c r="V90" s="6">
        <v>1.3125</v>
      </c>
      <c r="W90" s="6" t="s">
        <v>74</v>
      </c>
      <c r="X90" s="6" t="s">
        <v>74</v>
      </c>
      <c r="Y90" s="6" t="s">
        <v>74</v>
      </c>
      <c r="Z90" s="6" t="s">
        <v>74</v>
      </c>
      <c r="AA90" s="6" t="s">
        <v>88</v>
      </c>
      <c r="AB90" s="21" t="s">
        <v>89</v>
      </c>
      <c r="AC90" s="21">
        <v>53.679289868456365</v>
      </c>
      <c r="AD90" s="21">
        <v>11.567369234899324</v>
      </c>
      <c r="AE90" s="21">
        <v>14.259528161073822</v>
      </c>
      <c r="AF90" s="21">
        <v>6.8555838926174495</v>
      </c>
      <c r="AG90" s="6">
        <v>30.751121499999996</v>
      </c>
      <c r="AH90" s="6">
        <v>6.7977710409358912E-3</v>
      </c>
      <c r="AI90" s="6">
        <v>2</v>
      </c>
      <c r="AJ90" s="6" t="s">
        <v>74</v>
      </c>
      <c r="AK90" s="6" t="s">
        <v>74</v>
      </c>
      <c r="AL90" s="6" t="s">
        <v>74</v>
      </c>
      <c r="AM90" s="21">
        <v>271.60792751677843</v>
      </c>
      <c r="AN90" s="21">
        <v>0.25</v>
      </c>
      <c r="AO90" s="21">
        <v>2.38</v>
      </c>
      <c r="AP90" s="21">
        <v>9.52</v>
      </c>
      <c r="AQ90" s="21">
        <v>0.215</v>
      </c>
      <c r="AR90" s="21">
        <v>2.1500000000000004</v>
      </c>
      <c r="AS90" s="21">
        <v>10.000000000000002</v>
      </c>
      <c r="AT90" s="6" t="s">
        <v>87</v>
      </c>
      <c r="AU90" s="6">
        <v>5.583052860819639</v>
      </c>
      <c r="AV90" s="6">
        <v>5.5918151349444436</v>
      </c>
      <c r="AW90" s="6" t="s">
        <v>74</v>
      </c>
      <c r="AX90" s="6" t="s">
        <v>74</v>
      </c>
      <c r="AY90" s="6">
        <v>1.4049479142454704</v>
      </c>
      <c r="AZ90" s="6">
        <v>1.6989586305019833</v>
      </c>
      <c r="BA90" s="6" t="s">
        <v>74</v>
      </c>
      <c r="BB90" s="6" t="s">
        <v>74</v>
      </c>
      <c r="BC90" s="6" t="s">
        <v>74</v>
      </c>
      <c r="BD90" s="6" t="s">
        <v>74</v>
      </c>
      <c r="BE90" s="21">
        <v>40.181611567577725</v>
      </c>
      <c r="BF90" s="21">
        <v>276.38358870923139</v>
      </c>
      <c r="BG90" s="21">
        <v>38.900020439680119</v>
      </c>
      <c r="BH90" s="21">
        <v>256.62048121681158</v>
      </c>
      <c r="BI90" s="21">
        <v>33.326200336968149</v>
      </c>
      <c r="BJ90" s="21">
        <v>227.36669104411456</v>
      </c>
      <c r="BK90" s="21">
        <v>12.921899069638428</v>
      </c>
      <c r="BL90" s="21">
        <v>182.54355493037451</v>
      </c>
      <c r="BM90" s="6">
        <v>1.3022999999999954</v>
      </c>
      <c r="BN90" s="6">
        <v>1.3558888888888903</v>
      </c>
      <c r="BO90" s="6" t="s">
        <v>74</v>
      </c>
      <c r="BP90" s="6" t="s">
        <v>74</v>
      </c>
      <c r="BQ90" s="6">
        <v>0.79103960385825256</v>
      </c>
      <c r="BR90" s="6">
        <v>0.68199029243089915</v>
      </c>
      <c r="BS90" s="6" t="s">
        <v>74</v>
      </c>
      <c r="BT90" s="6" t="s">
        <v>74</v>
      </c>
    </row>
    <row r="91" spans="1:72" x14ac:dyDescent="0.15">
      <c r="A91" s="7" t="s">
        <v>72</v>
      </c>
      <c r="B91" s="13">
        <v>42616</v>
      </c>
      <c r="C91" s="5" t="s">
        <v>83</v>
      </c>
      <c r="D91" s="5">
        <f t="shared" si="18"/>
        <v>9</v>
      </c>
      <c r="E91" s="5">
        <f t="shared" si="19"/>
        <v>3</v>
      </c>
      <c r="F91" s="5">
        <f t="shared" si="20"/>
        <v>2016</v>
      </c>
      <c r="G91" s="5" t="s">
        <v>74</v>
      </c>
      <c r="H91" s="5" t="s">
        <v>74</v>
      </c>
      <c r="I91" s="9">
        <f t="shared" si="21"/>
        <v>7.9248000000000003</v>
      </c>
      <c r="J91" s="9" t="s">
        <v>93</v>
      </c>
      <c r="K91" s="25">
        <v>30.4</v>
      </c>
      <c r="L91" s="25">
        <v>23</v>
      </c>
      <c r="M91" s="26">
        <v>0</v>
      </c>
      <c r="N91" s="26">
        <v>-45.1226095491078</v>
      </c>
      <c r="O91" s="26">
        <v>0</v>
      </c>
      <c r="P91" s="25">
        <f t="shared" si="22"/>
        <v>0</v>
      </c>
      <c r="Q91" s="26">
        <v>0</v>
      </c>
      <c r="R91" s="25">
        <f t="shared" si="23"/>
        <v>0</v>
      </c>
      <c r="S91" s="5">
        <v>0.97841259999999997</v>
      </c>
      <c r="T91" s="5">
        <v>0.47182200000000007</v>
      </c>
      <c r="U91" s="6">
        <v>8.9141999999999985E-2</v>
      </c>
      <c r="V91" s="6">
        <v>1.3125</v>
      </c>
      <c r="W91" s="6" t="s">
        <v>74</v>
      </c>
      <c r="X91" s="6" t="s">
        <v>74</v>
      </c>
      <c r="Y91" s="6" t="s">
        <v>74</v>
      </c>
      <c r="Z91" s="6" t="s">
        <v>74</v>
      </c>
      <c r="AA91" s="6" t="s">
        <v>88</v>
      </c>
      <c r="AB91" s="21" t="s">
        <v>89</v>
      </c>
      <c r="AC91" s="21">
        <v>16.782021516129035</v>
      </c>
      <c r="AD91" s="21">
        <v>-0.40933258064516115</v>
      </c>
      <c r="AE91" s="21">
        <v>-0.11792580645161256</v>
      </c>
      <c r="AF91" s="21">
        <v>-0.30602419354838067</v>
      </c>
      <c r="AG91" s="6">
        <v>30.751121499999996</v>
      </c>
      <c r="AH91" s="6">
        <v>6.7977710409358912E-3</v>
      </c>
      <c r="AI91" s="6">
        <v>2</v>
      </c>
      <c r="AJ91" s="6" t="s">
        <v>74</v>
      </c>
      <c r="AK91" s="6" t="s">
        <v>74</v>
      </c>
      <c r="AL91" s="6" t="s">
        <v>74</v>
      </c>
      <c r="AM91" s="21">
        <v>1.1179570161290007</v>
      </c>
      <c r="AN91" s="21" t="s">
        <v>74</v>
      </c>
      <c r="AO91" s="21" t="s">
        <v>74</v>
      </c>
      <c r="AP91" s="21" t="s">
        <v>74</v>
      </c>
      <c r="AQ91" s="21" t="s">
        <v>74</v>
      </c>
      <c r="AR91" s="21" t="s">
        <v>74</v>
      </c>
      <c r="AS91" s="21" t="s">
        <v>74</v>
      </c>
      <c r="AT91" s="6" t="s">
        <v>74</v>
      </c>
      <c r="AU91" s="6" t="s">
        <v>74</v>
      </c>
      <c r="AV91" s="6" t="s">
        <v>74</v>
      </c>
      <c r="AW91" s="6" t="s">
        <v>74</v>
      </c>
      <c r="AX91" s="6" t="s">
        <v>74</v>
      </c>
      <c r="AY91" s="6">
        <v>1.4049479142454704</v>
      </c>
      <c r="AZ91" s="6">
        <v>1.6989586305019833</v>
      </c>
      <c r="BA91" s="6" t="s">
        <v>74</v>
      </c>
      <c r="BB91" s="6" t="s">
        <v>74</v>
      </c>
      <c r="BC91" s="6" t="s">
        <v>74</v>
      </c>
      <c r="BD91" s="6" t="s">
        <v>74</v>
      </c>
      <c r="BE91" s="21" t="s">
        <v>74</v>
      </c>
      <c r="BF91" s="21" t="s">
        <v>74</v>
      </c>
      <c r="BG91" s="21" t="s">
        <v>74</v>
      </c>
      <c r="BH91" s="21" t="s">
        <v>74</v>
      </c>
      <c r="BI91" s="21" t="s">
        <v>74</v>
      </c>
      <c r="BJ91" s="21" t="s">
        <v>74</v>
      </c>
      <c r="BK91" s="21" t="s">
        <v>74</v>
      </c>
      <c r="BL91" s="21" t="s">
        <v>74</v>
      </c>
      <c r="BM91" s="6" t="s">
        <v>74</v>
      </c>
      <c r="BN91" s="6" t="s">
        <v>74</v>
      </c>
      <c r="BO91" s="6" t="s">
        <v>74</v>
      </c>
      <c r="BP91" s="6" t="s">
        <v>74</v>
      </c>
      <c r="BQ91" s="6" t="s">
        <v>74</v>
      </c>
      <c r="BR91" s="6" t="s">
        <v>74</v>
      </c>
      <c r="BS91" s="6" t="s">
        <v>74</v>
      </c>
      <c r="BT91" s="6" t="s">
        <v>74</v>
      </c>
    </row>
    <row r="92" spans="1:72" x14ac:dyDescent="0.15">
      <c r="A92" s="7" t="s">
        <v>72</v>
      </c>
      <c r="B92" s="14">
        <v>42910</v>
      </c>
      <c r="C92" s="5">
        <v>40</v>
      </c>
      <c r="D92" s="5">
        <f t="shared" si="18"/>
        <v>6</v>
      </c>
      <c r="E92" s="5">
        <f t="shared" si="19"/>
        <v>24</v>
      </c>
      <c r="F92" s="5">
        <f t="shared" si="20"/>
        <v>2017</v>
      </c>
      <c r="G92" s="6">
        <v>41.584130000000002</v>
      </c>
      <c r="H92" s="6">
        <v>-71.364230000000006</v>
      </c>
      <c r="I92" s="6">
        <f t="shared" si="21"/>
        <v>7.9248000000000003</v>
      </c>
      <c r="J92" s="9" t="s">
        <v>93</v>
      </c>
      <c r="K92" s="25">
        <v>32</v>
      </c>
      <c r="L92" s="25">
        <v>21</v>
      </c>
      <c r="M92" s="29">
        <v>1327.3048429999999</v>
      </c>
      <c r="N92" s="29">
        <v>1192.3599999999999</v>
      </c>
      <c r="O92" s="25">
        <v>0</v>
      </c>
      <c r="P92" s="25">
        <f t="shared" si="22"/>
        <v>0</v>
      </c>
      <c r="Q92" s="25">
        <v>0</v>
      </c>
      <c r="R92" s="25">
        <f t="shared" si="23"/>
        <v>0</v>
      </c>
      <c r="S92" s="17">
        <v>1.1263238</v>
      </c>
      <c r="T92" s="6">
        <v>2.367E-2</v>
      </c>
      <c r="U92" s="6">
        <v>9.6659999999999992E-3</v>
      </c>
      <c r="V92" s="6">
        <v>8.2424999999999998E-2</v>
      </c>
      <c r="W92" s="6">
        <v>0.77703349999999993</v>
      </c>
      <c r="X92" s="6">
        <v>0.17778800000000003</v>
      </c>
      <c r="Y92" s="6">
        <v>3.0071999999999995E-2</v>
      </c>
      <c r="Z92" s="6">
        <v>0.52762500000000001</v>
      </c>
      <c r="AA92" s="6" t="s">
        <v>88</v>
      </c>
      <c r="AB92" s="21" t="s">
        <v>89</v>
      </c>
      <c r="AC92" s="21">
        <v>222.47486631372547</v>
      </c>
      <c r="AD92" s="21">
        <v>1.2120932352941167</v>
      </c>
      <c r="AE92" s="21">
        <v>-37.82285509803922</v>
      </c>
      <c r="AF92" s="21">
        <v>-2.4161838235294102</v>
      </c>
      <c r="AG92" s="6">
        <v>14.35122477</v>
      </c>
      <c r="AH92" s="6">
        <v>5.7724341530187824E-4</v>
      </c>
      <c r="AI92" s="6">
        <v>2</v>
      </c>
      <c r="AJ92" s="6">
        <v>8.856229729999999</v>
      </c>
      <c r="AK92" s="6">
        <v>7.9910201245422582E-3</v>
      </c>
      <c r="AL92" s="6">
        <v>2</v>
      </c>
      <c r="AM92" s="21">
        <v>233.30612196666667</v>
      </c>
      <c r="AN92" s="21">
        <v>0.23661870000000002</v>
      </c>
      <c r="AO92" s="21">
        <v>2.118153</v>
      </c>
      <c r="AP92" s="21">
        <v>8.9517565602380529</v>
      </c>
      <c r="AQ92" s="21">
        <v>0.23420299999999999</v>
      </c>
      <c r="AR92" s="21">
        <v>2.1099740000000002</v>
      </c>
      <c r="AS92" s="21">
        <v>9.0091672608805187</v>
      </c>
      <c r="AT92" s="6" t="s">
        <v>87</v>
      </c>
      <c r="AU92" s="6">
        <v>5.6793096528195859</v>
      </c>
      <c r="AV92" s="6">
        <v>5.8764540713999409</v>
      </c>
      <c r="AW92" s="6" t="s">
        <v>74</v>
      </c>
      <c r="AX92" s="6" t="s">
        <v>74</v>
      </c>
      <c r="AY92" s="6">
        <v>2.3234848912991479</v>
      </c>
      <c r="AZ92" s="6">
        <v>1.8657752796237643</v>
      </c>
      <c r="BA92" s="6">
        <v>3.92816378951989</v>
      </c>
      <c r="BB92" s="6">
        <v>1.6622707412515334</v>
      </c>
      <c r="BC92" s="6" t="s">
        <v>74</v>
      </c>
      <c r="BD92" s="6" t="s">
        <v>74</v>
      </c>
      <c r="BE92" s="21">
        <v>8.5924792332247524</v>
      </c>
      <c r="BF92" s="21">
        <v>55.090112211075706</v>
      </c>
      <c r="BG92" s="21" t="s">
        <v>74</v>
      </c>
      <c r="BH92" s="21" t="s">
        <v>74</v>
      </c>
      <c r="BI92" s="21" t="s">
        <v>74</v>
      </c>
      <c r="BJ92" s="21" t="s">
        <v>74</v>
      </c>
      <c r="BK92" s="21" t="s">
        <v>74</v>
      </c>
      <c r="BL92" s="21" t="s">
        <v>74</v>
      </c>
      <c r="BM92" s="6">
        <v>1.2718749999999981</v>
      </c>
      <c r="BN92" s="6">
        <v>1.0005999999999986</v>
      </c>
      <c r="BO92" s="6">
        <v>1.1083750000000017</v>
      </c>
      <c r="BP92" s="6">
        <v>1.1161249999999969</v>
      </c>
      <c r="BQ92" s="6">
        <v>0.74654737903225699</v>
      </c>
      <c r="BR92" s="6">
        <v>0.54384087029522798</v>
      </c>
      <c r="BS92" s="6">
        <v>0.53512908875270049</v>
      </c>
      <c r="BT92" s="6">
        <v>0.50179113709590983</v>
      </c>
    </row>
    <row r="93" spans="1:72" x14ac:dyDescent="0.15">
      <c r="A93" s="7" t="s">
        <v>72</v>
      </c>
      <c r="B93" s="14">
        <v>42910</v>
      </c>
      <c r="C93" s="5">
        <v>3</v>
      </c>
      <c r="D93" s="5">
        <f t="shared" si="18"/>
        <v>6</v>
      </c>
      <c r="E93" s="5">
        <f t="shared" si="19"/>
        <v>24</v>
      </c>
      <c r="F93" s="5">
        <f t="shared" si="20"/>
        <v>2017</v>
      </c>
      <c r="G93" s="6">
        <v>41.584130000000002</v>
      </c>
      <c r="H93" s="6">
        <v>-71.364230000000006</v>
      </c>
      <c r="I93" s="6">
        <f t="shared" si="21"/>
        <v>7.9248000000000003</v>
      </c>
      <c r="J93" s="9" t="s">
        <v>93</v>
      </c>
      <c r="K93" s="25">
        <v>32</v>
      </c>
      <c r="L93" s="25">
        <v>21</v>
      </c>
      <c r="M93" s="29">
        <v>1311.714234</v>
      </c>
      <c r="N93" s="29">
        <v>146.74</v>
      </c>
      <c r="O93" s="25">
        <v>0</v>
      </c>
      <c r="P93" s="25">
        <f t="shared" si="22"/>
        <v>0</v>
      </c>
      <c r="Q93" s="25">
        <v>0</v>
      </c>
      <c r="R93" s="25">
        <f t="shared" si="23"/>
        <v>0</v>
      </c>
      <c r="S93" s="17">
        <v>1.1263238</v>
      </c>
      <c r="T93" s="6">
        <v>2.367E-2</v>
      </c>
      <c r="U93" s="6">
        <v>9.6659999999999992E-3</v>
      </c>
      <c r="V93" s="6">
        <v>8.2424999999999998E-2</v>
      </c>
      <c r="W93" s="6">
        <v>0.77703349999999993</v>
      </c>
      <c r="X93" s="6">
        <v>0.17778800000000003</v>
      </c>
      <c r="Y93" s="6">
        <v>3.0071999999999995E-2</v>
      </c>
      <c r="Z93" s="6">
        <v>0.52762500000000001</v>
      </c>
      <c r="AA93" s="6" t="s">
        <v>88</v>
      </c>
      <c r="AB93" s="21" t="s">
        <v>89</v>
      </c>
      <c r="AC93" s="21">
        <v>122.75876805194811</v>
      </c>
      <c r="AD93" s="21">
        <v>4.669807792207795</v>
      </c>
      <c r="AE93" s="21">
        <v>-22.997812987013003</v>
      </c>
      <c r="AF93" s="21">
        <v>8.2748863636363694</v>
      </c>
      <c r="AG93" s="6">
        <v>14.35122477</v>
      </c>
      <c r="AH93" s="6">
        <v>5.7724341530187824E-4</v>
      </c>
      <c r="AI93" s="6">
        <v>2</v>
      </c>
      <c r="AJ93" s="6">
        <v>8.856229729999999</v>
      </c>
      <c r="AK93" s="6">
        <v>7.9910201245422582E-3</v>
      </c>
      <c r="AL93" s="6">
        <v>2</v>
      </c>
      <c r="AM93" s="21">
        <v>237.24772907961793</v>
      </c>
      <c r="AN93" s="21">
        <v>0.2333596</v>
      </c>
      <c r="AO93" s="21">
        <v>2.0989959999999996</v>
      </c>
      <c r="AP93" s="21">
        <v>8.9946845983623547</v>
      </c>
      <c r="AQ93" s="21">
        <v>0.2225945</v>
      </c>
      <c r="AR93" s="21">
        <v>2.0498329999999996</v>
      </c>
      <c r="AS93" s="21">
        <v>9.2088214219129387</v>
      </c>
      <c r="AT93" s="6" t="s">
        <v>87</v>
      </c>
      <c r="AU93" s="6">
        <v>5.7173678532901127</v>
      </c>
      <c r="AV93" s="6">
        <v>5.6190125276344833</v>
      </c>
      <c r="AW93" s="6" t="s">
        <v>74</v>
      </c>
      <c r="AX93" s="6" t="s">
        <v>74</v>
      </c>
      <c r="AY93" s="6">
        <v>2.3234848912991479</v>
      </c>
      <c r="AZ93" s="6">
        <v>1.8657752796237643</v>
      </c>
      <c r="BA93" s="6">
        <v>3.92816378951989</v>
      </c>
      <c r="BB93" s="6">
        <v>1.6622707412515334</v>
      </c>
      <c r="BC93" s="6" t="s">
        <v>74</v>
      </c>
      <c r="BD93" s="6" t="s">
        <v>74</v>
      </c>
      <c r="BE93" s="21">
        <v>8.9825428933588594</v>
      </c>
      <c r="BF93" s="21">
        <v>69.659062923996302</v>
      </c>
      <c r="BG93" s="21" t="s">
        <v>74</v>
      </c>
      <c r="BH93" s="21" t="s">
        <v>74</v>
      </c>
      <c r="BI93" s="21" t="s">
        <v>74</v>
      </c>
      <c r="BJ93" s="21" t="s">
        <v>74</v>
      </c>
      <c r="BK93" s="21" t="s">
        <v>74</v>
      </c>
      <c r="BL93" s="21" t="s">
        <v>74</v>
      </c>
      <c r="BM93" s="6">
        <v>0.94612500000000233</v>
      </c>
      <c r="BN93" s="6">
        <v>1.0347500000000001</v>
      </c>
      <c r="BO93" s="6">
        <v>1.2480000000000004</v>
      </c>
      <c r="BP93" s="6">
        <v>1.0558333333333327</v>
      </c>
      <c r="BQ93" s="6">
        <v>0.55567454415692197</v>
      </c>
      <c r="BR93" s="6">
        <v>0.53055680884228429</v>
      </c>
      <c r="BS93" s="6">
        <v>0.60867752777718331</v>
      </c>
      <c r="BT93" s="6">
        <v>0.52019978218780216</v>
      </c>
    </row>
    <row r="94" spans="1:72" x14ac:dyDescent="0.15">
      <c r="A94" s="7" t="s">
        <v>72</v>
      </c>
      <c r="B94" s="14">
        <v>42910</v>
      </c>
      <c r="C94" s="5">
        <v>33</v>
      </c>
      <c r="D94" s="5">
        <f t="shared" si="18"/>
        <v>6</v>
      </c>
      <c r="E94" s="5">
        <f t="shared" si="19"/>
        <v>24</v>
      </c>
      <c r="F94" s="5">
        <f t="shared" si="20"/>
        <v>2017</v>
      </c>
      <c r="G94" s="6">
        <v>41.584130000000002</v>
      </c>
      <c r="H94" s="6">
        <v>-71.364230000000006</v>
      </c>
      <c r="I94" s="6">
        <f t="shared" si="21"/>
        <v>7.9248000000000003</v>
      </c>
      <c r="J94" s="9" t="s">
        <v>93</v>
      </c>
      <c r="K94" s="25">
        <v>32</v>
      </c>
      <c r="L94" s="25">
        <v>21</v>
      </c>
      <c r="M94" s="29">
        <v>973.05939820000003</v>
      </c>
      <c r="N94" s="29">
        <v>550.33000000000004</v>
      </c>
      <c r="O94" s="25">
        <v>0</v>
      </c>
      <c r="P94" s="25">
        <f t="shared" si="22"/>
        <v>0</v>
      </c>
      <c r="Q94" s="25">
        <v>0</v>
      </c>
      <c r="R94" s="25">
        <f t="shared" si="23"/>
        <v>0</v>
      </c>
      <c r="S94" s="17">
        <v>1.1263238</v>
      </c>
      <c r="T94" s="6">
        <v>2.367E-2</v>
      </c>
      <c r="U94" s="6">
        <v>9.6659999999999992E-3</v>
      </c>
      <c r="V94" s="6">
        <v>8.2424999999999998E-2</v>
      </c>
      <c r="W94" s="6">
        <v>0.77703349999999993</v>
      </c>
      <c r="X94" s="6">
        <v>0.17778800000000003</v>
      </c>
      <c r="Y94" s="6">
        <v>3.0071999999999995E-2</v>
      </c>
      <c r="Z94" s="6">
        <v>0.52762500000000001</v>
      </c>
      <c r="AA94" s="6" t="s">
        <v>88</v>
      </c>
      <c r="AB94" s="21" t="s">
        <v>89</v>
      </c>
      <c r="AC94" s="21">
        <v>-23.39347960128616</v>
      </c>
      <c r="AD94" s="21">
        <v>2.7869781993569127</v>
      </c>
      <c r="AE94" s="21">
        <v>-5.2555010932475881</v>
      </c>
      <c r="AF94" s="21">
        <v>0.35217202572347495</v>
      </c>
      <c r="AG94" s="6">
        <v>14.35122477</v>
      </c>
      <c r="AH94" s="6">
        <v>5.7724341530187824E-4</v>
      </c>
      <c r="AI94" s="6">
        <v>2</v>
      </c>
      <c r="AJ94" s="6">
        <v>8.856229729999999</v>
      </c>
      <c r="AK94" s="6">
        <v>7.9910201245422582E-3</v>
      </c>
      <c r="AL94" s="6">
        <v>2</v>
      </c>
      <c r="AM94" s="21">
        <v>197.95596309260443</v>
      </c>
      <c r="AN94" s="21">
        <v>0.2373306</v>
      </c>
      <c r="AO94" s="21">
        <v>2.1487790000000002</v>
      </c>
      <c r="AP94" s="21">
        <v>9.0539483741245341</v>
      </c>
      <c r="AQ94" s="21">
        <v>0.23166320000000001</v>
      </c>
      <c r="AR94" s="21">
        <v>2.1287494999999996</v>
      </c>
      <c r="AS94" s="21">
        <v>9.1889842668149253</v>
      </c>
      <c r="AT94" s="6" t="s">
        <v>87</v>
      </c>
      <c r="AU94" s="6">
        <v>5.9619604974396427</v>
      </c>
      <c r="AV94" s="6">
        <v>5.615550755939533</v>
      </c>
      <c r="AW94" s="6" t="s">
        <v>74</v>
      </c>
      <c r="AX94" s="6" t="s">
        <v>74</v>
      </c>
      <c r="AY94" s="6">
        <v>2.3234848912991479</v>
      </c>
      <c r="AZ94" s="6">
        <v>1.8657752796237643</v>
      </c>
      <c r="BA94" s="6">
        <v>3.92816378951989</v>
      </c>
      <c r="BB94" s="6">
        <v>1.6622707412515334</v>
      </c>
      <c r="BC94" s="6" t="s">
        <v>74</v>
      </c>
      <c r="BD94" s="6" t="s">
        <v>74</v>
      </c>
      <c r="BE94" s="21">
        <v>10.722644436566426</v>
      </c>
      <c r="BF94" s="21">
        <v>70.463574660641342</v>
      </c>
      <c r="BG94" s="21" t="s">
        <v>74</v>
      </c>
      <c r="BH94" s="21" t="s">
        <v>74</v>
      </c>
      <c r="BI94" s="21" t="s">
        <v>74</v>
      </c>
      <c r="BJ94" s="21" t="s">
        <v>74</v>
      </c>
      <c r="BK94" s="21" t="s">
        <v>74</v>
      </c>
      <c r="BL94" s="21" t="s">
        <v>74</v>
      </c>
      <c r="BM94" s="6">
        <v>0.87637500000000057</v>
      </c>
      <c r="BN94" s="6">
        <v>1.1402000000000001</v>
      </c>
      <c r="BO94" s="6">
        <v>1.1028749999999967</v>
      </c>
      <c r="BP94" s="6">
        <v>1.1027999999999984</v>
      </c>
      <c r="BQ94" s="6">
        <v>0.47140648847403055</v>
      </c>
      <c r="BR94" s="6">
        <v>0.58455543874488947</v>
      </c>
      <c r="BS94" s="6">
        <v>0.5270080197388054</v>
      </c>
      <c r="BT94" s="6">
        <v>0.5198830210937273</v>
      </c>
    </row>
    <row r="95" spans="1:72" x14ac:dyDescent="0.15">
      <c r="A95" s="7" t="s">
        <v>72</v>
      </c>
      <c r="B95" s="14">
        <v>42910</v>
      </c>
      <c r="C95" s="5" t="s">
        <v>95</v>
      </c>
      <c r="D95" s="5">
        <f t="shared" si="18"/>
        <v>6</v>
      </c>
      <c r="E95" s="5">
        <f t="shared" si="19"/>
        <v>24</v>
      </c>
      <c r="F95" s="5">
        <f t="shared" si="20"/>
        <v>2017</v>
      </c>
      <c r="G95" s="6">
        <v>41.584130000000002</v>
      </c>
      <c r="H95" s="6">
        <v>-71.364230000000006</v>
      </c>
      <c r="I95" s="6">
        <f t="shared" si="21"/>
        <v>7.9248000000000003</v>
      </c>
      <c r="J95" s="9" t="s">
        <v>93</v>
      </c>
      <c r="K95" s="25">
        <v>32</v>
      </c>
      <c r="L95" s="25">
        <v>21</v>
      </c>
      <c r="M95" s="29">
        <v>-248.40600000000001</v>
      </c>
      <c r="N95" s="29">
        <v>546.85062942101024</v>
      </c>
      <c r="O95" s="25">
        <v>0</v>
      </c>
      <c r="P95" s="25">
        <v>0</v>
      </c>
      <c r="Q95" s="25">
        <v>0</v>
      </c>
      <c r="R95" s="25">
        <f t="shared" si="23"/>
        <v>0</v>
      </c>
      <c r="S95" s="17">
        <v>1.1263238</v>
      </c>
      <c r="T95" s="6">
        <v>2.367E-2</v>
      </c>
      <c r="U95" s="6">
        <v>9.6659999999999992E-3</v>
      </c>
      <c r="V95" s="6">
        <v>8.2424999999999998E-2</v>
      </c>
      <c r="W95" s="6">
        <v>0.77703349999999993</v>
      </c>
      <c r="X95" s="6">
        <v>0.17778800000000003</v>
      </c>
      <c r="Y95" s="6">
        <v>3.0071999999999995E-2</v>
      </c>
      <c r="Z95" s="6">
        <v>0.52762500000000001</v>
      </c>
      <c r="AA95" s="6" t="s">
        <v>88</v>
      </c>
      <c r="AB95" s="21" t="s">
        <v>89</v>
      </c>
      <c r="AC95" s="21">
        <v>-2.8851909230769262</v>
      </c>
      <c r="AD95" s="21">
        <v>-1.5789865384615385</v>
      </c>
      <c r="AE95" s="21">
        <v>-99.997455384615435</v>
      </c>
      <c r="AF95" s="21">
        <v>-5.4450576923077003</v>
      </c>
      <c r="AG95" s="6">
        <v>14.35122477</v>
      </c>
      <c r="AH95" s="6">
        <v>5.7724341530187824E-4</v>
      </c>
      <c r="AI95" s="6">
        <v>2</v>
      </c>
      <c r="AJ95" s="6">
        <v>8.856229729999999</v>
      </c>
      <c r="AK95" s="6">
        <v>7.9910201245422582E-3</v>
      </c>
      <c r="AL95" s="6">
        <v>2</v>
      </c>
      <c r="AM95" s="21">
        <v>29.66139907499992</v>
      </c>
      <c r="AN95" s="21" t="s">
        <v>74</v>
      </c>
      <c r="AO95" s="21" t="s">
        <v>74</v>
      </c>
      <c r="AP95" s="21" t="s">
        <v>74</v>
      </c>
      <c r="AQ95" s="21" t="s">
        <v>74</v>
      </c>
      <c r="AR95" s="21" t="s">
        <v>74</v>
      </c>
      <c r="AS95" s="21" t="s">
        <v>74</v>
      </c>
      <c r="AT95" s="6" t="s">
        <v>74</v>
      </c>
      <c r="AU95" s="6" t="s">
        <v>74</v>
      </c>
      <c r="AV95" s="6" t="s">
        <v>74</v>
      </c>
      <c r="AW95" s="6" t="s">
        <v>74</v>
      </c>
      <c r="AX95" s="6" t="s">
        <v>74</v>
      </c>
      <c r="AY95" s="6">
        <v>2.3234848912991479</v>
      </c>
      <c r="AZ95" s="6">
        <v>1.8657752796237643</v>
      </c>
      <c r="BA95" s="6">
        <v>3.92816378951989</v>
      </c>
      <c r="BB95" s="6">
        <v>1.6622707412515334</v>
      </c>
      <c r="BC95" s="6" t="s">
        <v>74</v>
      </c>
      <c r="BD95" s="6" t="s">
        <v>74</v>
      </c>
      <c r="BE95" s="21" t="s">
        <v>74</v>
      </c>
      <c r="BF95" s="21" t="s">
        <v>74</v>
      </c>
      <c r="BG95" s="21" t="s">
        <v>74</v>
      </c>
      <c r="BH95" s="21" t="s">
        <v>74</v>
      </c>
      <c r="BI95" s="21" t="s">
        <v>74</v>
      </c>
      <c r="BJ95" s="21" t="s">
        <v>74</v>
      </c>
      <c r="BK95" s="21" t="s">
        <v>74</v>
      </c>
      <c r="BL95" s="21" t="s">
        <v>74</v>
      </c>
      <c r="BM95" s="6" t="s">
        <v>74</v>
      </c>
      <c r="BN95" s="6" t="s">
        <v>74</v>
      </c>
      <c r="BO95" s="6" t="s">
        <v>74</v>
      </c>
      <c r="BP95" s="6" t="s">
        <v>74</v>
      </c>
      <c r="BQ95" s="6" t="s">
        <v>74</v>
      </c>
      <c r="BR95" s="6" t="s">
        <v>74</v>
      </c>
      <c r="BS95" s="6" t="s">
        <v>74</v>
      </c>
      <c r="BT95" s="6" t="s">
        <v>74</v>
      </c>
    </row>
    <row r="96" spans="1:72" x14ac:dyDescent="0.15">
      <c r="A96" s="7" t="s">
        <v>79</v>
      </c>
      <c r="B96" s="14">
        <v>42910</v>
      </c>
      <c r="C96" s="5">
        <v>21</v>
      </c>
      <c r="D96" s="5">
        <f t="shared" si="18"/>
        <v>6</v>
      </c>
      <c r="E96" s="5">
        <f t="shared" si="19"/>
        <v>24</v>
      </c>
      <c r="F96" s="5">
        <f t="shared" si="20"/>
        <v>2017</v>
      </c>
      <c r="G96" s="5">
        <v>41.779310000000002</v>
      </c>
      <c r="H96" s="5">
        <v>-71.379559999999998</v>
      </c>
      <c r="I96" s="5">
        <f>7.5*0.3048</f>
        <v>2.286</v>
      </c>
      <c r="J96" s="9" t="s">
        <v>93</v>
      </c>
      <c r="K96" s="25">
        <v>23.5</v>
      </c>
      <c r="L96" s="25">
        <v>21</v>
      </c>
      <c r="M96" s="29">
        <v>904.89002789999995</v>
      </c>
      <c r="N96" s="29">
        <v>239.04</v>
      </c>
      <c r="O96" s="25">
        <v>0</v>
      </c>
      <c r="P96" s="25">
        <f t="shared" ref="P96:P127" si="24">O96/1000</f>
        <v>0</v>
      </c>
      <c r="Q96" s="26">
        <v>1053.996973695972</v>
      </c>
      <c r="R96" s="25">
        <f t="shared" si="23"/>
        <v>1.053996973695972</v>
      </c>
      <c r="S96" s="5">
        <v>4.3785897</v>
      </c>
      <c r="T96" s="6">
        <v>0.11195280000000002</v>
      </c>
      <c r="U96" s="6">
        <v>2.4064000000000002E-2</v>
      </c>
      <c r="V96" s="6">
        <v>1.0015999999999999E-2</v>
      </c>
      <c r="W96" s="6">
        <v>6.6334322999999999</v>
      </c>
      <c r="X96" s="6">
        <v>0.11195280000000002</v>
      </c>
      <c r="Y96" s="6">
        <v>2.7136E-2</v>
      </c>
      <c r="Z96" s="6">
        <v>2.2536E-2</v>
      </c>
      <c r="AA96" s="6" t="s">
        <v>88</v>
      </c>
      <c r="AB96" s="21" t="s">
        <v>89</v>
      </c>
      <c r="AC96" s="21">
        <v>11.781857208588949</v>
      </c>
      <c r="AD96" s="21">
        <v>0.7398654294478505</v>
      </c>
      <c r="AE96" s="21">
        <v>-16.411704680981593</v>
      </c>
      <c r="AF96" s="21">
        <v>-3.6420578834355823</v>
      </c>
      <c r="AG96" s="6" t="s">
        <v>74</v>
      </c>
      <c r="AH96" s="6" t="s">
        <v>74</v>
      </c>
      <c r="AI96" s="6" t="s">
        <v>74</v>
      </c>
      <c r="AJ96" s="6" t="s">
        <v>74</v>
      </c>
      <c r="AK96" s="6" t="s">
        <v>74</v>
      </c>
      <c r="AL96" s="6" t="s">
        <v>74</v>
      </c>
      <c r="AM96" s="21">
        <v>247.9879398105833</v>
      </c>
      <c r="AN96" s="21">
        <v>0.2951877</v>
      </c>
      <c r="AO96" s="21">
        <v>3.3795355000000002</v>
      </c>
      <c r="AP96" s="21">
        <v>11.448768021160774</v>
      </c>
      <c r="AQ96" s="21">
        <v>0.28424020000000005</v>
      </c>
      <c r="AR96" s="21">
        <v>3.2677779999999998</v>
      </c>
      <c r="AS96" s="21">
        <v>11.496537083776325</v>
      </c>
      <c r="AT96" s="6" t="s">
        <v>87</v>
      </c>
      <c r="AU96" s="6">
        <v>8.0097087378640488</v>
      </c>
      <c r="AV96" s="6">
        <v>6.8056648308418497</v>
      </c>
      <c r="AW96" s="6" t="s">
        <v>74</v>
      </c>
      <c r="AX96" s="6" t="s">
        <v>74</v>
      </c>
      <c r="AY96" s="6">
        <v>8.2201448737337728</v>
      </c>
      <c r="AZ96" s="6">
        <v>11.020566953409322</v>
      </c>
      <c r="BA96" s="6">
        <v>2.7204632734573706</v>
      </c>
      <c r="BB96" s="6">
        <v>1.3417876705464251</v>
      </c>
      <c r="BC96" s="6" t="s">
        <v>74</v>
      </c>
      <c r="BD96" s="6" t="s">
        <v>74</v>
      </c>
      <c r="BE96" s="21">
        <v>18.962363989497067</v>
      </c>
      <c r="BF96" s="21">
        <v>71.35153225580639</v>
      </c>
      <c r="BG96" s="21" t="s">
        <v>74</v>
      </c>
      <c r="BH96" s="21" t="s">
        <v>74</v>
      </c>
      <c r="BI96" s="21" t="s">
        <v>74</v>
      </c>
      <c r="BJ96" s="21" t="s">
        <v>74</v>
      </c>
      <c r="BK96" s="21" t="s">
        <v>74</v>
      </c>
      <c r="BL96" s="21" t="s">
        <v>74</v>
      </c>
      <c r="BM96" s="6">
        <v>1.026600000000002</v>
      </c>
      <c r="BN96" s="6">
        <v>1.3046250000000017</v>
      </c>
      <c r="BO96" s="6">
        <v>1.1960999999999977</v>
      </c>
      <c r="BP96" s="6">
        <v>1.2183749999999984</v>
      </c>
      <c r="BQ96" s="6">
        <v>0.62203029659812492</v>
      </c>
      <c r="BR96" s="6">
        <v>0.70596156802459742</v>
      </c>
      <c r="BS96" s="6">
        <v>0.57082475225380125</v>
      </c>
      <c r="BT96" s="6">
        <v>0.49849863725622895</v>
      </c>
    </row>
    <row r="97" spans="1:72" x14ac:dyDescent="0.15">
      <c r="A97" s="7" t="s">
        <v>79</v>
      </c>
      <c r="B97" s="14">
        <v>42910</v>
      </c>
      <c r="C97" s="5">
        <v>30</v>
      </c>
      <c r="D97" s="5">
        <f t="shared" si="18"/>
        <v>6</v>
      </c>
      <c r="E97" s="5">
        <f t="shared" si="19"/>
        <v>24</v>
      </c>
      <c r="F97" s="5">
        <f t="shared" si="20"/>
        <v>2017</v>
      </c>
      <c r="G97" s="5">
        <v>41.779310000000002</v>
      </c>
      <c r="H97" s="5">
        <v>-71.379559999999998</v>
      </c>
      <c r="I97" s="5">
        <f>7.5*0.3048</f>
        <v>2.286</v>
      </c>
      <c r="J97" s="9" t="s">
        <v>93</v>
      </c>
      <c r="K97" s="25">
        <v>23.5</v>
      </c>
      <c r="L97" s="25">
        <v>21</v>
      </c>
      <c r="M97" s="29">
        <v>1373.09734</v>
      </c>
      <c r="N97" s="29">
        <v>572.86</v>
      </c>
      <c r="O97" s="25">
        <v>0</v>
      </c>
      <c r="P97" s="25">
        <f t="shared" si="24"/>
        <v>0</v>
      </c>
      <c r="Q97" s="26">
        <v>0</v>
      </c>
      <c r="R97" s="25">
        <f t="shared" si="23"/>
        <v>0</v>
      </c>
      <c r="S97" s="5">
        <v>4.3785897</v>
      </c>
      <c r="T97" s="6">
        <v>0.11195280000000002</v>
      </c>
      <c r="U97" s="6">
        <v>2.4064000000000002E-2</v>
      </c>
      <c r="V97" s="6">
        <v>1.0015999999999999E-2</v>
      </c>
      <c r="W97" s="6">
        <v>6.6334322999999999</v>
      </c>
      <c r="X97" s="6">
        <v>0.11195280000000002</v>
      </c>
      <c r="Y97" s="6">
        <v>2.7136E-2</v>
      </c>
      <c r="Z97" s="6">
        <v>2.2536E-2</v>
      </c>
      <c r="AA97" s="6" t="s">
        <v>88</v>
      </c>
      <c r="AB97" s="21" t="s">
        <v>89</v>
      </c>
      <c r="AC97" s="21">
        <v>-142.45703907975459</v>
      </c>
      <c r="AD97" s="21">
        <v>0.96818728527607201</v>
      </c>
      <c r="AE97" s="21">
        <v>7.7879557822085852</v>
      </c>
      <c r="AF97" s="21">
        <v>-1.7759216871165744</v>
      </c>
      <c r="AG97" s="6" t="s">
        <v>74</v>
      </c>
      <c r="AH97" s="6" t="s">
        <v>74</v>
      </c>
      <c r="AI97" s="6" t="s">
        <v>74</v>
      </c>
      <c r="AJ97" s="6" t="s">
        <v>74</v>
      </c>
      <c r="AK97" s="6" t="s">
        <v>74</v>
      </c>
      <c r="AL97" s="6" t="s">
        <v>74</v>
      </c>
      <c r="AM97" s="21">
        <v>-20.919157550613424</v>
      </c>
      <c r="AN97" s="21">
        <v>0.28691544999999996</v>
      </c>
      <c r="AO97" s="21">
        <v>3.2558335</v>
      </c>
      <c r="AP97" s="21">
        <v>11.347710623460676</v>
      </c>
      <c r="AQ97" s="21">
        <v>0.23302285</v>
      </c>
      <c r="AR97" s="21">
        <v>3.3442904999999996</v>
      </c>
      <c r="AS97" s="21">
        <v>14.351770652534718</v>
      </c>
      <c r="AT97" s="6" t="s">
        <v>87</v>
      </c>
      <c r="AU97" s="6">
        <v>7.204668947474353</v>
      </c>
      <c r="AV97" s="6">
        <v>6.3681592039801034</v>
      </c>
      <c r="AW97" s="6" t="s">
        <v>74</v>
      </c>
      <c r="AX97" s="6" t="s">
        <v>74</v>
      </c>
      <c r="AY97" s="6">
        <v>8.2201448737337728</v>
      </c>
      <c r="AZ97" s="6">
        <v>11.020566953409322</v>
      </c>
      <c r="BA97" s="6">
        <v>2.7204632734573706</v>
      </c>
      <c r="BB97" s="6">
        <v>1.3417876705464251</v>
      </c>
      <c r="BC97" s="6" t="s">
        <v>74</v>
      </c>
      <c r="BD97" s="6" t="s">
        <v>74</v>
      </c>
      <c r="BE97" s="21" t="s">
        <v>74</v>
      </c>
      <c r="BF97" s="21" t="s">
        <v>74</v>
      </c>
      <c r="BG97" s="21" t="s">
        <v>74</v>
      </c>
      <c r="BH97" s="21" t="s">
        <v>74</v>
      </c>
      <c r="BI97" s="21" t="s">
        <v>74</v>
      </c>
      <c r="BJ97" s="21" t="s">
        <v>74</v>
      </c>
      <c r="BK97" s="21" t="s">
        <v>74</v>
      </c>
      <c r="BL97" s="21" t="s">
        <v>74</v>
      </c>
      <c r="BM97" s="6" t="s">
        <v>74</v>
      </c>
      <c r="BN97" s="6" t="s">
        <v>74</v>
      </c>
      <c r="BO97" s="6" t="s">
        <v>74</v>
      </c>
      <c r="BP97" s="6" t="s">
        <v>74</v>
      </c>
      <c r="BQ97" s="6" t="s">
        <v>74</v>
      </c>
      <c r="BR97" s="6" t="s">
        <v>74</v>
      </c>
      <c r="BS97" s="6" t="s">
        <v>74</v>
      </c>
      <c r="BT97" s="6" t="s">
        <v>74</v>
      </c>
    </row>
    <row r="98" spans="1:72" x14ac:dyDescent="0.15">
      <c r="A98" s="7" t="s">
        <v>79</v>
      </c>
      <c r="B98" s="14">
        <v>42910</v>
      </c>
      <c r="C98" s="5">
        <v>35</v>
      </c>
      <c r="D98" s="5">
        <f t="shared" si="18"/>
        <v>6</v>
      </c>
      <c r="E98" s="5">
        <f t="shared" si="19"/>
        <v>24</v>
      </c>
      <c r="F98" s="5">
        <f t="shared" si="20"/>
        <v>2017</v>
      </c>
      <c r="G98" s="5">
        <v>41.779310000000002</v>
      </c>
      <c r="H98" s="5">
        <v>-71.379559999999998</v>
      </c>
      <c r="I98" s="5">
        <f>7.5*0.3048</f>
        <v>2.286</v>
      </c>
      <c r="J98" s="9" t="s">
        <v>93</v>
      </c>
      <c r="K98" s="25">
        <v>23.5</v>
      </c>
      <c r="L98" s="25">
        <v>21</v>
      </c>
      <c r="M98" s="29">
        <v>2554.7812250000002</v>
      </c>
      <c r="N98" s="29">
        <v>51.83</v>
      </c>
      <c r="O98" s="25">
        <v>0</v>
      </c>
      <c r="P98" s="25">
        <f t="shared" si="24"/>
        <v>0</v>
      </c>
      <c r="Q98" s="26">
        <v>0</v>
      </c>
      <c r="R98" s="25">
        <f t="shared" si="23"/>
        <v>0</v>
      </c>
      <c r="S98" s="5">
        <v>4.3785897</v>
      </c>
      <c r="T98" s="6">
        <v>0.11195280000000002</v>
      </c>
      <c r="U98" s="6">
        <v>2.4064000000000002E-2</v>
      </c>
      <c r="V98" s="6">
        <v>1.0015999999999999E-2</v>
      </c>
      <c r="W98" s="6">
        <v>6.6334322999999999</v>
      </c>
      <c r="X98" s="6">
        <v>0.11195280000000002</v>
      </c>
      <c r="Y98" s="6">
        <v>2.7136E-2</v>
      </c>
      <c r="Z98" s="6">
        <v>2.2536E-2</v>
      </c>
      <c r="AA98" s="6" t="s">
        <v>88</v>
      </c>
      <c r="AB98" s="21" t="s">
        <v>89</v>
      </c>
      <c r="AC98" s="21">
        <v>231.17595574074096</v>
      </c>
      <c r="AD98" s="21">
        <v>-2.2856600000000022</v>
      </c>
      <c r="AE98" s="21">
        <v>-28.197620888888903</v>
      </c>
      <c r="AF98" s="21">
        <v>14.700726296296308</v>
      </c>
      <c r="AG98" s="6" t="s">
        <v>74</v>
      </c>
      <c r="AH98" s="6" t="s">
        <v>74</v>
      </c>
      <c r="AI98" s="6" t="s">
        <v>74</v>
      </c>
      <c r="AJ98" s="6" t="s">
        <v>74</v>
      </c>
      <c r="AK98" s="6" t="s">
        <v>74</v>
      </c>
      <c r="AL98" s="6" t="s">
        <v>74</v>
      </c>
      <c r="AM98" s="21">
        <v>413.07979612500009</v>
      </c>
      <c r="AN98" s="21">
        <v>0.28574454999999999</v>
      </c>
      <c r="AO98" s="21">
        <v>3.5077039999999999</v>
      </c>
      <c r="AP98" s="21">
        <v>12.275663700322543</v>
      </c>
      <c r="AQ98" s="21">
        <v>0.28660850000000004</v>
      </c>
      <c r="AR98" s="21">
        <v>3.3952654999999998</v>
      </c>
      <c r="AS98" s="21">
        <v>11.846353126302951</v>
      </c>
      <c r="AT98" s="6" t="s">
        <v>87</v>
      </c>
      <c r="AU98" s="6">
        <v>8.1986834230999222</v>
      </c>
      <c r="AV98" s="6">
        <v>7.2038102798174242</v>
      </c>
      <c r="AW98" s="6" t="s">
        <v>74</v>
      </c>
      <c r="AX98" s="6" t="s">
        <v>74</v>
      </c>
      <c r="AY98" s="6">
        <v>8.2201448737337728</v>
      </c>
      <c r="AZ98" s="6">
        <v>11.020566953409322</v>
      </c>
      <c r="BA98" s="6">
        <v>2.7204632734573706</v>
      </c>
      <c r="BB98" s="6">
        <v>1.3417876705464251</v>
      </c>
      <c r="BC98" s="6" t="s">
        <v>74</v>
      </c>
      <c r="BD98" s="6" t="s">
        <v>74</v>
      </c>
      <c r="BE98" s="21">
        <v>14.829115208205138</v>
      </c>
      <c r="BF98" s="21">
        <v>50.607595412194918</v>
      </c>
      <c r="BG98" s="21" t="s">
        <v>74</v>
      </c>
      <c r="BH98" s="21" t="s">
        <v>74</v>
      </c>
      <c r="BI98" s="21" t="s">
        <v>74</v>
      </c>
      <c r="BJ98" s="21" t="s">
        <v>74</v>
      </c>
      <c r="BK98" s="21" t="s">
        <v>74</v>
      </c>
      <c r="BL98" s="21" t="s">
        <v>74</v>
      </c>
      <c r="BM98" s="6" t="s">
        <v>74</v>
      </c>
      <c r="BN98" s="6" t="s">
        <v>74</v>
      </c>
      <c r="BO98" s="6" t="s">
        <v>74</v>
      </c>
      <c r="BP98" s="6" t="s">
        <v>74</v>
      </c>
      <c r="BQ98" s="6" t="s">
        <v>74</v>
      </c>
      <c r="BR98" s="6" t="s">
        <v>74</v>
      </c>
      <c r="BS98" s="6" t="s">
        <v>74</v>
      </c>
      <c r="BT98" s="6" t="s">
        <v>74</v>
      </c>
    </row>
    <row r="99" spans="1:72" x14ac:dyDescent="0.15">
      <c r="A99" s="7" t="s">
        <v>79</v>
      </c>
      <c r="B99" s="14">
        <v>42910</v>
      </c>
      <c r="C99" s="5" t="s">
        <v>96</v>
      </c>
      <c r="D99" s="5">
        <f t="shared" si="18"/>
        <v>6</v>
      </c>
      <c r="E99" s="5">
        <f t="shared" si="19"/>
        <v>24</v>
      </c>
      <c r="F99" s="5">
        <f t="shared" si="20"/>
        <v>2017</v>
      </c>
      <c r="G99" s="5">
        <v>41.779310000000002</v>
      </c>
      <c r="H99" s="5">
        <v>-71.379559999999998</v>
      </c>
      <c r="I99" s="5">
        <f>7.5*0.3048</f>
        <v>2.286</v>
      </c>
      <c r="J99" s="9" t="s">
        <v>93</v>
      </c>
      <c r="K99" s="25">
        <v>23.5</v>
      </c>
      <c r="L99" s="25">
        <v>21</v>
      </c>
      <c r="M99" s="29">
        <v>0</v>
      </c>
      <c r="N99" s="29">
        <v>-180.42291409528301</v>
      </c>
      <c r="O99" s="25">
        <v>0</v>
      </c>
      <c r="P99" s="25">
        <f t="shared" si="24"/>
        <v>0</v>
      </c>
      <c r="Q99" s="26">
        <v>-895.71205230698934</v>
      </c>
      <c r="R99" s="25">
        <f t="shared" si="23"/>
        <v>-0.89571205230698936</v>
      </c>
      <c r="S99" s="5">
        <v>4.3785897</v>
      </c>
      <c r="T99" s="6">
        <v>0.11195280000000002</v>
      </c>
      <c r="U99" s="6">
        <v>2.4064000000000002E-2</v>
      </c>
      <c r="V99" s="6">
        <v>1.0015999999999999E-2</v>
      </c>
      <c r="W99" s="6">
        <v>6.6334322999999999</v>
      </c>
      <c r="X99" s="6">
        <v>0.11195280000000002</v>
      </c>
      <c r="Y99" s="6">
        <v>2.7136E-2</v>
      </c>
      <c r="Z99" s="6">
        <v>2.2536E-2</v>
      </c>
      <c r="AA99" s="6" t="s">
        <v>88</v>
      </c>
      <c r="AB99" s="21" t="s">
        <v>89</v>
      </c>
      <c r="AC99" s="21">
        <v>-95.555072321981498</v>
      </c>
      <c r="AD99" s="21">
        <v>-0.57584730650154914</v>
      </c>
      <c r="AE99" s="21">
        <v>7.3793042972136345</v>
      </c>
      <c r="AF99" s="21">
        <v>-8.0980108978328058</v>
      </c>
      <c r="AG99" s="6" t="s">
        <v>74</v>
      </c>
      <c r="AH99" s="6" t="s">
        <v>74</v>
      </c>
      <c r="AI99" s="6" t="s">
        <v>74</v>
      </c>
      <c r="AJ99" s="6" t="s">
        <v>74</v>
      </c>
      <c r="AK99" s="6" t="s">
        <v>74</v>
      </c>
      <c r="AL99" s="6" t="s">
        <v>74</v>
      </c>
      <c r="AM99" s="21">
        <v>65.063492442724637</v>
      </c>
      <c r="AN99" s="21" t="s">
        <v>74</v>
      </c>
      <c r="AO99" s="21" t="s">
        <v>74</v>
      </c>
      <c r="AP99" s="21" t="s">
        <v>74</v>
      </c>
      <c r="AQ99" s="21" t="s">
        <v>74</v>
      </c>
      <c r="AR99" s="21" t="s">
        <v>74</v>
      </c>
      <c r="AS99" s="21" t="s">
        <v>74</v>
      </c>
      <c r="AT99" s="6" t="s">
        <v>74</v>
      </c>
      <c r="AU99" s="6" t="s">
        <v>74</v>
      </c>
      <c r="AV99" s="6" t="s">
        <v>74</v>
      </c>
      <c r="AW99" s="6" t="s">
        <v>74</v>
      </c>
      <c r="AX99" s="6" t="s">
        <v>74</v>
      </c>
      <c r="AY99" s="6">
        <v>8.2201448737337728</v>
      </c>
      <c r="AZ99" s="6">
        <v>11.020566953409322</v>
      </c>
      <c r="BA99" s="6">
        <v>2.7204632734573706</v>
      </c>
      <c r="BB99" s="6">
        <v>1.3417876705464251</v>
      </c>
      <c r="BC99" s="6" t="s">
        <v>74</v>
      </c>
      <c r="BD99" s="6" t="s">
        <v>74</v>
      </c>
      <c r="BE99" s="21" t="s">
        <v>74</v>
      </c>
      <c r="BF99" s="21" t="s">
        <v>74</v>
      </c>
      <c r="BG99" s="21" t="s">
        <v>74</v>
      </c>
      <c r="BH99" s="21" t="s">
        <v>74</v>
      </c>
      <c r="BI99" s="21" t="s">
        <v>74</v>
      </c>
      <c r="BJ99" s="21" t="s">
        <v>74</v>
      </c>
      <c r="BK99" s="21" t="s">
        <v>74</v>
      </c>
      <c r="BL99" s="21" t="s">
        <v>74</v>
      </c>
      <c r="BM99" s="6" t="s">
        <v>74</v>
      </c>
      <c r="BN99" s="6" t="s">
        <v>74</v>
      </c>
      <c r="BO99" s="6" t="s">
        <v>74</v>
      </c>
      <c r="BP99" s="6" t="s">
        <v>74</v>
      </c>
      <c r="BQ99" s="6" t="s">
        <v>74</v>
      </c>
      <c r="BR99" s="6" t="s">
        <v>74</v>
      </c>
      <c r="BS99" s="6" t="s">
        <v>74</v>
      </c>
      <c r="BT99" s="6" t="s">
        <v>74</v>
      </c>
    </row>
    <row r="100" spans="1:72" ht="15" x14ac:dyDescent="0.2">
      <c r="A100" s="7" t="s">
        <v>72</v>
      </c>
      <c r="B100" s="14">
        <v>43022</v>
      </c>
      <c r="C100" s="5">
        <v>12</v>
      </c>
      <c r="D100" s="5">
        <f t="shared" si="18"/>
        <v>10</v>
      </c>
      <c r="E100" s="5">
        <f t="shared" si="19"/>
        <v>14</v>
      </c>
      <c r="F100" s="5">
        <f t="shared" si="20"/>
        <v>2017</v>
      </c>
      <c r="G100" s="5">
        <v>41.6</v>
      </c>
      <c r="H100" s="5">
        <v>-71.400000000000006</v>
      </c>
      <c r="I100" s="5">
        <v>9</v>
      </c>
      <c r="J100" s="9" t="s">
        <v>93</v>
      </c>
      <c r="K100" s="25">
        <v>31</v>
      </c>
      <c r="L100" s="25">
        <v>17</v>
      </c>
      <c r="M100" s="30">
        <v>451.65440758507702</v>
      </c>
      <c r="N100" s="30">
        <v>0</v>
      </c>
      <c r="O100" s="25">
        <v>0</v>
      </c>
      <c r="P100" s="25">
        <f t="shared" si="24"/>
        <v>0</v>
      </c>
      <c r="Q100" s="25">
        <v>0</v>
      </c>
      <c r="R100" s="25">
        <f t="shared" si="23"/>
        <v>0</v>
      </c>
      <c r="S100" s="5">
        <v>0.1039376</v>
      </c>
      <c r="T100" s="6">
        <v>0.59122399999999997</v>
      </c>
      <c r="U100" s="6">
        <v>0.12350999999999998</v>
      </c>
      <c r="V100" s="6">
        <v>1.2978000000000001</v>
      </c>
      <c r="W100" s="6">
        <v>3.2255634999999998</v>
      </c>
      <c r="X100" s="6">
        <v>1.1398419999999998</v>
      </c>
      <c r="Y100" s="6">
        <v>0.20298599999999997</v>
      </c>
      <c r="Z100" s="6">
        <v>1.31775</v>
      </c>
      <c r="AA100" s="6" t="s">
        <v>88</v>
      </c>
      <c r="AB100" s="21" t="s">
        <v>89</v>
      </c>
      <c r="AC100" s="21">
        <v>11.981821161809812</v>
      </c>
      <c r="AD100" s="21">
        <v>-0.53166706288343524</v>
      </c>
      <c r="AE100" s="21">
        <v>2.3624620398773035</v>
      </c>
      <c r="AF100" s="21">
        <v>1.3665902990797529</v>
      </c>
      <c r="AG100" s="6" t="s">
        <v>74</v>
      </c>
      <c r="AH100" s="6" t="s">
        <v>74</v>
      </c>
      <c r="AI100" s="6" t="s">
        <v>74</v>
      </c>
      <c r="AJ100" s="6" t="s">
        <v>74</v>
      </c>
      <c r="AK100" s="6" t="s">
        <v>74</v>
      </c>
      <c r="AL100" s="6" t="s">
        <v>74</v>
      </c>
      <c r="AM100" s="21" t="s">
        <v>74</v>
      </c>
      <c r="AN100" s="21">
        <v>0.15391670000000002</v>
      </c>
      <c r="AO100" s="21">
        <v>1.4706815</v>
      </c>
      <c r="AP100" s="21">
        <v>9.5550482826100076</v>
      </c>
      <c r="AQ100" s="21">
        <v>0.16616255000000002</v>
      </c>
      <c r="AR100" s="21">
        <v>1.5688249999999999</v>
      </c>
      <c r="AS100" s="21">
        <v>9.4415077284261688</v>
      </c>
      <c r="AT100" s="6" t="s">
        <v>87</v>
      </c>
      <c r="AU100" s="6">
        <v>4.1851032448377481</v>
      </c>
      <c r="AV100" s="6">
        <v>4.3084792445406324</v>
      </c>
      <c r="AW100" s="6" t="s">
        <v>74</v>
      </c>
      <c r="AX100" s="6" t="s">
        <v>74</v>
      </c>
      <c r="AY100" s="6">
        <v>2.1427237695670964</v>
      </c>
      <c r="AZ100" s="6">
        <v>1.4453171935035707</v>
      </c>
      <c r="BA100" s="6">
        <v>4.7663134473426876</v>
      </c>
      <c r="BB100" s="6">
        <v>1.4955341636428745</v>
      </c>
      <c r="BC100" s="6">
        <v>7.3902895806564608</v>
      </c>
      <c r="BD100" s="6">
        <v>3.6681750557898511</v>
      </c>
      <c r="BE100" s="21">
        <v>6.8457434984364385</v>
      </c>
      <c r="BF100" s="21">
        <v>59.084634305235035</v>
      </c>
      <c r="BG100" s="21">
        <v>21.941457139172456</v>
      </c>
      <c r="BH100" s="21">
        <v>216.98519941783456</v>
      </c>
      <c r="BI100" s="21">
        <v>25.52626536530774</v>
      </c>
      <c r="BJ100" s="21">
        <v>217.94044504946964</v>
      </c>
      <c r="BK100" s="21">
        <v>10.886492835615933</v>
      </c>
      <c r="BL100" s="21">
        <v>254.7514373355113</v>
      </c>
      <c r="BM100" s="6">
        <v>1.0172500000000009</v>
      </c>
      <c r="BN100" s="6">
        <v>1.2510000000000012</v>
      </c>
      <c r="BO100" s="6">
        <v>1.2376000000000005</v>
      </c>
      <c r="BP100" s="6">
        <v>1.3707999999999956</v>
      </c>
      <c r="BQ100" s="6">
        <v>0.68197864355435933</v>
      </c>
      <c r="BR100" s="6">
        <v>0.60977431264622806</v>
      </c>
      <c r="BS100" s="6">
        <v>0.57064966912603654</v>
      </c>
      <c r="BT100" s="6">
        <v>0.60512201197604598</v>
      </c>
    </row>
    <row r="101" spans="1:72" ht="15" x14ac:dyDescent="0.2">
      <c r="A101" s="7" t="s">
        <v>72</v>
      </c>
      <c r="B101" s="14">
        <v>43022</v>
      </c>
      <c r="C101" s="5">
        <v>21</v>
      </c>
      <c r="D101" s="5">
        <f t="shared" si="18"/>
        <v>10</v>
      </c>
      <c r="E101" s="5">
        <f t="shared" si="19"/>
        <v>14</v>
      </c>
      <c r="F101" s="5">
        <f t="shared" si="20"/>
        <v>2017</v>
      </c>
      <c r="G101" s="5">
        <v>41.6</v>
      </c>
      <c r="H101" s="5">
        <v>-71.400000000000006</v>
      </c>
      <c r="I101" s="5">
        <v>9</v>
      </c>
      <c r="J101" s="9" t="s">
        <v>93</v>
      </c>
      <c r="K101" s="25">
        <v>31</v>
      </c>
      <c r="L101" s="25">
        <v>17</v>
      </c>
      <c r="M101" s="30">
        <v>480.20323395635398</v>
      </c>
      <c r="N101" s="30">
        <v>0</v>
      </c>
      <c r="O101" s="25">
        <v>0</v>
      </c>
      <c r="P101" s="25">
        <f t="shared" si="24"/>
        <v>0</v>
      </c>
      <c r="Q101" s="25">
        <v>0</v>
      </c>
      <c r="R101" s="25">
        <f t="shared" si="23"/>
        <v>0</v>
      </c>
      <c r="S101" s="5">
        <v>0.1039376</v>
      </c>
      <c r="T101" s="6">
        <v>0.59122399999999997</v>
      </c>
      <c r="U101" s="6">
        <v>0.12350999999999998</v>
      </c>
      <c r="V101" s="6">
        <v>1.2978000000000001</v>
      </c>
      <c r="W101" s="6">
        <v>3.2255634999999998</v>
      </c>
      <c r="X101" s="6">
        <v>1.1398419999999998</v>
      </c>
      <c r="Y101" s="6">
        <v>0.20298599999999997</v>
      </c>
      <c r="Z101" s="6">
        <v>1.31775</v>
      </c>
      <c r="AA101" s="6" t="s">
        <v>88</v>
      </c>
      <c r="AB101" s="21" t="s">
        <v>89</v>
      </c>
      <c r="AC101" s="21">
        <v>17.969808969847321</v>
      </c>
      <c r="AD101" s="21">
        <v>1.3375542709923662</v>
      </c>
      <c r="AE101" s="21">
        <v>11.972111335877862</v>
      </c>
      <c r="AF101" s="21">
        <v>1.4290660305343519</v>
      </c>
      <c r="AG101" s="6" t="s">
        <v>74</v>
      </c>
      <c r="AH101" s="6" t="s">
        <v>74</v>
      </c>
      <c r="AI101" s="6" t="s">
        <v>74</v>
      </c>
      <c r="AJ101" s="6" t="s">
        <v>74</v>
      </c>
      <c r="AK101" s="6" t="s">
        <v>74</v>
      </c>
      <c r="AL101" s="6" t="s">
        <v>74</v>
      </c>
      <c r="AM101" s="21" t="s">
        <v>74</v>
      </c>
      <c r="AN101" s="21">
        <v>0.15814320000000001</v>
      </c>
      <c r="AO101" s="21">
        <v>1.494812</v>
      </c>
      <c r="AP101" s="21">
        <v>9.4522685768341592</v>
      </c>
      <c r="AQ101" s="21">
        <v>0.16880545</v>
      </c>
      <c r="AR101" s="21">
        <v>1.6143525000000001</v>
      </c>
      <c r="AS101" s="21">
        <v>9.563390873932093</v>
      </c>
      <c r="AT101" s="6" t="s">
        <v>87</v>
      </c>
      <c r="AU101" s="6">
        <v>4.4233488184205267</v>
      </c>
      <c r="AV101" s="6">
        <v>4.4223412394797101</v>
      </c>
      <c r="AW101" s="6" t="s">
        <v>74</v>
      </c>
      <c r="AX101" s="6" t="s">
        <v>74</v>
      </c>
      <c r="AY101" s="6">
        <v>2.1427237695670964</v>
      </c>
      <c r="AZ101" s="6">
        <v>1.4453171935035707</v>
      </c>
      <c r="BA101" s="6">
        <v>4.7663134473426876</v>
      </c>
      <c r="BB101" s="6">
        <v>1.4955341636428745</v>
      </c>
      <c r="BC101" s="6">
        <v>7.3902895806564608</v>
      </c>
      <c r="BD101" s="6">
        <v>3.6681750557898511</v>
      </c>
      <c r="BE101" s="21">
        <v>7.7257455574113552</v>
      </c>
      <c r="BF101" s="21">
        <v>85.329723481671309</v>
      </c>
      <c r="BG101" s="21">
        <v>32.789256266551263</v>
      </c>
      <c r="BH101" s="21">
        <v>244.82494287930024</v>
      </c>
      <c r="BI101" s="21">
        <v>20.870886889364215</v>
      </c>
      <c r="BJ101" s="21">
        <v>172.24752671957913</v>
      </c>
      <c r="BK101" s="21">
        <v>20.55315021939554</v>
      </c>
      <c r="BL101" s="21">
        <v>229.9612308244763</v>
      </c>
      <c r="BM101" s="6">
        <v>1.2967000000000013</v>
      </c>
      <c r="BN101" s="6">
        <v>1.3282999999999987</v>
      </c>
      <c r="BO101" s="6">
        <v>1.356500000000004</v>
      </c>
      <c r="BP101" s="6">
        <v>1.2869000000000028</v>
      </c>
      <c r="BQ101" s="6">
        <v>0.74850137701355812</v>
      </c>
      <c r="BR101" s="6">
        <v>0.65631972132904537</v>
      </c>
      <c r="BS101" s="6">
        <v>0.6531050347385684</v>
      </c>
      <c r="BT101" s="6">
        <v>0.57306333747223859</v>
      </c>
    </row>
    <row r="102" spans="1:72" ht="15" x14ac:dyDescent="0.2">
      <c r="A102" s="7" t="s">
        <v>72</v>
      </c>
      <c r="B102" s="14">
        <v>43022</v>
      </c>
      <c r="C102" s="5">
        <v>18</v>
      </c>
      <c r="D102" s="5">
        <f t="shared" si="18"/>
        <v>10</v>
      </c>
      <c r="E102" s="5">
        <f t="shared" si="19"/>
        <v>14</v>
      </c>
      <c r="F102" s="5">
        <f t="shared" si="20"/>
        <v>2017</v>
      </c>
      <c r="G102" s="5">
        <v>41.6</v>
      </c>
      <c r="H102" s="5">
        <v>-71.400000000000006</v>
      </c>
      <c r="I102" s="5">
        <v>9</v>
      </c>
      <c r="J102" s="9" t="s">
        <v>93</v>
      </c>
      <c r="K102" s="25">
        <v>31</v>
      </c>
      <c r="L102" s="25">
        <v>17</v>
      </c>
      <c r="M102" s="30">
        <v>386.19257193620399</v>
      </c>
      <c r="N102" s="30">
        <v>0</v>
      </c>
      <c r="O102" s="26">
        <v>2.8766215953711591</v>
      </c>
      <c r="P102" s="25">
        <f t="shared" si="24"/>
        <v>2.8766215953711593E-3</v>
      </c>
      <c r="Q102" s="25">
        <v>0</v>
      </c>
      <c r="R102" s="25">
        <f t="shared" si="23"/>
        <v>0</v>
      </c>
      <c r="S102" s="5">
        <v>0.1039376</v>
      </c>
      <c r="T102" s="6">
        <v>0.59122399999999997</v>
      </c>
      <c r="U102" s="6">
        <v>0.12350999999999998</v>
      </c>
      <c r="V102" s="6">
        <v>1.2978000000000001</v>
      </c>
      <c r="W102" s="6">
        <v>3.2255634999999998</v>
      </c>
      <c r="X102" s="6">
        <v>1.1398419999999998</v>
      </c>
      <c r="Y102" s="6">
        <v>0.20298599999999997</v>
      </c>
      <c r="Z102" s="6">
        <v>1.31775</v>
      </c>
      <c r="AA102" s="6" t="s">
        <v>88</v>
      </c>
      <c r="AB102" s="21" t="s">
        <v>89</v>
      </c>
      <c r="AC102" s="21">
        <v>7.0064314305239197</v>
      </c>
      <c r="AD102" s="21">
        <v>0.35543528473804076</v>
      </c>
      <c r="AE102" s="21">
        <v>11.094759840546702</v>
      </c>
      <c r="AF102" s="21">
        <v>-6.0279328018222236E-2</v>
      </c>
      <c r="AG102" s="6" t="s">
        <v>74</v>
      </c>
      <c r="AH102" s="6" t="s">
        <v>74</v>
      </c>
      <c r="AI102" s="6" t="s">
        <v>74</v>
      </c>
      <c r="AJ102" s="6" t="s">
        <v>74</v>
      </c>
      <c r="AK102" s="6" t="s">
        <v>74</v>
      </c>
      <c r="AL102" s="6" t="s">
        <v>74</v>
      </c>
      <c r="AM102" s="21" t="s">
        <v>74</v>
      </c>
      <c r="AN102" s="21">
        <v>0.16839045</v>
      </c>
      <c r="AO102" s="21">
        <v>1.5221705000000001</v>
      </c>
      <c r="AP102" s="21">
        <v>9.0395298545731073</v>
      </c>
      <c r="AQ102" s="21">
        <v>0.15773890000000002</v>
      </c>
      <c r="AR102" s="21">
        <v>1.5072399999999999</v>
      </c>
      <c r="AS102" s="21">
        <v>9.555284080211031</v>
      </c>
      <c r="AT102" s="6" t="s">
        <v>87</v>
      </c>
      <c r="AU102" s="6">
        <v>4.8892674616694975</v>
      </c>
      <c r="AV102" s="6">
        <v>4.4670245398773192</v>
      </c>
      <c r="AW102" s="6" t="s">
        <v>74</v>
      </c>
      <c r="AX102" s="6" t="s">
        <v>74</v>
      </c>
      <c r="AY102" s="6">
        <v>2.1427237695670964</v>
      </c>
      <c r="AZ102" s="6">
        <v>1.4453171935035707</v>
      </c>
      <c r="BA102" s="6">
        <v>4.7663134473426876</v>
      </c>
      <c r="BB102" s="6">
        <v>1.4955341636428745</v>
      </c>
      <c r="BC102" s="6">
        <v>7.3902895806564608</v>
      </c>
      <c r="BD102" s="6">
        <v>3.6681750557898511</v>
      </c>
      <c r="BE102" s="21">
        <v>3.6255203075436269</v>
      </c>
      <c r="BF102" s="21">
        <v>50.282022931080455</v>
      </c>
      <c r="BG102" s="21">
        <v>-48.327219223914113</v>
      </c>
      <c r="BH102" s="21">
        <v>387.83738057840878</v>
      </c>
      <c r="BI102" s="21">
        <v>23.038281655269273</v>
      </c>
      <c r="BJ102" s="21">
        <v>240.30808596572339</v>
      </c>
      <c r="BK102" s="21">
        <v>14.778812912637976</v>
      </c>
      <c r="BL102" s="21">
        <v>199.88524042338051</v>
      </c>
      <c r="BM102" s="6">
        <v>1.2392727272727333</v>
      </c>
      <c r="BN102" s="6">
        <v>1.3796000000000035</v>
      </c>
      <c r="BO102" s="6">
        <v>1.3680000000000021</v>
      </c>
      <c r="BP102" s="6">
        <v>1.2690909090909102</v>
      </c>
      <c r="BQ102" s="6">
        <v>0.62630999646745433</v>
      </c>
      <c r="BR102" s="6">
        <v>0.56251031666247941</v>
      </c>
      <c r="BS102" s="6">
        <v>0.61689451891626257</v>
      </c>
      <c r="BT102" s="6">
        <v>0.57652595861527944</v>
      </c>
    </row>
    <row r="103" spans="1:72" ht="15" x14ac:dyDescent="0.2">
      <c r="A103" s="7" t="s">
        <v>72</v>
      </c>
      <c r="B103" s="14">
        <v>43022</v>
      </c>
      <c r="C103" s="5" t="s">
        <v>97</v>
      </c>
      <c r="D103" s="5">
        <f t="shared" si="18"/>
        <v>10</v>
      </c>
      <c r="E103" s="5">
        <f t="shared" si="19"/>
        <v>14</v>
      </c>
      <c r="F103" s="5">
        <f t="shared" si="20"/>
        <v>2017</v>
      </c>
      <c r="G103" s="5">
        <v>41.6</v>
      </c>
      <c r="H103" s="5">
        <v>-71.400000000000006</v>
      </c>
      <c r="I103" s="5">
        <v>9</v>
      </c>
      <c r="J103" s="9" t="s">
        <v>93</v>
      </c>
      <c r="K103" s="25">
        <v>31</v>
      </c>
      <c r="L103" s="25">
        <v>17</v>
      </c>
      <c r="M103" s="30">
        <v>0</v>
      </c>
      <c r="N103" s="30">
        <v>-103.577433864113</v>
      </c>
      <c r="O103" s="25">
        <v>0</v>
      </c>
      <c r="P103" s="25">
        <f t="shared" si="24"/>
        <v>0</v>
      </c>
      <c r="Q103" s="25">
        <v>0</v>
      </c>
      <c r="R103" s="25">
        <f t="shared" si="23"/>
        <v>0</v>
      </c>
      <c r="S103" s="5">
        <v>0.1039376</v>
      </c>
      <c r="T103" s="6">
        <v>0.59122399999999997</v>
      </c>
      <c r="U103" s="6">
        <v>0.12350999999999998</v>
      </c>
      <c r="V103" s="6">
        <v>1.2978000000000001</v>
      </c>
      <c r="W103" s="6">
        <v>3.2255634999999998</v>
      </c>
      <c r="X103" s="6">
        <v>1.1398419999999998</v>
      </c>
      <c r="Y103" s="6">
        <v>0.20298599999999997</v>
      </c>
      <c r="Z103" s="6">
        <v>1.31775</v>
      </c>
      <c r="AA103" s="6" t="s">
        <v>88</v>
      </c>
      <c r="AB103" s="21" t="s">
        <v>89</v>
      </c>
      <c r="AC103" s="21">
        <v>3.5538786625766852</v>
      </c>
      <c r="AD103" s="21">
        <v>-5.224355810692372</v>
      </c>
      <c r="AE103" s="21">
        <v>-4.9722005521472408</v>
      </c>
      <c r="AF103" s="21">
        <v>-1.7594585889570615</v>
      </c>
      <c r="AG103" s="6" t="s">
        <v>74</v>
      </c>
      <c r="AH103" s="6" t="s">
        <v>74</v>
      </c>
      <c r="AI103" s="6" t="s">
        <v>74</v>
      </c>
      <c r="AJ103" s="6" t="s">
        <v>74</v>
      </c>
      <c r="AK103" s="6" t="s">
        <v>74</v>
      </c>
      <c r="AL103" s="6" t="s">
        <v>74</v>
      </c>
      <c r="AM103" s="21" t="s">
        <v>74</v>
      </c>
      <c r="AN103" s="21" t="s">
        <v>74</v>
      </c>
      <c r="AO103" s="21" t="s">
        <v>74</v>
      </c>
      <c r="AP103" s="21" t="s">
        <v>74</v>
      </c>
      <c r="AQ103" s="21" t="s">
        <v>74</v>
      </c>
      <c r="AR103" s="21" t="s">
        <v>74</v>
      </c>
      <c r="AS103" s="21" t="s">
        <v>74</v>
      </c>
      <c r="AT103" s="6" t="s">
        <v>74</v>
      </c>
      <c r="AU103" s="6" t="s">
        <v>74</v>
      </c>
      <c r="AV103" s="6" t="s">
        <v>74</v>
      </c>
      <c r="AW103" s="6" t="s">
        <v>74</v>
      </c>
      <c r="AX103" s="6" t="s">
        <v>74</v>
      </c>
      <c r="AY103" s="6">
        <v>2.1427237695670964</v>
      </c>
      <c r="AZ103" s="6">
        <v>1.4453171935035707</v>
      </c>
      <c r="BA103" s="6">
        <v>4.7663134473426876</v>
      </c>
      <c r="BB103" s="6">
        <v>1.4955341636428745</v>
      </c>
      <c r="BC103" s="6">
        <v>7.3902895806564608</v>
      </c>
      <c r="BD103" s="6">
        <v>3.6681750557898511</v>
      </c>
      <c r="BE103" s="21" t="s">
        <v>74</v>
      </c>
      <c r="BF103" s="21" t="s">
        <v>74</v>
      </c>
      <c r="BG103" s="21" t="s">
        <v>74</v>
      </c>
      <c r="BH103" s="21" t="s">
        <v>74</v>
      </c>
      <c r="BI103" s="21" t="s">
        <v>74</v>
      </c>
      <c r="BJ103" s="21" t="s">
        <v>74</v>
      </c>
      <c r="BK103" s="21" t="s">
        <v>74</v>
      </c>
      <c r="BL103" s="21" t="s">
        <v>74</v>
      </c>
      <c r="BM103" s="6" t="s">
        <v>74</v>
      </c>
      <c r="BN103" s="6" t="s">
        <v>74</v>
      </c>
      <c r="BO103" s="6" t="s">
        <v>74</v>
      </c>
      <c r="BP103" s="6" t="s">
        <v>74</v>
      </c>
      <c r="BQ103" s="6" t="s">
        <v>74</v>
      </c>
      <c r="BR103" s="6" t="s">
        <v>74</v>
      </c>
      <c r="BS103" s="6" t="s">
        <v>74</v>
      </c>
      <c r="BT103" s="6" t="s">
        <v>74</v>
      </c>
    </row>
    <row r="104" spans="1:72" ht="15" x14ac:dyDescent="0.2">
      <c r="A104" s="7" t="s">
        <v>79</v>
      </c>
      <c r="B104" s="14">
        <v>43022</v>
      </c>
      <c r="C104" s="5">
        <v>6</v>
      </c>
      <c r="D104" s="5">
        <f t="shared" si="18"/>
        <v>10</v>
      </c>
      <c r="E104" s="5">
        <f t="shared" si="19"/>
        <v>14</v>
      </c>
      <c r="F104" s="5">
        <f t="shared" si="20"/>
        <v>2017</v>
      </c>
      <c r="G104" s="5" t="s">
        <v>74</v>
      </c>
      <c r="H104" s="5" t="s">
        <v>74</v>
      </c>
      <c r="I104" s="5">
        <f>6*0.3048</f>
        <v>1.8288000000000002</v>
      </c>
      <c r="J104" s="9" t="s">
        <v>93</v>
      </c>
      <c r="K104" s="25">
        <v>28.5</v>
      </c>
      <c r="L104" s="25">
        <v>17</v>
      </c>
      <c r="M104" s="30">
        <v>2506.442219</v>
      </c>
      <c r="N104" s="30">
        <v>0</v>
      </c>
      <c r="O104" s="26">
        <v>-43.413743428319776</v>
      </c>
      <c r="P104" s="25">
        <f t="shared" si="24"/>
        <v>-4.3413743428319773E-2</v>
      </c>
      <c r="Q104" s="26">
        <v>1518.2218653021785</v>
      </c>
      <c r="R104" s="25">
        <f t="shared" si="23"/>
        <v>1.5182218653021784</v>
      </c>
      <c r="S104" s="5">
        <v>10.770533800000001</v>
      </c>
      <c r="T104" s="6">
        <v>7.9299760000000008</v>
      </c>
      <c r="U104" s="6">
        <v>0.85168199999999994</v>
      </c>
      <c r="V104" s="6">
        <v>3.77685</v>
      </c>
      <c r="W104" s="6">
        <v>10.961419199999998</v>
      </c>
      <c r="X104" s="6">
        <v>7.9068320000000014</v>
      </c>
      <c r="Y104" s="6">
        <v>0.84899699999999989</v>
      </c>
      <c r="Z104" s="6">
        <v>3.6765750000000001</v>
      </c>
      <c r="AA104" s="6" t="s">
        <v>88</v>
      </c>
      <c r="AB104" s="21" t="s">
        <v>89</v>
      </c>
      <c r="AC104" s="21">
        <v>91.630382599315098</v>
      </c>
      <c r="AD104" s="21">
        <v>-1.1848573972602718</v>
      </c>
      <c r="AE104" s="21">
        <v>-12.407223150684937</v>
      </c>
      <c r="AF104" s="21">
        <v>19.113272260273984</v>
      </c>
      <c r="AG104" s="6" t="s">
        <v>74</v>
      </c>
      <c r="AH104" s="6" t="s">
        <v>74</v>
      </c>
      <c r="AI104" s="6" t="s">
        <v>74</v>
      </c>
      <c r="AJ104" s="6" t="s">
        <v>74</v>
      </c>
      <c r="AK104" s="6" t="s">
        <v>74</v>
      </c>
      <c r="AL104" s="6" t="s">
        <v>74</v>
      </c>
      <c r="AM104" s="21" t="s">
        <v>74</v>
      </c>
      <c r="AN104" s="21" t="s">
        <v>74</v>
      </c>
      <c r="AO104" s="21" t="s">
        <v>74</v>
      </c>
      <c r="AP104" s="21" t="s">
        <v>74</v>
      </c>
      <c r="AQ104" s="21" t="s">
        <v>74</v>
      </c>
      <c r="AR104" s="21" t="s">
        <v>74</v>
      </c>
      <c r="AS104" s="21" t="s">
        <v>74</v>
      </c>
      <c r="AT104" s="6" t="s">
        <v>74</v>
      </c>
      <c r="AU104" s="6" t="s">
        <v>74</v>
      </c>
      <c r="AV104" s="6" t="s">
        <v>74</v>
      </c>
      <c r="AW104" s="6" t="s">
        <v>74</v>
      </c>
      <c r="AX104" s="6" t="s">
        <v>74</v>
      </c>
      <c r="AY104" s="6">
        <v>1.7630634046518732</v>
      </c>
      <c r="AZ104" s="6">
        <v>1.6374257118036237</v>
      </c>
      <c r="BA104" s="6">
        <v>1.6469543615873017</v>
      </c>
      <c r="BB104" s="6">
        <v>1.755523746247599</v>
      </c>
      <c r="BC104" s="6">
        <v>5.6866582757186688</v>
      </c>
      <c r="BD104" s="6">
        <v>2.0863751772183576</v>
      </c>
      <c r="BE104" s="21" t="s">
        <v>74</v>
      </c>
      <c r="BF104" s="21" t="s">
        <v>74</v>
      </c>
      <c r="BG104" s="21" t="s">
        <v>74</v>
      </c>
      <c r="BH104" s="21" t="s">
        <v>74</v>
      </c>
      <c r="BI104" s="21" t="s">
        <v>74</v>
      </c>
      <c r="BJ104" s="21" t="s">
        <v>74</v>
      </c>
      <c r="BK104" s="21" t="s">
        <v>74</v>
      </c>
      <c r="BL104" s="21" t="s">
        <v>74</v>
      </c>
      <c r="BM104" s="6" t="s">
        <v>74</v>
      </c>
      <c r="BN104" s="6" t="s">
        <v>74</v>
      </c>
      <c r="BO104" s="6" t="s">
        <v>74</v>
      </c>
      <c r="BP104" s="6" t="s">
        <v>74</v>
      </c>
      <c r="BQ104" s="6" t="s">
        <v>74</v>
      </c>
      <c r="BR104" s="6" t="s">
        <v>74</v>
      </c>
      <c r="BS104" s="6" t="s">
        <v>74</v>
      </c>
      <c r="BT104" s="6" t="s">
        <v>74</v>
      </c>
    </row>
    <row r="105" spans="1:72" ht="15" x14ac:dyDescent="0.2">
      <c r="A105" s="7" t="s">
        <v>79</v>
      </c>
      <c r="B105" s="14">
        <v>43022</v>
      </c>
      <c r="C105" s="5">
        <v>35</v>
      </c>
      <c r="D105" s="5">
        <f t="shared" si="18"/>
        <v>10</v>
      </c>
      <c r="E105" s="5">
        <f t="shared" si="19"/>
        <v>14</v>
      </c>
      <c r="F105" s="5">
        <f t="shared" si="20"/>
        <v>2017</v>
      </c>
      <c r="G105" s="5" t="s">
        <v>74</v>
      </c>
      <c r="H105" s="5" t="s">
        <v>74</v>
      </c>
      <c r="I105" s="5">
        <f>6*0.3048</f>
        <v>1.8288000000000002</v>
      </c>
      <c r="J105" s="9" t="s">
        <v>93</v>
      </c>
      <c r="K105" s="25">
        <v>28.5</v>
      </c>
      <c r="L105" s="25">
        <v>17</v>
      </c>
      <c r="M105" s="30">
        <v>1111.932012</v>
      </c>
      <c r="N105" s="30">
        <v>0</v>
      </c>
      <c r="O105" s="25">
        <v>0</v>
      </c>
      <c r="P105" s="25">
        <f t="shared" si="24"/>
        <v>0</v>
      </c>
      <c r="Q105" s="25">
        <v>0</v>
      </c>
      <c r="R105" s="25">
        <f t="shared" si="23"/>
        <v>0</v>
      </c>
      <c r="S105" s="5">
        <v>10.770533800000001</v>
      </c>
      <c r="T105" s="6">
        <v>7.9299760000000008</v>
      </c>
      <c r="U105" s="6">
        <v>0.85168199999999994</v>
      </c>
      <c r="V105" s="6">
        <v>3.77685</v>
      </c>
      <c r="W105" s="6">
        <v>10.961419199999998</v>
      </c>
      <c r="X105" s="6">
        <v>7.9068320000000014</v>
      </c>
      <c r="Y105" s="6">
        <v>0.84899699999999989</v>
      </c>
      <c r="Z105" s="6">
        <v>3.6765750000000001</v>
      </c>
      <c r="AA105" s="6" t="s">
        <v>88</v>
      </c>
      <c r="AB105" s="21" t="s">
        <v>89</v>
      </c>
      <c r="AC105" s="21">
        <v>23.401417386666655</v>
      </c>
      <c r="AD105" s="21">
        <v>1.6138640000000031</v>
      </c>
      <c r="AE105" s="21">
        <v>-17.141428266666676</v>
      </c>
      <c r="AF105" s="21">
        <v>22.377320000000001</v>
      </c>
      <c r="AG105" s="6" t="s">
        <v>74</v>
      </c>
      <c r="AH105" s="6" t="s">
        <v>74</v>
      </c>
      <c r="AI105" s="6" t="s">
        <v>74</v>
      </c>
      <c r="AJ105" s="6" t="s">
        <v>74</v>
      </c>
      <c r="AK105" s="6" t="s">
        <v>74</v>
      </c>
      <c r="AL105" s="6" t="s">
        <v>74</v>
      </c>
      <c r="AM105" s="21" t="s">
        <v>74</v>
      </c>
      <c r="AN105" s="21" t="s">
        <v>74</v>
      </c>
      <c r="AO105" s="21" t="s">
        <v>74</v>
      </c>
      <c r="AP105" s="21" t="s">
        <v>74</v>
      </c>
      <c r="AQ105" s="21" t="s">
        <v>74</v>
      </c>
      <c r="AR105" s="21" t="s">
        <v>74</v>
      </c>
      <c r="AS105" s="21" t="s">
        <v>74</v>
      </c>
      <c r="AT105" s="6" t="s">
        <v>74</v>
      </c>
      <c r="AU105" s="6">
        <v>5.748743718592956</v>
      </c>
      <c r="AV105" s="6">
        <v>5.4235946159936415</v>
      </c>
      <c r="AW105" s="6" t="s">
        <v>74</v>
      </c>
      <c r="AX105" s="6" t="s">
        <v>74</v>
      </c>
      <c r="AY105" s="6">
        <v>1.7630634046518732</v>
      </c>
      <c r="AZ105" s="6">
        <v>1.6374257118036237</v>
      </c>
      <c r="BA105" s="6">
        <v>1.6469543615873017</v>
      </c>
      <c r="BB105" s="6">
        <v>1.755523746247599</v>
      </c>
      <c r="BC105" s="6">
        <v>5.6866582757186688</v>
      </c>
      <c r="BD105" s="6">
        <v>2.0863751772183576</v>
      </c>
      <c r="BE105" s="21" t="s">
        <v>74</v>
      </c>
      <c r="BF105" s="21" t="s">
        <v>74</v>
      </c>
      <c r="BG105" s="21" t="s">
        <v>74</v>
      </c>
      <c r="BH105" s="21" t="s">
        <v>74</v>
      </c>
      <c r="BI105" s="21" t="s">
        <v>74</v>
      </c>
      <c r="BJ105" s="21" t="s">
        <v>74</v>
      </c>
      <c r="BK105" s="21" t="s">
        <v>74</v>
      </c>
      <c r="BL105" s="21" t="s">
        <v>74</v>
      </c>
      <c r="BM105" s="6" t="s">
        <v>74</v>
      </c>
      <c r="BN105" s="6" t="s">
        <v>74</v>
      </c>
      <c r="BO105" s="6" t="s">
        <v>74</v>
      </c>
      <c r="BP105" s="6" t="s">
        <v>74</v>
      </c>
      <c r="BQ105" s="6" t="s">
        <v>74</v>
      </c>
      <c r="BR105" s="6" t="s">
        <v>74</v>
      </c>
      <c r="BS105" s="6" t="s">
        <v>74</v>
      </c>
      <c r="BT105" s="6" t="s">
        <v>74</v>
      </c>
    </row>
    <row r="106" spans="1:72" ht="15" x14ac:dyDescent="0.2">
      <c r="A106" s="7" t="s">
        <v>79</v>
      </c>
      <c r="B106" s="14">
        <v>43022</v>
      </c>
      <c r="C106" s="5">
        <v>16</v>
      </c>
      <c r="D106" s="5">
        <f t="shared" si="18"/>
        <v>10</v>
      </c>
      <c r="E106" s="5">
        <f t="shared" si="19"/>
        <v>14</v>
      </c>
      <c r="F106" s="5">
        <f t="shared" si="20"/>
        <v>2017</v>
      </c>
      <c r="G106" s="5" t="s">
        <v>74</v>
      </c>
      <c r="H106" s="5" t="s">
        <v>74</v>
      </c>
      <c r="I106" s="5">
        <f>6*0.3048</f>
        <v>1.8288000000000002</v>
      </c>
      <c r="J106" s="9" t="s">
        <v>93</v>
      </c>
      <c r="K106" s="25">
        <v>28.5</v>
      </c>
      <c r="L106" s="25">
        <v>17</v>
      </c>
      <c r="M106" s="30">
        <v>1491.3958190000001</v>
      </c>
      <c r="N106" s="30">
        <v>0</v>
      </c>
      <c r="O106" s="26">
        <v>24.578548104619916</v>
      </c>
      <c r="P106" s="25">
        <f t="shared" si="24"/>
        <v>2.4578548104619916E-2</v>
      </c>
      <c r="Q106" s="26">
        <v>514.32641585151623</v>
      </c>
      <c r="R106" s="25">
        <f t="shared" si="23"/>
        <v>0.51432641585151628</v>
      </c>
      <c r="S106" s="5">
        <v>10.770533800000001</v>
      </c>
      <c r="T106" s="6">
        <v>7.9299760000000008</v>
      </c>
      <c r="U106" s="6">
        <v>0.85168199999999994</v>
      </c>
      <c r="V106" s="6">
        <v>3.77685</v>
      </c>
      <c r="W106" s="6">
        <v>10.961419199999998</v>
      </c>
      <c r="X106" s="6">
        <v>7.9068320000000014</v>
      </c>
      <c r="Y106" s="6">
        <v>0.84899699999999989</v>
      </c>
      <c r="Z106" s="6">
        <v>3.6765750000000001</v>
      </c>
      <c r="AA106" s="6" t="s">
        <v>88</v>
      </c>
      <c r="AB106" s="21" t="s">
        <v>89</v>
      </c>
      <c r="AC106" s="21">
        <v>99.688711631130076</v>
      </c>
      <c r="AD106" s="21">
        <v>3.3411933901918984</v>
      </c>
      <c r="AE106" s="21">
        <v>-23.243452132196158</v>
      </c>
      <c r="AF106" s="21">
        <v>-2.8524626865671707</v>
      </c>
      <c r="AG106" s="6" t="s">
        <v>74</v>
      </c>
      <c r="AH106" s="6" t="s">
        <v>74</v>
      </c>
      <c r="AI106" s="6" t="s">
        <v>74</v>
      </c>
      <c r="AJ106" s="6" t="s">
        <v>74</v>
      </c>
      <c r="AK106" s="6" t="s">
        <v>74</v>
      </c>
      <c r="AL106" s="6" t="s">
        <v>74</v>
      </c>
      <c r="AM106" s="21" t="s">
        <v>74</v>
      </c>
      <c r="AN106" s="21">
        <v>0.2189171</v>
      </c>
      <c r="AO106" s="21">
        <v>2.7983235</v>
      </c>
      <c r="AP106" s="21">
        <v>12.78257157618112</v>
      </c>
      <c r="AQ106" s="21">
        <v>0.19911010000000001</v>
      </c>
      <c r="AR106" s="21">
        <v>2.6172655000000002</v>
      </c>
      <c r="AS106" s="21">
        <v>13.144815355926195</v>
      </c>
      <c r="AT106" s="6" t="s">
        <v>87</v>
      </c>
      <c r="AU106" s="6" t="s">
        <v>74</v>
      </c>
      <c r="AV106" s="6" t="s">
        <v>74</v>
      </c>
      <c r="AW106" s="6" t="s">
        <v>74</v>
      </c>
      <c r="AX106" s="6" t="s">
        <v>74</v>
      </c>
      <c r="AY106" s="6">
        <v>1.7630634046518732</v>
      </c>
      <c r="AZ106" s="6">
        <v>1.6374257118036237</v>
      </c>
      <c r="BA106" s="6">
        <v>1.6469543615873017</v>
      </c>
      <c r="BB106" s="6">
        <v>1.755523746247599</v>
      </c>
      <c r="BC106" s="6">
        <v>5.6866582757186688</v>
      </c>
      <c r="BD106" s="6">
        <v>2.0863751772183576</v>
      </c>
      <c r="BE106" s="21" t="s">
        <v>74</v>
      </c>
      <c r="BF106" s="21" t="s">
        <v>74</v>
      </c>
      <c r="BG106" s="21" t="s">
        <v>74</v>
      </c>
      <c r="BH106" s="21" t="s">
        <v>74</v>
      </c>
      <c r="BI106" s="21" t="s">
        <v>74</v>
      </c>
      <c r="BJ106" s="21" t="s">
        <v>74</v>
      </c>
      <c r="BK106" s="21" t="s">
        <v>74</v>
      </c>
      <c r="BL106" s="21" t="s">
        <v>74</v>
      </c>
      <c r="BM106" s="6" t="s">
        <v>74</v>
      </c>
      <c r="BN106" s="6" t="s">
        <v>74</v>
      </c>
      <c r="BO106" s="6" t="s">
        <v>74</v>
      </c>
      <c r="BP106" s="6" t="s">
        <v>74</v>
      </c>
      <c r="BQ106" s="6" t="s">
        <v>74</v>
      </c>
      <c r="BR106" s="6" t="s">
        <v>74</v>
      </c>
      <c r="BS106" s="6" t="s">
        <v>74</v>
      </c>
      <c r="BT106" s="6" t="s">
        <v>74</v>
      </c>
    </row>
    <row r="107" spans="1:72" ht="15" x14ac:dyDescent="0.2">
      <c r="A107" s="7" t="s">
        <v>79</v>
      </c>
      <c r="B107" s="14">
        <v>43022</v>
      </c>
      <c r="C107" s="5" t="s">
        <v>83</v>
      </c>
      <c r="D107" s="5">
        <f t="shared" si="18"/>
        <v>10</v>
      </c>
      <c r="E107" s="5">
        <f t="shared" si="19"/>
        <v>14</v>
      </c>
      <c r="F107" s="5">
        <f t="shared" si="20"/>
        <v>2017</v>
      </c>
      <c r="G107" s="5" t="s">
        <v>74</v>
      </c>
      <c r="H107" s="5" t="s">
        <v>74</v>
      </c>
      <c r="I107" s="5">
        <f>6*0.3048</f>
        <v>1.8288000000000002</v>
      </c>
      <c r="J107" s="9" t="s">
        <v>93</v>
      </c>
      <c r="K107" s="25">
        <v>28.5</v>
      </c>
      <c r="L107" s="25">
        <v>17</v>
      </c>
      <c r="M107" s="30">
        <v>0</v>
      </c>
      <c r="N107" s="30">
        <v>0</v>
      </c>
      <c r="O107" s="25">
        <v>0</v>
      </c>
      <c r="P107" s="25">
        <f t="shared" si="24"/>
        <v>0</v>
      </c>
      <c r="Q107" s="25">
        <v>0</v>
      </c>
      <c r="R107" s="25">
        <f t="shared" si="23"/>
        <v>0</v>
      </c>
      <c r="S107" s="5">
        <v>10.770533800000001</v>
      </c>
      <c r="T107" s="6">
        <v>7.9299760000000008</v>
      </c>
      <c r="U107" s="6">
        <v>0.85168199999999994</v>
      </c>
      <c r="V107" s="6">
        <v>3.77685</v>
      </c>
      <c r="W107" s="6">
        <v>10.961419199999998</v>
      </c>
      <c r="X107" s="6">
        <v>7.9068320000000014</v>
      </c>
      <c r="Y107" s="6">
        <v>0.84899699999999989</v>
      </c>
      <c r="Z107" s="6">
        <v>3.6765750000000001</v>
      </c>
      <c r="AA107" s="6" t="s">
        <v>88</v>
      </c>
      <c r="AB107" s="21" t="s">
        <v>89</v>
      </c>
      <c r="AC107" s="21">
        <v>-68.058994102189743</v>
      </c>
      <c r="AD107" s="21">
        <v>1.2204402919707975</v>
      </c>
      <c r="AE107" s="21">
        <v>-11.271296934306553</v>
      </c>
      <c r="AF107" s="21">
        <v>-2.3011094890510835</v>
      </c>
      <c r="AG107" s="6" t="s">
        <v>74</v>
      </c>
      <c r="AH107" s="6" t="s">
        <v>74</v>
      </c>
      <c r="AI107" s="6" t="s">
        <v>74</v>
      </c>
      <c r="AJ107" s="6" t="s">
        <v>74</v>
      </c>
      <c r="AK107" s="6" t="s">
        <v>74</v>
      </c>
      <c r="AL107" s="6" t="s">
        <v>74</v>
      </c>
      <c r="AM107" s="21" t="s">
        <v>74</v>
      </c>
      <c r="AN107" s="21" t="s">
        <v>74</v>
      </c>
      <c r="AO107" s="21" t="s">
        <v>74</v>
      </c>
      <c r="AP107" s="21" t="s">
        <v>74</v>
      </c>
      <c r="AQ107" s="21" t="s">
        <v>74</v>
      </c>
      <c r="AR107" s="21" t="s">
        <v>74</v>
      </c>
      <c r="AS107" s="21" t="s">
        <v>74</v>
      </c>
      <c r="AT107" s="6" t="s">
        <v>74</v>
      </c>
      <c r="AU107" s="6" t="s">
        <v>74</v>
      </c>
      <c r="AV107" s="6" t="s">
        <v>74</v>
      </c>
      <c r="AW107" s="6" t="s">
        <v>74</v>
      </c>
      <c r="AX107" s="6" t="s">
        <v>74</v>
      </c>
      <c r="AY107" s="6">
        <v>1.7630634046518732</v>
      </c>
      <c r="AZ107" s="6">
        <v>1.6374257118036237</v>
      </c>
      <c r="BA107" s="6">
        <v>1.6469543615873017</v>
      </c>
      <c r="BB107" s="6">
        <v>1.755523746247599</v>
      </c>
      <c r="BC107" s="6">
        <v>5.6866582757186688</v>
      </c>
      <c r="BD107" s="6">
        <v>2.0863751772183576</v>
      </c>
      <c r="BE107" s="21" t="s">
        <v>74</v>
      </c>
      <c r="BF107" s="21" t="s">
        <v>74</v>
      </c>
      <c r="BG107" s="21" t="s">
        <v>74</v>
      </c>
      <c r="BH107" s="21" t="s">
        <v>74</v>
      </c>
      <c r="BI107" s="21" t="s">
        <v>74</v>
      </c>
      <c r="BJ107" s="21" t="s">
        <v>74</v>
      </c>
      <c r="BK107" s="21" t="s">
        <v>74</v>
      </c>
      <c r="BL107" s="21" t="s">
        <v>74</v>
      </c>
      <c r="BM107" s="6" t="s">
        <v>74</v>
      </c>
      <c r="BN107" s="6" t="s">
        <v>74</v>
      </c>
      <c r="BO107" s="6" t="s">
        <v>74</v>
      </c>
      <c r="BP107" s="6" t="s">
        <v>74</v>
      </c>
      <c r="BQ107" s="6" t="s">
        <v>74</v>
      </c>
      <c r="BR107" s="6" t="s">
        <v>74</v>
      </c>
      <c r="BS107" s="6" t="s">
        <v>74</v>
      </c>
      <c r="BT107" s="6" t="s">
        <v>74</v>
      </c>
    </row>
    <row r="108" spans="1:72" ht="15" x14ac:dyDescent="0.2">
      <c r="A108" s="5" t="s">
        <v>72</v>
      </c>
      <c r="B108" s="13">
        <v>43249</v>
      </c>
      <c r="C108" s="5">
        <v>13</v>
      </c>
      <c r="D108" s="5">
        <v>5</v>
      </c>
      <c r="E108" s="5">
        <v>29</v>
      </c>
      <c r="F108" s="6">
        <v>2018</v>
      </c>
      <c r="G108">
        <v>41.578530000000001</v>
      </c>
      <c r="H108">
        <v>-71.355170000000001</v>
      </c>
      <c r="I108">
        <f t="shared" ref="I108:I114" si="25">32*0.3048</f>
        <v>9.7536000000000005</v>
      </c>
      <c r="J108" t="s">
        <v>93</v>
      </c>
      <c r="K108" s="31">
        <v>30</v>
      </c>
      <c r="L108" s="31">
        <v>16</v>
      </c>
      <c r="M108" s="26">
        <v>461.00011769999998</v>
      </c>
      <c r="N108" s="26">
        <v>0</v>
      </c>
      <c r="O108" s="25">
        <v>0</v>
      </c>
      <c r="P108" s="25">
        <f t="shared" si="24"/>
        <v>0</v>
      </c>
      <c r="Q108" s="25">
        <v>2436.5565620756402</v>
      </c>
      <c r="R108" s="25">
        <f t="shared" si="23"/>
        <v>2.4365565620756402</v>
      </c>
      <c r="S108" s="5">
        <v>0.46027800000000002</v>
      </c>
      <c r="T108" s="6">
        <v>7.175999999999999E-2</v>
      </c>
      <c r="U108" s="6">
        <v>1.1720000000000001E-2</v>
      </c>
      <c r="V108" s="6">
        <v>0.20374666666666669</v>
      </c>
      <c r="W108" s="6">
        <v>1.0911771999999997</v>
      </c>
      <c r="X108" s="6">
        <v>0.20773039999999998</v>
      </c>
      <c r="Y108" s="6">
        <v>0.15772799999999998</v>
      </c>
      <c r="Z108" s="6">
        <v>0.6726086</v>
      </c>
      <c r="AA108" s="6" t="s">
        <v>88</v>
      </c>
      <c r="AB108" s="21" t="s">
        <v>89</v>
      </c>
      <c r="AC108" s="21">
        <v>34.159298004093756</v>
      </c>
      <c r="AD108" s="21">
        <v>0.27498721998910081</v>
      </c>
      <c r="AE108" s="21">
        <v>-0.51336789201718114</v>
      </c>
      <c r="AF108" s="21">
        <v>-0.61481800689390598</v>
      </c>
      <c r="AG108" s="6">
        <v>7.77</v>
      </c>
      <c r="AH108" s="6">
        <v>1.7041273426595798</v>
      </c>
      <c r="AI108" s="6">
        <v>2</v>
      </c>
      <c r="AJ108" s="6">
        <v>5.2174185250000003</v>
      </c>
      <c r="AK108" s="6">
        <v>4.6964087862766445E-3</v>
      </c>
      <c r="AL108" s="6">
        <v>2</v>
      </c>
      <c r="AM108" s="21">
        <f>114.170865260313+AM114</f>
        <v>108.553816714532</v>
      </c>
      <c r="AN108" s="21">
        <v>0.17430855000000001</v>
      </c>
      <c r="AO108" s="21">
        <v>1.6122974999999999</v>
      </c>
      <c r="AP108" s="21">
        <v>9.2496753601587525</v>
      </c>
      <c r="AQ108" s="21">
        <v>0.16973945000000001</v>
      </c>
      <c r="AR108" s="21">
        <v>1.679211</v>
      </c>
      <c r="AS108" s="21">
        <v>9.8928740490204241</v>
      </c>
      <c r="AT108" s="6" t="s">
        <v>87</v>
      </c>
      <c r="AU108" s="6">
        <v>4.9768285311303542</v>
      </c>
      <c r="AV108" s="6">
        <v>4.599782687432068</v>
      </c>
      <c r="AW108" t="s">
        <v>74</v>
      </c>
      <c r="AX108" t="s">
        <v>74</v>
      </c>
      <c r="AY108">
        <v>2.3992040402008725</v>
      </c>
      <c r="AZ108">
        <v>1.2792255530217025</v>
      </c>
      <c r="BA108">
        <v>2.2648991587235354</v>
      </c>
      <c r="BB108">
        <v>4.2459898157141431</v>
      </c>
      <c r="BC108">
        <v>26.909171983260926</v>
      </c>
      <c r="BD108" s="6">
        <v>3.7996545768566148</v>
      </c>
      <c r="BE108" s="21">
        <v>88.083286637078189</v>
      </c>
      <c r="BF108" s="21">
        <v>204.95000980874985</v>
      </c>
      <c r="BG108" s="21">
        <v>60.58443221520757</v>
      </c>
      <c r="BH108" s="21">
        <v>152.24699952453511</v>
      </c>
      <c r="BI108" s="21">
        <v>28.790112750719121</v>
      </c>
      <c r="BJ108" s="21">
        <v>200.64826049179399</v>
      </c>
      <c r="BK108" s="21">
        <v>18.880011131453831</v>
      </c>
      <c r="BL108" s="21">
        <v>212.52680323860943</v>
      </c>
      <c r="BM108" s="6">
        <v>1.2540000000000049</v>
      </c>
      <c r="BN108" s="6">
        <v>1.2740000000000009</v>
      </c>
      <c r="BO108" s="6" t="s">
        <v>74</v>
      </c>
      <c r="BP108" s="6" t="s">
        <v>74</v>
      </c>
      <c r="BQ108" s="6">
        <v>0.69262383419689388</v>
      </c>
      <c r="BR108" s="6">
        <v>0.59064464846389286</v>
      </c>
      <c r="BS108" s="6" t="s">
        <v>74</v>
      </c>
      <c r="BT108" s="6" t="s">
        <v>74</v>
      </c>
    </row>
    <row r="109" spans="1:72" ht="15" x14ac:dyDescent="0.2">
      <c r="A109" s="5" t="s">
        <v>72</v>
      </c>
      <c r="B109" s="13">
        <v>43249</v>
      </c>
      <c r="C109" s="5">
        <v>30</v>
      </c>
      <c r="D109" s="5">
        <v>5</v>
      </c>
      <c r="E109" s="5">
        <v>29</v>
      </c>
      <c r="F109" s="6">
        <v>2018</v>
      </c>
      <c r="G109">
        <v>41.578530000000001</v>
      </c>
      <c r="H109">
        <v>-71.355170000000001</v>
      </c>
      <c r="I109">
        <f t="shared" si="25"/>
        <v>9.7536000000000005</v>
      </c>
      <c r="J109" t="s">
        <v>93</v>
      </c>
      <c r="K109" s="31">
        <v>30</v>
      </c>
      <c r="L109" s="31">
        <v>16</v>
      </c>
      <c r="M109" s="26">
        <v>327.24058250000002</v>
      </c>
      <c r="N109" s="26">
        <v>30.52</v>
      </c>
      <c r="O109" s="25">
        <v>-6.3031633269910294</v>
      </c>
      <c r="P109" s="25">
        <f t="shared" si="24"/>
        <v>-6.3031633269910294E-3</v>
      </c>
      <c r="Q109" s="25">
        <v>421.73731924960157</v>
      </c>
      <c r="R109" s="25">
        <f t="shared" si="23"/>
        <v>0.42173731924960156</v>
      </c>
      <c r="S109" s="5">
        <v>0.46027800000000002</v>
      </c>
      <c r="T109" s="6">
        <v>7.175999999999999E-2</v>
      </c>
      <c r="U109" s="6">
        <v>1.1720000000000001E-2</v>
      </c>
      <c r="V109" s="6">
        <v>0.20374666666666669</v>
      </c>
      <c r="W109" s="6">
        <v>1.0911771999999997</v>
      </c>
      <c r="X109" s="6">
        <v>0.20773039999999998</v>
      </c>
      <c r="Y109" s="6">
        <v>0.15772799999999998</v>
      </c>
      <c r="Z109" s="6">
        <v>0.6726086</v>
      </c>
      <c r="AA109" s="6" t="s">
        <v>88</v>
      </c>
      <c r="AB109" s="21" t="s">
        <v>89</v>
      </c>
      <c r="AC109" s="21">
        <v>7.2052909259434017</v>
      </c>
      <c r="AD109" s="21">
        <v>0.23672563657464823</v>
      </c>
      <c r="AE109" s="21">
        <v>-2.3584317129686883E-2</v>
      </c>
      <c r="AF109" s="21">
        <v>-0.21440099537089047</v>
      </c>
      <c r="AG109" s="6">
        <v>7.77</v>
      </c>
      <c r="AH109" s="6">
        <v>1.7041273426595798</v>
      </c>
      <c r="AI109" s="6">
        <v>2</v>
      </c>
      <c r="AJ109" s="6">
        <v>5.2174185250000003</v>
      </c>
      <c r="AK109" s="6">
        <v>4.6964087862766445E-3</v>
      </c>
      <c r="AL109" s="6">
        <v>2</v>
      </c>
      <c r="AM109" s="21">
        <f>70.7254561325865+AM114</f>
        <v>65.108407586805512</v>
      </c>
      <c r="AN109" s="21">
        <v>0.1875037</v>
      </c>
      <c r="AO109" s="21">
        <v>1.711031</v>
      </c>
      <c r="AP109" s="21">
        <v>9.1253185937130841</v>
      </c>
      <c r="AQ109" s="21">
        <v>0.17489640000000001</v>
      </c>
      <c r="AR109" s="21">
        <v>1.6587069999999999</v>
      </c>
      <c r="AS109" s="21">
        <v>9.4839402068881906</v>
      </c>
      <c r="AT109" s="6" t="s">
        <v>87</v>
      </c>
      <c r="AU109" s="6">
        <v>4.8733874820831291</v>
      </c>
      <c r="AV109" s="6">
        <v>4.4985801823344813</v>
      </c>
      <c r="AW109" t="s">
        <v>74</v>
      </c>
      <c r="AX109" t="s">
        <v>74</v>
      </c>
      <c r="AY109">
        <v>2.3992040402008725</v>
      </c>
      <c r="AZ109">
        <v>1.2792255530217025</v>
      </c>
      <c r="BA109">
        <v>2.2648991587235354</v>
      </c>
      <c r="BB109">
        <v>4.2459898157141431</v>
      </c>
      <c r="BC109">
        <v>26.909171983260926</v>
      </c>
      <c r="BD109" s="6">
        <v>3.7996545768566148</v>
      </c>
      <c r="BE109" s="21">
        <v>81.878728275770541</v>
      </c>
      <c r="BF109" s="21">
        <v>266.95257151028903</v>
      </c>
      <c r="BG109" s="21">
        <v>60.495453546909623</v>
      </c>
      <c r="BH109" s="21">
        <v>259.82816608799925</v>
      </c>
      <c r="BI109" s="21">
        <v>29.015215165685401</v>
      </c>
      <c r="BJ109" s="21">
        <v>241.53221848801479</v>
      </c>
      <c r="BK109" s="21">
        <v>11.201439229534822</v>
      </c>
      <c r="BL109" s="21">
        <v>156.1631861399222</v>
      </c>
      <c r="BM109" s="6">
        <v>1.2422999999999931</v>
      </c>
      <c r="BN109" s="6">
        <v>1.398299999999999</v>
      </c>
      <c r="BO109" s="6">
        <v>1.3489000000000004</v>
      </c>
      <c r="BP109" s="6">
        <v>1.4266000000000005</v>
      </c>
      <c r="BQ109" s="6">
        <v>0.68509391212597415</v>
      </c>
      <c r="BR109" s="6">
        <v>0.65634964253649419</v>
      </c>
      <c r="BS109" s="6">
        <v>0.59704020110784717</v>
      </c>
      <c r="BT109" s="6">
        <v>0.60788052519241964</v>
      </c>
    </row>
    <row r="110" spans="1:72" ht="15" x14ac:dyDescent="0.2">
      <c r="A110" s="5" t="s">
        <v>72</v>
      </c>
      <c r="B110" s="13">
        <v>43249</v>
      </c>
      <c r="C110" s="5">
        <v>16</v>
      </c>
      <c r="D110" s="5">
        <v>5</v>
      </c>
      <c r="E110" s="5">
        <v>29</v>
      </c>
      <c r="F110" s="6">
        <v>2018</v>
      </c>
      <c r="G110">
        <v>41.578530000000001</v>
      </c>
      <c r="H110">
        <v>-71.355170000000001</v>
      </c>
      <c r="I110">
        <f t="shared" si="25"/>
        <v>9.7536000000000005</v>
      </c>
      <c r="J110" t="s">
        <v>93</v>
      </c>
      <c r="K110" s="31">
        <v>30</v>
      </c>
      <c r="L110" s="31">
        <v>16</v>
      </c>
      <c r="M110" s="26">
        <v>464.91691250000002</v>
      </c>
      <c r="N110" s="26">
        <v>31.23</v>
      </c>
      <c r="O110" s="25">
        <v>0</v>
      </c>
      <c r="P110" s="25">
        <f t="shared" si="24"/>
        <v>0</v>
      </c>
      <c r="Q110" s="25">
        <v>55.632514281095595</v>
      </c>
      <c r="R110" s="25">
        <f t="shared" si="23"/>
        <v>5.5632514281095592E-2</v>
      </c>
      <c r="S110" s="5">
        <v>0.46027800000000002</v>
      </c>
      <c r="T110" s="6">
        <v>7.175999999999999E-2</v>
      </c>
      <c r="U110" s="6">
        <v>1.1720000000000001E-2</v>
      </c>
      <c r="V110" s="6">
        <v>0.20374666666666669</v>
      </c>
      <c r="W110" s="6">
        <v>1.0911771999999997</v>
      </c>
      <c r="X110" s="6">
        <v>0.20773039999999998</v>
      </c>
      <c r="Y110" s="6">
        <v>0.15772799999999998</v>
      </c>
      <c r="Z110" s="6">
        <v>0.6726086</v>
      </c>
      <c r="AA110" s="6" t="s">
        <v>88</v>
      </c>
      <c r="AB110" s="21" t="s">
        <v>89</v>
      </c>
      <c r="AC110" s="21">
        <v>20.292921759899638</v>
      </c>
      <c r="AD110" s="21">
        <v>0.37082193817048914</v>
      </c>
      <c r="AE110" s="21">
        <v>0.15156171224799569</v>
      </c>
      <c r="AF110" s="21">
        <v>1.7417210761075959</v>
      </c>
      <c r="AG110" s="6">
        <v>7.77</v>
      </c>
      <c r="AH110" s="6">
        <v>1.7041273426595798</v>
      </c>
      <c r="AI110" s="6">
        <v>2</v>
      </c>
      <c r="AJ110" s="6">
        <v>5.2174185250000003</v>
      </c>
      <c r="AK110" s="6">
        <v>4.6964087862766445E-3</v>
      </c>
      <c r="AL110" s="6">
        <v>2</v>
      </c>
      <c r="AM110" s="21">
        <f>183.703651488706+AM114</f>
        <v>178.086602942925</v>
      </c>
      <c r="AN110" s="21">
        <v>0.21737445</v>
      </c>
      <c r="AO110" s="21">
        <v>1.7984209999999998</v>
      </c>
      <c r="AP110" s="21">
        <v>8.2733780349990536</v>
      </c>
      <c r="AQ110" s="21">
        <v>0.18540400000000001</v>
      </c>
      <c r="AR110" s="21">
        <v>1.6835645000000001</v>
      </c>
      <c r="AS110" s="21">
        <v>9.0805187590343248</v>
      </c>
      <c r="AT110" s="6" t="s">
        <v>87</v>
      </c>
      <c r="AU110" s="6">
        <v>5.7462398765908285</v>
      </c>
      <c r="AV110" s="6">
        <v>4.8140424052832529</v>
      </c>
      <c r="AW110" t="s">
        <v>74</v>
      </c>
      <c r="AX110" t="s">
        <v>74</v>
      </c>
      <c r="AY110">
        <v>2.3992040402008725</v>
      </c>
      <c r="AZ110">
        <v>1.2792255530217025</v>
      </c>
      <c r="BA110">
        <v>2.2648991587235354</v>
      </c>
      <c r="BB110">
        <v>4.2459898157141431</v>
      </c>
      <c r="BC110">
        <v>26.909171983260926</v>
      </c>
      <c r="BD110" s="6">
        <v>3.7996545768566148</v>
      </c>
      <c r="BE110" s="21">
        <v>91.82656130021951</v>
      </c>
      <c r="BF110" s="21">
        <v>202.19895063603121</v>
      </c>
      <c r="BG110" s="21">
        <v>91.864060273081918</v>
      </c>
      <c r="BH110" s="21">
        <v>280.46472486868919</v>
      </c>
      <c r="BI110" s="21">
        <v>31.594220783666636</v>
      </c>
      <c r="BJ110" s="21">
        <v>180.63687975205787</v>
      </c>
      <c r="BK110" s="21">
        <v>22.628739887039835</v>
      </c>
      <c r="BL110" s="21">
        <v>204.48538722858993</v>
      </c>
      <c r="BM110" s="6">
        <v>1.3402999999999992</v>
      </c>
      <c r="BN110" s="6">
        <v>1.4162727272727311</v>
      </c>
      <c r="BO110" s="6">
        <v>1.2360000000000042</v>
      </c>
      <c r="BP110" s="6">
        <v>1.3109090909090915</v>
      </c>
      <c r="BQ110" s="6">
        <v>0.72050820657055725</v>
      </c>
      <c r="BR110" s="6">
        <v>0.63116449701950217</v>
      </c>
      <c r="BS110" s="6">
        <v>0.49333752378363854</v>
      </c>
      <c r="BT110" s="6">
        <v>0.52415285320739902</v>
      </c>
    </row>
    <row r="111" spans="1:72" ht="15" x14ac:dyDescent="0.2">
      <c r="A111" s="5" t="s">
        <v>72</v>
      </c>
      <c r="B111" s="13">
        <v>43249</v>
      </c>
      <c r="C111" s="5">
        <v>4</v>
      </c>
      <c r="D111" s="5">
        <v>5</v>
      </c>
      <c r="E111" s="5">
        <v>29</v>
      </c>
      <c r="F111" s="6">
        <v>2018</v>
      </c>
      <c r="G111">
        <v>41.578530000000001</v>
      </c>
      <c r="H111">
        <v>-71.355170000000001</v>
      </c>
      <c r="I111">
        <f t="shared" si="25"/>
        <v>9.7536000000000005</v>
      </c>
      <c r="J111" t="s">
        <v>93</v>
      </c>
      <c r="K111" s="31">
        <v>30</v>
      </c>
      <c r="L111" s="31">
        <v>16</v>
      </c>
      <c r="M111" s="26">
        <v>373.4559835</v>
      </c>
      <c r="N111" s="26">
        <v>0</v>
      </c>
      <c r="O111" s="25">
        <v>0</v>
      </c>
      <c r="P111" s="25">
        <f t="shared" si="24"/>
        <v>0</v>
      </c>
      <c r="Q111" s="25">
        <v>105.3749294391797</v>
      </c>
      <c r="R111" s="25">
        <f t="shared" si="23"/>
        <v>0.1053749294391797</v>
      </c>
      <c r="S111" s="5">
        <v>0.46027800000000002</v>
      </c>
      <c r="T111" s="6">
        <v>7.175999999999999E-2</v>
      </c>
      <c r="U111" s="6">
        <v>1.1720000000000001E-2</v>
      </c>
      <c r="V111" s="6">
        <v>0.20374666666666669</v>
      </c>
      <c r="W111" s="6">
        <v>1.0911771999999997</v>
      </c>
      <c r="X111" s="6">
        <v>0.20773039999999998</v>
      </c>
      <c r="Y111" s="6">
        <v>0.15772799999999998</v>
      </c>
      <c r="Z111" s="6">
        <v>0.6726086</v>
      </c>
      <c r="AA111" s="6" t="s">
        <v>88</v>
      </c>
      <c r="AB111" s="21" t="s">
        <v>89</v>
      </c>
      <c r="AC111" s="21">
        <v>6.0598428407122391</v>
      </c>
      <c r="AD111" s="21">
        <v>3.1359229442203963E-2</v>
      </c>
      <c r="AE111" s="21">
        <v>-0.24651957446805198</v>
      </c>
      <c r="AF111" s="21">
        <v>1.316220448533463</v>
      </c>
      <c r="AG111" s="6">
        <v>7.77</v>
      </c>
      <c r="AH111" s="6">
        <v>1.7041273426595798</v>
      </c>
      <c r="AI111" s="6">
        <v>2</v>
      </c>
      <c r="AJ111" s="6">
        <v>5.2174185250000003</v>
      </c>
      <c r="AK111" s="6">
        <v>4.6964087862766445E-3</v>
      </c>
      <c r="AL111" s="6">
        <v>2</v>
      </c>
      <c r="AM111" s="21">
        <f>151.617303151876+AM114</f>
        <v>146.00025460609501</v>
      </c>
      <c r="AN111" s="21">
        <v>0.18284605000000001</v>
      </c>
      <c r="AO111" s="21">
        <v>1.683322</v>
      </c>
      <c r="AP111" s="21">
        <v>9.2062256745497102</v>
      </c>
      <c r="AQ111" s="21">
        <v>0.1910028</v>
      </c>
      <c r="AR111" s="21">
        <v>1.7564155000000001</v>
      </c>
      <c r="AS111" s="21">
        <v>9.1957578632355137</v>
      </c>
      <c r="AT111" s="6" t="s">
        <v>87</v>
      </c>
      <c r="AU111" s="6">
        <v>4.9189985272459635</v>
      </c>
      <c r="AV111" s="6">
        <v>4.9352134146341511</v>
      </c>
      <c r="AW111" t="s">
        <v>74</v>
      </c>
      <c r="AX111" t="s">
        <v>74</v>
      </c>
      <c r="AY111">
        <v>2.3992040402008725</v>
      </c>
      <c r="AZ111">
        <v>1.2792255530217025</v>
      </c>
      <c r="BA111">
        <v>2.2648991587235354</v>
      </c>
      <c r="BB111">
        <v>4.2459898157141431</v>
      </c>
      <c r="BC111">
        <v>26.909171983260926</v>
      </c>
      <c r="BD111" s="6">
        <v>3.7996545768566148</v>
      </c>
      <c r="BE111" s="21">
        <v>57.55051210791062</v>
      </c>
      <c r="BF111" s="21">
        <v>128.42559744223885</v>
      </c>
      <c r="BG111" s="21">
        <v>28.562214154246952</v>
      </c>
      <c r="BH111" s="21">
        <v>108.41113182182453</v>
      </c>
      <c r="BI111" s="21">
        <v>31.825096794318444</v>
      </c>
      <c r="BJ111" s="21">
        <v>216.80020494252705</v>
      </c>
      <c r="BK111" s="21">
        <v>20.951610711177626</v>
      </c>
      <c r="BL111" s="21">
        <v>181.4257542349319</v>
      </c>
      <c r="BM111" s="6" t="s">
        <v>74</v>
      </c>
      <c r="BN111" s="6">
        <v>1.159833333333333</v>
      </c>
      <c r="BO111" s="6">
        <v>1.2059999999999995</v>
      </c>
      <c r="BP111" s="6" t="s">
        <v>74</v>
      </c>
      <c r="BQ111" s="6" t="s">
        <v>74</v>
      </c>
      <c r="BR111" s="6">
        <v>0.50686472178520403</v>
      </c>
      <c r="BS111" s="6">
        <v>0.52658378378378368</v>
      </c>
      <c r="BT111" s="6" t="s">
        <v>74</v>
      </c>
    </row>
    <row r="112" spans="1:72" ht="15" x14ac:dyDescent="0.2">
      <c r="A112" s="5" t="s">
        <v>72</v>
      </c>
      <c r="B112" s="13">
        <v>43249</v>
      </c>
      <c r="C112" s="5">
        <v>17</v>
      </c>
      <c r="D112" s="5">
        <v>5</v>
      </c>
      <c r="E112" s="5">
        <v>29</v>
      </c>
      <c r="F112" s="6">
        <v>2018</v>
      </c>
      <c r="G112">
        <v>41.578530000000001</v>
      </c>
      <c r="H112">
        <v>-71.355170000000001</v>
      </c>
      <c r="I112">
        <f t="shared" si="25"/>
        <v>9.7536000000000005</v>
      </c>
      <c r="J112" t="s">
        <v>93</v>
      </c>
      <c r="K112" s="31">
        <v>30</v>
      </c>
      <c r="L112" s="31">
        <v>17</v>
      </c>
      <c r="M112" s="26">
        <v>332.28645970000002</v>
      </c>
      <c r="N112" s="26">
        <v>29.94</v>
      </c>
      <c r="O112" s="25">
        <v>0</v>
      </c>
      <c r="P112" s="25">
        <f t="shared" si="24"/>
        <v>0</v>
      </c>
      <c r="Q112" s="25">
        <v>32.980026175637803</v>
      </c>
      <c r="R112" s="25">
        <f t="shared" si="23"/>
        <v>3.2980026175637805E-2</v>
      </c>
      <c r="S112" s="5">
        <v>0.46027800000000002</v>
      </c>
      <c r="T112" s="6">
        <v>7.175999999999999E-2</v>
      </c>
      <c r="U112" s="6">
        <v>1.1720000000000001E-2</v>
      </c>
      <c r="V112" s="6">
        <v>0.20374666666666669</v>
      </c>
      <c r="W112" s="6">
        <v>1.0911771999999997</v>
      </c>
      <c r="X112" s="6">
        <v>0.20773039999999998</v>
      </c>
      <c r="Y112" s="6">
        <v>0.15772799999999998</v>
      </c>
      <c r="Z112" s="6">
        <v>0.6726086</v>
      </c>
      <c r="AA112" s="6" t="s">
        <v>88</v>
      </c>
      <c r="AB112" s="21" t="s">
        <v>89</v>
      </c>
      <c r="AC112" s="21">
        <v>-6.7071374436126359</v>
      </c>
      <c r="AD112" s="21">
        <v>-7.2396992481241998E-2</v>
      </c>
      <c r="AE112" s="21">
        <v>-0.53749894736871062</v>
      </c>
      <c r="AF112" s="21">
        <v>0.64098947368455561</v>
      </c>
      <c r="AG112" s="6">
        <v>7.77</v>
      </c>
      <c r="AH112" s="6">
        <v>1.7041273426595798</v>
      </c>
      <c r="AI112" s="6">
        <v>2</v>
      </c>
      <c r="AJ112" s="6">
        <v>5.2174185250000003</v>
      </c>
      <c r="AK112" s="6">
        <v>4.6964087862766445E-3</v>
      </c>
      <c r="AL112" s="6">
        <v>2</v>
      </c>
      <c r="AM112" s="21">
        <f>74.687498470593+AM114</f>
        <v>69.07044992481201</v>
      </c>
      <c r="AN112" s="21">
        <v>0.45360679999999998</v>
      </c>
      <c r="AO112" s="21">
        <v>4.1580620000000001</v>
      </c>
      <c r="AP112" s="21">
        <v>9.166665931815837</v>
      </c>
      <c r="AQ112" s="21">
        <v>0.17225550000000001</v>
      </c>
      <c r="AR112" s="21">
        <v>1.6146574999999999</v>
      </c>
      <c r="AS112" s="21">
        <v>9.3736194199894918</v>
      </c>
      <c r="AT112" s="6" t="s">
        <v>87</v>
      </c>
      <c r="AU112" s="6">
        <v>10.248635536688939</v>
      </c>
      <c r="AV112" s="6">
        <v>4.3750000000000107</v>
      </c>
      <c r="AW112" t="s">
        <v>74</v>
      </c>
      <c r="AX112" t="s">
        <v>74</v>
      </c>
      <c r="AY112">
        <v>2.3992040402008725</v>
      </c>
      <c r="AZ112">
        <v>1.2792255530217025</v>
      </c>
      <c r="BA112">
        <v>2.2648991587235354</v>
      </c>
      <c r="BB112">
        <v>4.2459898157141431</v>
      </c>
      <c r="BC112">
        <v>26.909171983260926</v>
      </c>
      <c r="BD112" s="6">
        <v>3.7996545768566148</v>
      </c>
      <c r="BE112" s="21">
        <v>124.22986017519462</v>
      </c>
      <c r="BF112" s="21">
        <v>235.52082973744379</v>
      </c>
      <c r="BG112" s="21">
        <v>50.397248482563661</v>
      </c>
      <c r="BH112" s="21">
        <v>131.48039202793504</v>
      </c>
      <c r="BI112" s="21">
        <v>26.522239708540795</v>
      </c>
      <c r="BJ112" s="21">
        <v>146.05662975296002</v>
      </c>
      <c r="BK112" s="21">
        <v>8.2924734804042295</v>
      </c>
      <c r="BL112" s="21">
        <v>87.211035767091104</v>
      </c>
      <c r="BM112" s="6">
        <v>0.84660000000000224</v>
      </c>
      <c r="BN112" s="6">
        <v>1.1308333333333327</v>
      </c>
      <c r="BO112" s="6">
        <v>1.1643000000000043</v>
      </c>
      <c r="BP112" s="6">
        <v>1.0142000000000024</v>
      </c>
      <c r="BQ112" s="6">
        <v>0.48350344827586333</v>
      </c>
      <c r="BR112" s="6">
        <v>0.50785397746117078</v>
      </c>
      <c r="BS112" s="6">
        <v>0.51072466475985479</v>
      </c>
      <c r="BT112" s="6">
        <v>0.43857089697306417</v>
      </c>
    </row>
    <row r="113" spans="1:72" ht="15" x14ac:dyDescent="0.2">
      <c r="A113" s="5" t="s">
        <v>72</v>
      </c>
      <c r="B113" s="13">
        <v>43249</v>
      </c>
      <c r="C113" s="5">
        <v>6</v>
      </c>
      <c r="D113" s="5">
        <v>5</v>
      </c>
      <c r="E113" s="5">
        <v>29</v>
      </c>
      <c r="F113" s="6">
        <v>2018</v>
      </c>
      <c r="G113">
        <v>41.578530000000001</v>
      </c>
      <c r="H113">
        <v>-71.355170000000001</v>
      </c>
      <c r="I113">
        <f t="shared" si="25"/>
        <v>9.7536000000000005</v>
      </c>
      <c r="J113" t="s">
        <v>93</v>
      </c>
      <c r="K113" s="31">
        <v>30</v>
      </c>
      <c r="L113" s="31">
        <v>17</v>
      </c>
      <c r="M113" s="26">
        <v>234.70787999999999</v>
      </c>
      <c r="N113" s="26">
        <v>28.82</v>
      </c>
      <c r="O113" s="25">
        <v>-11.022401223321754</v>
      </c>
      <c r="P113" s="25">
        <f t="shared" si="24"/>
        <v>-1.1022401223321755E-2</v>
      </c>
      <c r="Q113" s="25">
        <v>27.468791280659506</v>
      </c>
      <c r="R113" s="25">
        <f t="shared" si="23"/>
        <v>2.7468791280659505E-2</v>
      </c>
      <c r="S113" s="5">
        <v>0.46027800000000002</v>
      </c>
      <c r="T113" s="6">
        <v>7.175999999999999E-2</v>
      </c>
      <c r="U113" s="6">
        <v>1.1720000000000001E-2</v>
      </c>
      <c r="V113" s="6">
        <v>0.20374666666666669</v>
      </c>
      <c r="W113" s="6">
        <v>1.0911771999999997</v>
      </c>
      <c r="X113" s="6">
        <v>0.20773039999999998</v>
      </c>
      <c r="Y113" s="6">
        <v>0.15772799999999998</v>
      </c>
      <c r="Z113" s="6">
        <v>0.6726086</v>
      </c>
      <c r="AA113" s="6" t="s">
        <v>88</v>
      </c>
      <c r="AB113" s="21" t="s">
        <v>89</v>
      </c>
      <c r="AC113" s="21">
        <v>1.784029097472174</v>
      </c>
      <c r="AD113" s="21">
        <v>-0.40597815884459482</v>
      </c>
      <c r="AE113" s="21">
        <v>-1.5659453610101726</v>
      </c>
      <c r="AF113" s="21">
        <v>3.22600902526941E-2</v>
      </c>
      <c r="AG113" s="6">
        <v>7.77</v>
      </c>
      <c r="AH113" s="6">
        <v>1.7041273426595798</v>
      </c>
      <c r="AI113" s="6">
        <v>2</v>
      </c>
      <c r="AJ113" s="6">
        <v>5.2174185250000003</v>
      </c>
      <c r="AK113" s="6">
        <v>4.6964087862766445E-3</v>
      </c>
      <c r="AL113" s="6">
        <v>2</v>
      </c>
      <c r="AM113" s="21">
        <f>81.2393476974055+AM114</f>
        <v>75.622299151624517</v>
      </c>
      <c r="AN113" s="21">
        <v>0.19347550000000002</v>
      </c>
      <c r="AO113" s="21">
        <v>1.7241029999999999</v>
      </c>
      <c r="AP113" s="21">
        <v>8.9112213174277866</v>
      </c>
      <c r="AQ113" s="21">
        <v>0.18976494999999999</v>
      </c>
      <c r="AR113" s="21">
        <v>1.7464694999999999</v>
      </c>
      <c r="AS113" s="21">
        <v>9.2033302251021585</v>
      </c>
      <c r="AT113" s="6" t="s">
        <v>87</v>
      </c>
      <c r="AU113" s="6">
        <v>4.9153908138597862</v>
      </c>
      <c r="AV113" s="6">
        <v>4.7402725656725302</v>
      </c>
      <c r="AW113" t="s">
        <v>74</v>
      </c>
      <c r="AX113" t="s">
        <v>74</v>
      </c>
      <c r="AY113">
        <v>2.3992040402008725</v>
      </c>
      <c r="AZ113">
        <v>1.2792255530217025</v>
      </c>
      <c r="BA113">
        <v>2.2648991587235354</v>
      </c>
      <c r="BB113">
        <v>4.2459898157141431</v>
      </c>
      <c r="BC113">
        <v>26.909171983260926</v>
      </c>
      <c r="BD113" s="6">
        <v>3.7996545768566148</v>
      </c>
      <c r="BE113" s="21">
        <v>118.98439200017519</v>
      </c>
      <c r="BF113" s="21">
        <v>171.82030715633095</v>
      </c>
      <c r="BG113" s="21">
        <v>73.832526120151257</v>
      </c>
      <c r="BH113" s="21">
        <v>152.58649637418358</v>
      </c>
      <c r="BI113" s="21">
        <v>30.263408790192724</v>
      </c>
      <c r="BJ113" s="21">
        <v>143.82338723294185</v>
      </c>
      <c r="BK113" s="21">
        <v>17.737320909509297</v>
      </c>
      <c r="BL113" s="21">
        <v>100.70654098007689</v>
      </c>
      <c r="BM113" s="6">
        <v>1.1717999999999975</v>
      </c>
      <c r="BN113" s="6">
        <v>1.2221000000000011</v>
      </c>
      <c r="BO113" s="6">
        <v>1.1347499999999979</v>
      </c>
      <c r="BP113" s="6">
        <v>1.1401666666666679</v>
      </c>
      <c r="BQ113" s="6">
        <v>0.5734968947210245</v>
      </c>
      <c r="BR113" s="6">
        <v>0.5657473239745564</v>
      </c>
      <c r="BS113" s="6">
        <v>0.42486749922501144</v>
      </c>
      <c r="BT113" s="6">
        <v>0.44306633400884576</v>
      </c>
    </row>
    <row r="114" spans="1:72" ht="15" x14ac:dyDescent="0.2">
      <c r="A114" s="5" t="s">
        <v>72</v>
      </c>
      <c r="B114" s="13">
        <v>43249</v>
      </c>
      <c r="C114" s="5" t="s">
        <v>98</v>
      </c>
      <c r="D114" s="5">
        <v>5</v>
      </c>
      <c r="E114" s="5">
        <v>29</v>
      </c>
      <c r="F114" s="6">
        <v>2018</v>
      </c>
      <c r="G114">
        <v>41.578530000000001</v>
      </c>
      <c r="H114">
        <v>-71.355170000000001</v>
      </c>
      <c r="I114">
        <f t="shared" si="25"/>
        <v>9.7536000000000005</v>
      </c>
      <c r="J114" t="s">
        <v>93</v>
      </c>
      <c r="K114" s="31">
        <v>30</v>
      </c>
      <c r="L114" s="31">
        <v>17</v>
      </c>
      <c r="M114" s="26">
        <v>0</v>
      </c>
      <c r="N114" s="26">
        <v>0</v>
      </c>
      <c r="O114" s="25">
        <v>0</v>
      </c>
      <c r="P114" s="25">
        <f t="shared" si="24"/>
        <v>0</v>
      </c>
      <c r="Q114" s="25">
        <v>701.7724529368295</v>
      </c>
      <c r="R114" s="25">
        <f t="shared" si="23"/>
        <v>0.70177245293682955</v>
      </c>
      <c r="S114" s="5">
        <v>0.46027800000000002</v>
      </c>
      <c r="T114" s="6">
        <v>7.175999999999999E-2</v>
      </c>
      <c r="U114" s="6">
        <v>1.1720000000000001E-2</v>
      </c>
      <c r="V114" s="6">
        <v>0.20374666666666669</v>
      </c>
      <c r="W114" s="6">
        <v>1.0911771999999997</v>
      </c>
      <c r="X114" s="6">
        <v>0.20773039999999998</v>
      </c>
      <c r="Y114" s="6">
        <v>0.15772799999999998</v>
      </c>
      <c r="Z114" s="6">
        <v>0.6726086</v>
      </c>
      <c r="AA114" s="6" t="s">
        <v>88</v>
      </c>
      <c r="AB114" s="21" t="s">
        <v>89</v>
      </c>
      <c r="AC114" s="21">
        <v>-2.4491640933593208</v>
      </c>
      <c r="AD114" s="21">
        <v>-0.11659628964701547</v>
      </c>
      <c r="AE114" s="21">
        <v>-1.4796065589479759</v>
      </c>
      <c r="AF114" s="21">
        <v>-2.4253347935388314</v>
      </c>
      <c r="AG114" s="6">
        <v>7.77</v>
      </c>
      <c r="AH114" s="6">
        <v>1.7041273426595798</v>
      </c>
      <c r="AI114" s="6">
        <v>2</v>
      </c>
      <c r="AJ114" s="6">
        <v>5.2174185250000003</v>
      </c>
      <c r="AK114" s="6">
        <v>4.6964087862766445E-3</v>
      </c>
      <c r="AL114" s="6">
        <v>2</v>
      </c>
      <c r="AM114" s="21">
        <v>-5.6170485457809827</v>
      </c>
      <c r="AN114" s="21" t="s">
        <v>74</v>
      </c>
      <c r="AO114" s="21" t="s">
        <v>74</v>
      </c>
      <c r="AP114" s="21" t="s">
        <v>74</v>
      </c>
      <c r="AQ114" s="21" t="s">
        <v>74</v>
      </c>
      <c r="AR114" s="21" t="s">
        <v>74</v>
      </c>
      <c r="AS114" s="21" t="s">
        <v>74</v>
      </c>
      <c r="AT114" s="6" t="s">
        <v>74</v>
      </c>
      <c r="AU114" s="6" t="s">
        <v>74</v>
      </c>
      <c r="AV114" s="6" t="s">
        <v>74</v>
      </c>
      <c r="AW114" t="s">
        <v>74</v>
      </c>
      <c r="AX114" t="s">
        <v>74</v>
      </c>
      <c r="AY114">
        <v>2.3992040402008725</v>
      </c>
      <c r="AZ114">
        <v>1.2792255530217025</v>
      </c>
      <c r="BA114">
        <v>2.2648991587235354</v>
      </c>
      <c r="BB114">
        <v>4.2459898157141431</v>
      </c>
      <c r="BC114" s="6">
        <v>26.909171983260926</v>
      </c>
      <c r="BD114" s="6">
        <v>3.7996545768566148</v>
      </c>
      <c r="BE114" s="21" t="s">
        <v>74</v>
      </c>
      <c r="BF114" s="21" t="s">
        <v>74</v>
      </c>
      <c r="BG114" s="21" t="s">
        <v>74</v>
      </c>
      <c r="BH114" s="21" t="s">
        <v>74</v>
      </c>
      <c r="BI114" s="21" t="s">
        <v>74</v>
      </c>
      <c r="BJ114" s="21" t="s">
        <v>74</v>
      </c>
      <c r="BK114" s="21" t="s">
        <v>74</v>
      </c>
      <c r="BL114" s="21" t="s">
        <v>74</v>
      </c>
      <c r="BM114" s="6" t="s">
        <v>74</v>
      </c>
      <c r="BN114" s="6" t="s">
        <v>74</v>
      </c>
      <c r="BO114" s="6" t="s">
        <v>74</v>
      </c>
      <c r="BP114" s="6" t="s">
        <v>74</v>
      </c>
      <c r="BQ114" s="6" t="s">
        <v>74</v>
      </c>
      <c r="BR114" s="6" t="s">
        <v>74</v>
      </c>
      <c r="BS114" s="6" t="s">
        <v>74</v>
      </c>
      <c r="BT114" s="6" t="s">
        <v>74</v>
      </c>
    </row>
    <row r="115" spans="1:72" ht="15" x14ac:dyDescent="0.2">
      <c r="A115" s="5" t="s">
        <v>79</v>
      </c>
      <c r="B115" s="13">
        <v>43249</v>
      </c>
      <c r="C115" s="5">
        <v>18</v>
      </c>
      <c r="D115" s="5">
        <v>5</v>
      </c>
      <c r="E115" s="5">
        <v>29</v>
      </c>
      <c r="F115" s="6">
        <v>2018</v>
      </c>
      <c r="G115">
        <v>41.779310000000002</v>
      </c>
      <c r="H115">
        <v>-71.379549999999995</v>
      </c>
      <c r="I115">
        <f>9.7*0.3048</f>
        <v>2.9565600000000001</v>
      </c>
      <c r="J115" t="s">
        <v>93</v>
      </c>
      <c r="K115" s="25">
        <v>26</v>
      </c>
      <c r="L115" s="25">
        <v>16</v>
      </c>
      <c r="M115" s="29">
        <v>0</v>
      </c>
      <c r="N115" s="29">
        <v>0</v>
      </c>
      <c r="O115" s="25">
        <v>91.772140853811919</v>
      </c>
      <c r="P115" s="25">
        <f t="shared" si="24"/>
        <v>9.1772140853811926E-2</v>
      </c>
      <c r="Q115" s="25">
        <v>0</v>
      </c>
      <c r="R115" s="25">
        <f t="shared" si="23"/>
        <v>0</v>
      </c>
      <c r="S115" s="5">
        <v>0.67068179999999999</v>
      </c>
      <c r="T115" s="6">
        <v>5.2142800000000003E-2</v>
      </c>
      <c r="U115" s="6">
        <v>2.8542000000000005E-2</v>
      </c>
      <c r="V115" s="6">
        <v>3.8346800000000007E-2</v>
      </c>
      <c r="W115" s="6">
        <v>2.3198175000000001</v>
      </c>
      <c r="X115" s="6">
        <v>2.5682800000000001</v>
      </c>
      <c r="Y115" s="6">
        <v>0.14308166666666666</v>
      </c>
      <c r="Z115" s="6">
        <v>0.35470666666666667</v>
      </c>
      <c r="AA115" s="6" t="s">
        <v>88</v>
      </c>
      <c r="AB115" s="21" t="s">
        <v>89</v>
      </c>
      <c r="AC115" s="21">
        <v>71.364313386405811</v>
      </c>
      <c r="AD115" s="21">
        <v>0.25557308975230808</v>
      </c>
      <c r="AE115" s="21">
        <v>-16.800894695693991</v>
      </c>
      <c r="AF115" s="21">
        <v>-1.2859978411363922</v>
      </c>
      <c r="AG115" s="6">
        <v>10.630424400000001</v>
      </c>
      <c r="AH115" s="6">
        <v>3.9514611856944638E-2</v>
      </c>
      <c r="AI115" s="6">
        <v>2</v>
      </c>
      <c r="AJ115" s="6">
        <v>6.4736206500000009</v>
      </c>
      <c r="AK115" s="6">
        <v>0.49555209951741952</v>
      </c>
      <c r="AL115" s="6">
        <v>2</v>
      </c>
      <c r="AM115" s="21">
        <f>172.264936903118+AM119</f>
        <v>173.59036100456731</v>
      </c>
      <c r="AN115" s="21">
        <v>0.27227555000000003</v>
      </c>
      <c r="AO115" s="21">
        <v>3.1049185000000001</v>
      </c>
      <c r="AP115" s="21">
        <v>11.40358912138824</v>
      </c>
      <c r="AQ115" s="21">
        <v>0.24946699999999999</v>
      </c>
      <c r="AR115" s="21">
        <v>2.9384430000000004</v>
      </c>
      <c r="AS115" s="21">
        <v>11.778884581928674</v>
      </c>
      <c r="AT115" s="6" t="s">
        <v>87</v>
      </c>
      <c r="AU115" s="6">
        <v>7.6000000000000068</v>
      </c>
      <c r="AV115" s="6">
        <v>6.8295613859403197</v>
      </c>
      <c r="AW115" t="s">
        <v>74</v>
      </c>
      <c r="AX115" t="s">
        <v>74</v>
      </c>
      <c r="AY115">
        <v>9.6474278415975583</v>
      </c>
      <c r="AZ115">
        <v>3.6727490956306443</v>
      </c>
      <c r="BA115">
        <v>7.1056929720649151</v>
      </c>
      <c r="BB115">
        <v>4.3377837874856144</v>
      </c>
      <c r="BC115" s="6">
        <v>3.0603536668085969</v>
      </c>
      <c r="BD115" s="6">
        <v>6.4035087719297046</v>
      </c>
      <c r="BE115" s="21">
        <v>35.84246678762095</v>
      </c>
      <c r="BF115" s="21">
        <v>162.20285159339238</v>
      </c>
      <c r="BG115" s="21">
        <v>32.378431795798036</v>
      </c>
      <c r="BH115" s="21">
        <v>212.95849959304019</v>
      </c>
      <c r="BI115" s="21">
        <v>58.837122213510447</v>
      </c>
      <c r="BJ115" s="21">
        <v>291.41584361915028</v>
      </c>
      <c r="BK115" s="21">
        <v>20.769206291026705</v>
      </c>
      <c r="BL115" s="21">
        <v>127.72671564620754</v>
      </c>
      <c r="BM115" s="6">
        <v>1.1363999999999983</v>
      </c>
      <c r="BN115" s="6">
        <v>1.0202999999999989</v>
      </c>
      <c r="BO115" s="6">
        <v>1.0302999999999969</v>
      </c>
      <c r="BP115" s="6">
        <v>0.84025000000000483</v>
      </c>
      <c r="BQ115" s="6">
        <v>0.55702553002463251</v>
      </c>
      <c r="BR115" s="6">
        <v>0.50956550013777846</v>
      </c>
      <c r="BS115" s="6">
        <v>0.52862516579250329</v>
      </c>
      <c r="BT115" s="6">
        <v>0.39558827185607315</v>
      </c>
    </row>
    <row r="116" spans="1:72" ht="15" x14ac:dyDescent="0.2">
      <c r="A116" s="5" t="s">
        <v>79</v>
      </c>
      <c r="B116" s="13">
        <v>43249</v>
      </c>
      <c r="C116" s="5">
        <v>9</v>
      </c>
      <c r="D116" s="5">
        <v>5</v>
      </c>
      <c r="E116" s="5">
        <v>29</v>
      </c>
      <c r="F116" s="6">
        <v>2018</v>
      </c>
      <c r="G116">
        <v>41.779310000000002</v>
      </c>
      <c r="H116">
        <v>-71.379549999999995</v>
      </c>
      <c r="I116">
        <f>9.7*0.3048</f>
        <v>2.9565600000000001</v>
      </c>
      <c r="J116" t="s">
        <v>93</v>
      </c>
      <c r="K116" s="25">
        <v>26</v>
      </c>
      <c r="L116" s="25">
        <v>16</v>
      </c>
      <c r="M116" s="29">
        <v>301.11579032192702</v>
      </c>
      <c r="N116" s="29">
        <v>-44.080162248630799</v>
      </c>
      <c r="O116" s="25">
        <v>-14.022431826221139</v>
      </c>
      <c r="P116" s="25">
        <f t="shared" si="24"/>
        <v>-1.4022431826221139E-2</v>
      </c>
      <c r="Q116" s="25">
        <v>0</v>
      </c>
      <c r="R116" s="25">
        <f t="shared" si="23"/>
        <v>0</v>
      </c>
      <c r="S116" s="5">
        <v>0.67068179999999999</v>
      </c>
      <c r="T116" s="6">
        <v>5.2142800000000003E-2</v>
      </c>
      <c r="U116" s="6">
        <v>2.8542000000000005E-2</v>
      </c>
      <c r="V116" s="6">
        <v>3.8346800000000007E-2</v>
      </c>
      <c r="W116" s="6">
        <v>2.3198175000000001</v>
      </c>
      <c r="X116" s="6">
        <v>2.5682800000000001</v>
      </c>
      <c r="Y116" s="6">
        <v>0.14308166666666666</v>
      </c>
      <c r="Z116" s="6">
        <v>0.35470666666666667</v>
      </c>
      <c r="AA116" s="6" t="s">
        <v>88</v>
      </c>
      <c r="AB116" s="21" t="s">
        <v>89</v>
      </c>
      <c r="AC116" s="21">
        <v>-18.466504677745505</v>
      </c>
      <c r="AD116" s="21">
        <v>0.31925229857855153</v>
      </c>
      <c r="AE116" s="21">
        <v>-7.4973784407665667</v>
      </c>
      <c r="AF116" s="21">
        <v>2.1702319652472584</v>
      </c>
      <c r="AG116" s="6">
        <v>10.630424400000001</v>
      </c>
      <c r="AH116" s="6">
        <v>3.9514611856944638E-2</v>
      </c>
      <c r="AI116" s="6">
        <v>2</v>
      </c>
      <c r="AJ116" s="6">
        <v>6.4736206500000009</v>
      </c>
      <c r="AK116" s="6">
        <v>0.49555209951741952</v>
      </c>
      <c r="AL116" s="6">
        <v>2</v>
      </c>
      <c r="AM116" s="21">
        <f>106.650593855897+AM119</f>
        <v>107.9760179573463</v>
      </c>
      <c r="AN116" s="21">
        <v>0.35682605000000001</v>
      </c>
      <c r="AO116" s="21">
        <v>3.9586549999999998</v>
      </c>
      <c r="AP116" s="21">
        <v>11.094075110267314</v>
      </c>
      <c r="AQ116" s="21">
        <v>0.27280844999999998</v>
      </c>
      <c r="AR116" s="21">
        <v>3.318486</v>
      </c>
      <c r="AS116" s="21">
        <v>12.16416133737793</v>
      </c>
      <c r="AT116" s="6" t="s">
        <v>87</v>
      </c>
      <c r="AU116" s="6">
        <v>9.8277608915906747</v>
      </c>
      <c r="AV116" s="6">
        <v>6.472029399755014</v>
      </c>
      <c r="AW116" t="s">
        <v>74</v>
      </c>
      <c r="AX116" t="s">
        <v>74</v>
      </c>
      <c r="AY116">
        <v>9.6474278415975583</v>
      </c>
      <c r="AZ116">
        <v>3.6727490956306443</v>
      </c>
      <c r="BA116">
        <v>7.1056929720649151</v>
      </c>
      <c r="BB116">
        <v>4.3377837874856144</v>
      </c>
      <c r="BC116" s="6">
        <v>3.0603536668085969</v>
      </c>
      <c r="BD116" s="6">
        <v>6.4035087719297046</v>
      </c>
      <c r="BE116" s="21">
        <v>35.234675380401498</v>
      </c>
      <c r="BF116" s="21">
        <v>215.03961693971428</v>
      </c>
      <c r="BG116" s="21">
        <v>38.773675946162882</v>
      </c>
      <c r="BH116" s="21">
        <v>217.89679225540576</v>
      </c>
      <c r="BI116" s="21">
        <v>32.714001339428911</v>
      </c>
      <c r="BJ116" s="21">
        <v>185.61789487423965</v>
      </c>
      <c r="BK116" s="21">
        <v>32.783821209541607</v>
      </c>
      <c r="BL116" s="21">
        <v>178.2623401905484</v>
      </c>
      <c r="BM116" s="6">
        <v>0.87275000000000014</v>
      </c>
      <c r="BN116" s="6">
        <v>1.0775000000000026</v>
      </c>
      <c r="BO116" s="6">
        <v>1.0912000000000006</v>
      </c>
      <c r="BP116" s="6">
        <v>0.99569999999999936</v>
      </c>
      <c r="BQ116" s="6">
        <v>0.44162307135733425</v>
      </c>
      <c r="BR116" s="6">
        <v>0.54799268990073513</v>
      </c>
      <c r="BS116" s="6">
        <v>0.49803005667895051</v>
      </c>
      <c r="BT116" s="6">
        <v>0.42921395344992869</v>
      </c>
    </row>
    <row r="117" spans="1:72" ht="15" x14ac:dyDescent="0.2">
      <c r="A117" s="5" t="s">
        <v>79</v>
      </c>
      <c r="B117" s="13">
        <v>43249</v>
      </c>
      <c r="C117" s="5">
        <v>5</v>
      </c>
      <c r="D117" s="5">
        <v>5</v>
      </c>
      <c r="E117" s="5">
        <v>29</v>
      </c>
      <c r="F117" s="6">
        <v>2018</v>
      </c>
      <c r="G117">
        <v>41.779310000000002</v>
      </c>
      <c r="H117">
        <v>-71.379549999999995</v>
      </c>
      <c r="I117">
        <f>9.7*0.3048</f>
        <v>2.9565600000000001</v>
      </c>
      <c r="J117" t="s">
        <v>93</v>
      </c>
      <c r="K117" s="25">
        <v>26</v>
      </c>
      <c r="L117" s="25">
        <v>16</v>
      </c>
      <c r="M117" s="29">
        <v>383.83677302793598</v>
      </c>
      <c r="N117" s="29">
        <v>-66.646309639753298</v>
      </c>
      <c r="O117" s="25">
        <v>-19.964412449129259</v>
      </c>
      <c r="P117" s="25">
        <f t="shared" si="24"/>
        <v>-1.9964412449129259E-2</v>
      </c>
      <c r="Q117" s="25">
        <v>414.69268022448222</v>
      </c>
      <c r="R117" s="25">
        <f t="shared" si="23"/>
        <v>0.41469268022448219</v>
      </c>
      <c r="S117" s="5">
        <v>0.67068179999999999</v>
      </c>
      <c r="T117" s="6">
        <v>5.2142800000000003E-2</v>
      </c>
      <c r="U117" s="6">
        <v>2.8542000000000005E-2</v>
      </c>
      <c r="V117" s="6">
        <v>3.8346800000000007E-2</v>
      </c>
      <c r="W117" s="6">
        <v>2.3198175000000001</v>
      </c>
      <c r="X117" s="6">
        <v>2.5682800000000001</v>
      </c>
      <c r="Y117" s="6">
        <v>0.14308166666666666</v>
      </c>
      <c r="Z117" s="6">
        <v>0.35470666666666667</v>
      </c>
      <c r="AA117" s="6" t="s">
        <v>88</v>
      </c>
      <c r="AB117" s="21" t="s">
        <v>89</v>
      </c>
      <c r="AC117" s="21">
        <v>-11.365167396247463</v>
      </c>
      <c r="AD117" s="21">
        <v>-0.35044983832665971</v>
      </c>
      <c r="AE117" s="21">
        <v>-12.28834376256866</v>
      </c>
      <c r="AF117" s="21">
        <v>-0.26316820031439392</v>
      </c>
      <c r="AG117" s="6">
        <v>10.630424400000001</v>
      </c>
      <c r="AH117" s="6">
        <v>3.9514611856944638E-2</v>
      </c>
      <c r="AI117" s="6">
        <v>2</v>
      </c>
      <c r="AJ117" s="6">
        <v>6.4736206500000009</v>
      </c>
      <c r="AK117" s="6">
        <v>0.49555209951741952</v>
      </c>
      <c r="AL117" s="6">
        <v>2</v>
      </c>
      <c r="AM117" s="21">
        <f>95.4887210882195+AM119</f>
        <v>96.814145189668807</v>
      </c>
      <c r="AN117" s="21">
        <v>0.31778419999999996</v>
      </c>
      <c r="AO117" s="21">
        <v>3.7195724999999999</v>
      </c>
      <c r="AP117" s="21">
        <v>11.704711876801932</v>
      </c>
      <c r="AQ117" s="21">
        <v>0.30445745000000002</v>
      </c>
      <c r="AR117" s="21">
        <v>3.5164840000000002</v>
      </c>
      <c r="AS117" s="21">
        <v>11.550001486250377</v>
      </c>
      <c r="AT117" s="6" t="s">
        <v>87</v>
      </c>
      <c r="AU117" s="6">
        <v>9.2142567841231013</v>
      </c>
      <c r="AV117" s="6">
        <v>7.7804583835946861</v>
      </c>
      <c r="AW117" t="s">
        <v>74</v>
      </c>
      <c r="AX117" t="s">
        <v>74</v>
      </c>
      <c r="AY117">
        <v>9.6474278415975583</v>
      </c>
      <c r="AZ117">
        <v>3.6727490956306443</v>
      </c>
      <c r="BA117">
        <v>7.1056929720649151</v>
      </c>
      <c r="BB117">
        <v>4.3377837874856144</v>
      </c>
      <c r="BC117" s="6">
        <v>3.0603536668085969</v>
      </c>
      <c r="BD117" s="6">
        <v>6.4035087719297046</v>
      </c>
      <c r="BE117" s="21">
        <v>36.825266943348986</v>
      </c>
      <c r="BF117" s="21">
        <v>198.52268880060498</v>
      </c>
      <c r="BG117" s="21">
        <v>35.695175082650266</v>
      </c>
      <c r="BH117" s="21">
        <v>203.08212724857552</v>
      </c>
      <c r="BI117" s="21">
        <v>26.435721967105113</v>
      </c>
      <c r="BJ117" s="21">
        <v>205.70019889172985</v>
      </c>
      <c r="BK117" s="21">
        <v>16.985855386884317</v>
      </c>
      <c r="BL117" s="21">
        <v>127.70359879439972</v>
      </c>
      <c r="BM117" s="6">
        <v>0.93390000000000128</v>
      </c>
      <c r="BN117" s="6">
        <v>0.99609999999999843</v>
      </c>
      <c r="BO117" s="6">
        <v>0.96229999999999905</v>
      </c>
      <c r="BP117" s="6">
        <v>1.0613000000000028</v>
      </c>
      <c r="BQ117" s="6">
        <v>0.60769450711986406</v>
      </c>
      <c r="BR117" s="6">
        <v>0.58678999546793476</v>
      </c>
      <c r="BS117" s="6">
        <v>0.54184892307692245</v>
      </c>
      <c r="BT117" s="6">
        <v>0.55104495721585112</v>
      </c>
    </row>
    <row r="118" spans="1:72" ht="15" x14ac:dyDescent="0.2">
      <c r="A118" s="5" t="s">
        <v>79</v>
      </c>
      <c r="B118" s="13">
        <v>43249</v>
      </c>
      <c r="C118" s="5">
        <v>3</v>
      </c>
      <c r="D118" s="5">
        <v>5</v>
      </c>
      <c r="E118" s="5">
        <v>29</v>
      </c>
      <c r="F118" s="6">
        <v>2018</v>
      </c>
      <c r="G118">
        <v>41.779310000000002</v>
      </c>
      <c r="H118">
        <v>-71.379549999999995</v>
      </c>
      <c r="I118">
        <f>9.7*0.3048</f>
        <v>2.9565600000000001</v>
      </c>
      <c r="J118" t="s">
        <v>93</v>
      </c>
      <c r="K118" s="25">
        <v>26</v>
      </c>
      <c r="L118" s="25">
        <v>16</v>
      </c>
      <c r="M118" s="29">
        <v>600.98828818136303</v>
      </c>
      <c r="N118" s="29">
        <v>0</v>
      </c>
      <c r="O118" s="25">
        <v>-26.47998695586487</v>
      </c>
      <c r="P118" s="25">
        <f t="shared" si="24"/>
        <v>-2.647998695586487E-2</v>
      </c>
      <c r="Q118" s="25">
        <v>-210.73372419958949</v>
      </c>
      <c r="R118" s="25">
        <f t="shared" si="23"/>
        <v>-0.21073372419958949</v>
      </c>
      <c r="S118" s="5">
        <v>0.67068179999999999</v>
      </c>
      <c r="T118" s="6">
        <v>5.2142800000000003E-2</v>
      </c>
      <c r="U118" s="6">
        <v>2.8542000000000005E-2</v>
      </c>
      <c r="V118" s="6">
        <v>3.8346800000000007E-2</v>
      </c>
      <c r="W118" s="6">
        <v>2.3198175000000001</v>
      </c>
      <c r="X118" s="6">
        <v>2.5682800000000001</v>
      </c>
      <c r="Y118" s="6">
        <v>0.14308166666666666</v>
      </c>
      <c r="Z118" s="6">
        <v>0.35470666666666667</v>
      </c>
      <c r="AA118" s="6" t="s">
        <v>88</v>
      </c>
      <c r="AB118" s="21" t="s">
        <v>89</v>
      </c>
      <c r="AC118" s="21">
        <v>-13.047787245816137</v>
      </c>
      <c r="AD118" s="21">
        <v>-0.40853116945084683</v>
      </c>
      <c r="AE118" s="21">
        <v>-16.020770405719027</v>
      </c>
      <c r="AF118" s="21">
        <v>-3.8981587016684784</v>
      </c>
      <c r="AG118" s="6">
        <v>10.630424400000001</v>
      </c>
      <c r="AH118" s="6">
        <v>3.9514611856944638E-2</v>
      </c>
      <c r="AI118" s="6">
        <v>2</v>
      </c>
      <c r="AJ118" s="6">
        <v>6.4736206500000009</v>
      </c>
      <c r="AK118" s="6">
        <v>0.49555209951741952</v>
      </c>
      <c r="AL118" s="6">
        <v>2</v>
      </c>
      <c r="AM118" s="21">
        <f>96.7653384116772+AM119</f>
        <v>98.090762513126506</v>
      </c>
      <c r="AN118" s="21">
        <v>0.32036419999999999</v>
      </c>
      <c r="AO118" s="21">
        <v>3.4597799999999999</v>
      </c>
      <c r="AP118" s="21">
        <v>10.799521294826326</v>
      </c>
      <c r="AQ118" s="21">
        <v>0.30781494999999998</v>
      </c>
      <c r="AR118" s="21">
        <v>3.5406455000000001</v>
      </c>
      <c r="AS118" s="21">
        <v>11.502513117052958</v>
      </c>
      <c r="AT118" s="6" t="s">
        <v>87</v>
      </c>
      <c r="AU118" s="6">
        <v>8.0581761006289181</v>
      </c>
      <c r="AV118" s="6">
        <v>8.2336523125996628</v>
      </c>
      <c r="AW118" t="s">
        <v>74</v>
      </c>
      <c r="AX118" t="s">
        <v>74</v>
      </c>
      <c r="AY118">
        <v>9.6474278415975583</v>
      </c>
      <c r="AZ118">
        <v>3.6727490956306443</v>
      </c>
      <c r="BA118">
        <v>7.1056929720649151</v>
      </c>
      <c r="BB118">
        <v>4.3377837874856144</v>
      </c>
      <c r="BC118" s="6">
        <v>3.0603536668085969</v>
      </c>
      <c r="BD118" s="6">
        <v>6.4035087719297046</v>
      </c>
      <c r="BE118" s="21">
        <v>124.93127729388627</v>
      </c>
      <c r="BF118" s="21">
        <v>318.61999052185143</v>
      </c>
      <c r="BG118" s="21">
        <v>37.642028015313521</v>
      </c>
      <c r="BH118" s="21">
        <v>151.55678604885182</v>
      </c>
      <c r="BI118" s="21">
        <v>56.6524100819476</v>
      </c>
      <c r="BJ118" s="21">
        <v>305.10262013747501</v>
      </c>
      <c r="BK118" s="21">
        <v>50.772197184891262</v>
      </c>
      <c r="BL118" s="21">
        <v>291.99824044035938</v>
      </c>
      <c r="BM118" s="6">
        <v>0.95360000000000156</v>
      </c>
      <c r="BN118" s="6">
        <v>0.93469999999999942</v>
      </c>
      <c r="BO118" s="6">
        <v>1.0121000000000038</v>
      </c>
      <c r="BP118" s="6" t="s">
        <v>74</v>
      </c>
      <c r="BQ118" s="6">
        <v>0.56447436505248993</v>
      </c>
      <c r="BR118" s="6">
        <v>0.49009571048103862</v>
      </c>
      <c r="BS118" s="6">
        <v>0.52249314275272318</v>
      </c>
      <c r="BT118" s="6" t="s">
        <v>74</v>
      </c>
    </row>
    <row r="119" spans="1:72" ht="15" x14ac:dyDescent="0.2">
      <c r="A119" s="5" t="s">
        <v>79</v>
      </c>
      <c r="B119" s="13">
        <v>43249</v>
      </c>
      <c r="C119" s="5" t="s">
        <v>99</v>
      </c>
      <c r="D119" s="5">
        <v>5</v>
      </c>
      <c r="E119" s="5">
        <v>29</v>
      </c>
      <c r="F119" s="6">
        <v>2018</v>
      </c>
      <c r="G119">
        <v>41.779310000000002</v>
      </c>
      <c r="H119">
        <v>-71.379549999999995</v>
      </c>
      <c r="I119">
        <f>9.7*0.3048</f>
        <v>2.9565600000000001</v>
      </c>
      <c r="J119" t="s">
        <v>93</v>
      </c>
      <c r="K119" s="25">
        <v>26</v>
      </c>
      <c r="L119" s="25">
        <v>16</v>
      </c>
      <c r="M119" s="29">
        <v>0</v>
      </c>
      <c r="N119" s="29">
        <v>0</v>
      </c>
      <c r="O119" s="25">
        <v>4.4081372071553107</v>
      </c>
      <c r="P119" s="25">
        <f t="shared" si="24"/>
        <v>4.4081372071553106E-3</v>
      </c>
      <c r="Q119" s="25">
        <v>224.37478177939386</v>
      </c>
      <c r="R119" s="25">
        <f t="shared" si="23"/>
        <v>0.22437478177939385</v>
      </c>
      <c r="S119" s="5">
        <v>0.67068179999999999</v>
      </c>
      <c r="T119" s="6">
        <v>5.2142800000000003E-2</v>
      </c>
      <c r="U119" s="6">
        <v>2.8542000000000005E-2</v>
      </c>
      <c r="V119" s="6">
        <v>3.8346800000000007E-2</v>
      </c>
      <c r="W119" s="6">
        <v>2.3198175000000001</v>
      </c>
      <c r="X119" s="6">
        <v>2.5682800000000001</v>
      </c>
      <c r="Y119" s="6">
        <v>0.14308166666666666</v>
      </c>
      <c r="Z119" s="6">
        <v>0.35470666666666667</v>
      </c>
      <c r="AA119" s="6" t="s">
        <v>88</v>
      </c>
      <c r="AB119" s="21" t="s">
        <v>89</v>
      </c>
      <c r="AC119" s="21">
        <v>-21.949112260795506</v>
      </c>
      <c r="AD119" s="21">
        <v>-0.48234251207566675</v>
      </c>
      <c r="AE119" s="21">
        <v>-17.338054608637144</v>
      </c>
      <c r="AF119" s="21">
        <v>1.1000240515260753</v>
      </c>
      <c r="AG119" s="6">
        <v>10.630424400000001</v>
      </c>
      <c r="AH119" s="6">
        <v>3.9514611856944638E-2</v>
      </c>
      <c r="AI119" s="6">
        <v>2</v>
      </c>
      <c r="AJ119" s="6">
        <v>6.4736206500000009</v>
      </c>
      <c r="AK119" s="6">
        <v>0.49555209951741952</v>
      </c>
      <c r="AL119" s="6">
        <v>2</v>
      </c>
      <c r="AM119" s="21">
        <v>1.3254241014493002</v>
      </c>
      <c r="AN119" s="21" t="s">
        <v>74</v>
      </c>
      <c r="AO119" s="21" t="s">
        <v>74</v>
      </c>
      <c r="AP119" s="21" t="s">
        <v>74</v>
      </c>
      <c r="AQ119" s="21" t="s">
        <v>74</v>
      </c>
      <c r="AR119" s="21" t="s">
        <v>74</v>
      </c>
      <c r="AS119" s="21" t="s">
        <v>74</v>
      </c>
      <c r="AT119" s="6" t="s">
        <v>74</v>
      </c>
      <c r="AU119" s="6" t="s">
        <v>74</v>
      </c>
      <c r="AV119" s="6" t="s">
        <v>74</v>
      </c>
      <c r="AW119" s="6" t="s">
        <v>74</v>
      </c>
      <c r="AX119" s="6" t="s">
        <v>74</v>
      </c>
      <c r="AY119">
        <v>9.6474278415975583</v>
      </c>
      <c r="AZ119">
        <v>3.6727490956306443</v>
      </c>
      <c r="BA119">
        <v>7.1056929720649151</v>
      </c>
      <c r="BB119">
        <v>4.3377837874856144</v>
      </c>
      <c r="BC119" s="6">
        <v>3.0603536668085969</v>
      </c>
      <c r="BD119" s="6">
        <v>6.4035087719297046</v>
      </c>
      <c r="BE119" s="21" t="s">
        <v>74</v>
      </c>
      <c r="BF119" s="21" t="s">
        <v>74</v>
      </c>
      <c r="BG119" s="21" t="s">
        <v>74</v>
      </c>
      <c r="BH119" s="21" t="s">
        <v>74</v>
      </c>
      <c r="BI119" s="21" t="s">
        <v>74</v>
      </c>
      <c r="BJ119" s="21" t="s">
        <v>74</v>
      </c>
      <c r="BK119" s="21" t="s">
        <v>74</v>
      </c>
      <c r="BL119" s="21" t="s">
        <v>74</v>
      </c>
      <c r="BM119" s="6" t="s">
        <v>74</v>
      </c>
      <c r="BN119" s="6" t="s">
        <v>74</v>
      </c>
      <c r="BO119" s="6" t="s">
        <v>74</v>
      </c>
      <c r="BP119" s="6" t="s">
        <v>74</v>
      </c>
      <c r="BQ119" s="6" t="s">
        <v>74</v>
      </c>
      <c r="BR119" s="6" t="s">
        <v>74</v>
      </c>
      <c r="BS119" s="6" t="s">
        <v>74</v>
      </c>
      <c r="BT119" s="6" t="s">
        <v>74</v>
      </c>
    </row>
    <row r="120" spans="1:72" ht="15" x14ac:dyDescent="0.2">
      <c r="A120" s="5" t="s">
        <v>72</v>
      </c>
      <c r="B120" s="13">
        <v>43283</v>
      </c>
      <c r="C120" s="5">
        <v>3</v>
      </c>
      <c r="D120" s="5">
        <v>7</v>
      </c>
      <c r="E120" s="5">
        <v>2</v>
      </c>
      <c r="F120" s="6">
        <v>2018</v>
      </c>
      <c r="G120">
        <v>41.578530000000001</v>
      </c>
      <c r="H120">
        <v>-71.355170000000001</v>
      </c>
      <c r="I120">
        <f>32*0.3048</f>
        <v>9.7536000000000005</v>
      </c>
      <c r="J120" t="s">
        <v>93</v>
      </c>
      <c r="K120" s="31">
        <v>31</v>
      </c>
      <c r="L120" s="31">
        <v>23</v>
      </c>
      <c r="M120" s="26">
        <v>985.16315429999997</v>
      </c>
      <c r="N120" s="26">
        <v>-392.38</v>
      </c>
      <c r="O120" s="25">
        <v>41.269793077970661</v>
      </c>
      <c r="P120" s="25">
        <f t="shared" si="24"/>
        <v>4.1269793077970664E-2</v>
      </c>
      <c r="Q120" s="25">
        <v>367.75840329850121</v>
      </c>
      <c r="R120" s="25">
        <f t="shared" ref="R120:R143" si="26">Q120/1000</f>
        <v>0.36775840329850118</v>
      </c>
      <c r="S120" s="5">
        <v>0.8370327999999998</v>
      </c>
      <c r="T120" s="6">
        <v>2.9243599999999998E-2</v>
      </c>
      <c r="U120" s="6">
        <v>1.8352E-2</v>
      </c>
      <c r="V120" s="6">
        <v>0.20235039999999999</v>
      </c>
      <c r="W120" s="6">
        <v>0.39955039999999992</v>
      </c>
      <c r="X120" s="6">
        <v>0.15327679999999999</v>
      </c>
      <c r="Y120" s="6">
        <v>7.8864000000000004E-2</v>
      </c>
      <c r="Z120" s="6">
        <v>0.61531040000000004</v>
      </c>
      <c r="AA120" s="6" t="s">
        <v>88</v>
      </c>
      <c r="AB120" s="21" t="s">
        <v>89</v>
      </c>
      <c r="AC120" s="21">
        <v>13.161233290480544</v>
      </c>
      <c r="AD120" s="21">
        <v>2.6830032133660033</v>
      </c>
      <c r="AE120" s="21">
        <v>6.8208619023095434</v>
      </c>
      <c r="AF120" s="21">
        <v>2.8487262917720741</v>
      </c>
      <c r="AG120" s="6">
        <v>15.515000000000001</v>
      </c>
      <c r="AH120" s="6">
        <v>0.65407377259755695</v>
      </c>
      <c r="AI120" s="6">
        <v>2</v>
      </c>
      <c r="AJ120" s="6">
        <v>9.7050000000000001</v>
      </c>
      <c r="AK120" s="6">
        <v>0.39244426355853362</v>
      </c>
      <c r="AL120" s="6">
        <v>2</v>
      </c>
      <c r="AM120" s="21">
        <f>270.982358259883+AM124</f>
        <v>252.06247531638758</v>
      </c>
      <c r="AN120" s="21">
        <v>0.21233275000000001</v>
      </c>
      <c r="AO120" s="21">
        <v>1.927316</v>
      </c>
      <c r="AP120" s="21">
        <v>9.0768663807161154</v>
      </c>
      <c r="AQ120" s="21">
        <v>0.22240694999999999</v>
      </c>
      <c r="AR120" s="21">
        <v>1.955619</v>
      </c>
      <c r="AS120" s="21">
        <v>8.7929761187768634</v>
      </c>
      <c r="AT120" s="6" t="s">
        <v>87</v>
      </c>
      <c r="AU120" s="6">
        <v>11.2622524504901</v>
      </c>
      <c r="AV120" s="6">
        <v>5.7935030002069174</v>
      </c>
      <c r="AW120" s="6" t="s">
        <v>74</v>
      </c>
      <c r="AX120" s="6" t="s">
        <v>74</v>
      </c>
      <c r="AY120" s="6">
        <v>3.1385654893814592</v>
      </c>
      <c r="AZ120" s="6">
        <v>2.1417974182918984</v>
      </c>
      <c r="BA120" s="6">
        <v>2.1001853895536389</v>
      </c>
      <c r="BB120" s="6">
        <v>1.1525019135862915</v>
      </c>
      <c r="BC120" s="6">
        <v>4.2290781727400706</v>
      </c>
      <c r="BD120" s="6">
        <v>4.1792033020864938</v>
      </c>
      <c r="BE120" s="21">
        <v>59.643821571239094</v>
      </c>
      <c r="BF120" s="21">
        <v>190.77587163825302</v>
      </c>
      <c r="BG120" s="21">
        <v>161.84244081732314</v>
      </c>
      <c r="BH120" s="21">
        <v>314.24606751752924</v>
      </c>
      <c r="BI120" s="21">
        <v>40.707704262791516</v>
      </c>
      <c r="BJ120" s="21">
        <v>208.48505560109547</v>
      </c>
      <c r="BK120" s="21">
        <v>39.397656521320684</v>
      </c>
      <c r="BL120" s="21">
        <v>289.72046377593443</v>
      </c>
      <c r="BM120" s="6">
        <v>1.2023999999999972</v>
      </c>
      <c r="BN120" s="6">
        <v>1.3593000000000046</v>
      </c>
      <c r="BO120" s="6">
        <v>1.2710909090909055</v>
      </c>
      <c r="BP120" s="6">
        <v>1.3969000000000023</v>
      </c>
      <c r="BQ120" s="6">
        <v>0.73499944878272683</v>
      </c>
      <c r="BR120" s="6">
        <v>0.71001843557286848</v>
      </c>
      <c r="BS120" s="6">
        <v>0.71927970635746041</v>
      </c>
      <c r="BT120" s="6">
        <v>0.69152712930405469</v>
      </c>
    </row>
    <row r="121" spans="1:72" ht="15" x14ac:dyDescent="0.2">
      <c r="A121" s="5" t="s">
        <v>72</v>
      </c>
      <c r="B121" s="13">
        <v>43283</v>
      </c>
      <c r="C121" s="5">
        <v>5</v>
      </c>
      <c r="D121" s="5">
        <v>7</v>
      </c>
      <c r="E121" s="5">
        <v>2</v>
      </c>
      <c r="F121" s="6">
        <v>2018</v>
      </c>
      <c r="G121">
        <v>41.578530000000001</v>
      </c>
      <c r="H121">
        <v>-71.355170000000001</v>
      </c>
      <c r="I121">
        <f>32*0.3048</f>
        <v>9.7536000000000005</v>
      </c>
      <c r="J121" t="s">
        <v>93</v>
      </c>
      <c r="K121" s="31">
        <v>31</v>
      </c>
      <c r="L121" s="31">
        <v>23</v>
      </c>
      <c r="M121" s="26">
        <v>754.46850259999997</v>
      </c>
      <c r="N121" s="26">
        <v>0</v>
      </c>
      <c r="O121" s="25">
        <v>0</v>
      </c>
      <c r="P121" s="25">
        <f t="shared" si="24"/>
        <v>0</v>
      </c>
      <c r="Q121" s="25">
        <v>0</v>
      </c>
      <c r="R121" s="25">
        <f t="shared" si="26"/>
        <v>0</v>
      </c>
      <c r="S121" s="5">
        <v>0.8370327999999998</v>
      </c>
      <c r="T121" s="6">
        <v>2.9243599999999998E-2</v>
      </c>
      <c r="U121" s="6">
        <v>1.8352E-2</v>
      </c>
      <c r="V121" s="6">
        <v>0.20235039999999999</v>
      </c>
      <c r="W121" s="6">
        <v>0.39955039999999992</v>
      </c>
      <c r="X121" s="6">
        <v>0.15327679999999999</v>
      </c>
      <c r="Y121" s="6">
        <v>7.8864000000000004E-2</v>
      </c>
      <c r="Z121" s="6">
        <v>0.61531040000000004</v>
      </c>
      <c r="AA121" s="6" t="s">
        <v>88</v>
      </c>
      <c r="AB121" s="21" t="s">
        <v>89</v>
      </c>
      <c r="AC121" s="21">
        <v>9.2064288460714039</v>
      </c>
      <c r="AD121" s="21">
        <v>2.7384923076677836</v>
      </c>
      <c r="AE121" s="21">
        <v>6.5200409999416165</v>
      </c>
      <c r="AF121" s="21">
        <v>1.7889033461378265</v>
      </c>
      <c r="AG121" s="6">
        <v>15.515000000000001</v>
      </c>
      <c r="AH121" s="6">
        <v>0.65407377259755695</v>
      </c>
      <c r="AI121" s="6">
        <v>2</v>
      </c>
      <c r="AJ121" s="6">
        <v>9.7050000000000001</v>
      </c>
      <c r="AK121" s="6">
        <v>0.39244426355853362</v>
      </c>
      <c r="AL121" s="6">
        <v>2</v>
      </c>
      <c r="AM121" s="21">
        <f>210.027959866572+AM124</f>
        <v>191.1080769230766</v>
      </c>
      <c r="AN121" s="21">
        <v>0.21001855</v>
      </c>
      <c r="AO121" s="21">
        <v>1.8760919999999999</v>
      </c>
      <c r="AP121" s="21">
        <v>8.9329823484639803</v>
      </c>
      <c r="AQ121" s="21">
        <v>0.20682880000000001</v>
      </c>
      <c r="AR121" s="21">
        <v>1.8353005</v>
      </c>
      <c r="AS121" s="21">
        <v>8.8735248669430948</v>
      </c>
      <c r="AT121" s="6" t="s">
        <v>87</v>
      </c>
      <c r="AU121" s="6">
        <v>5.064782096584266</v>
      </c>
      <c r="AV121" s="6">
        <v>5.247205910210317</v>
      </c>
      <c r="AW121" s="6" t="s">
        <v>74</v>
      </c>
      <c r="AX121" s="6" t="s">
        <v>74</v>
      </c>
      <c r="AY121" s="6">
        <v>3.1385654893814592</v>
      </c>
      <c r="AZ121" s="6">
        <v>2.1417974182918984</v>
      </c>
      <c r="BA121" s="6">
        <v>2.1001853895536389</v>
      </c>
      <c r="BB121" s="6">
        <v>1.1525019135862915</v>
      </c>
      <c r="BC121" s="6">
        <v>4.2290781727400706</v>
      </c>
      <c r="BD121" s="6">
        <v>4.1792033020864938</v>
      </c>
      <c r="BE121" s="21">
        <v>42.999291072569697</v>
      </c>
      <c r="BF121" s="21">
        <v>188.57532893434026</v>
      </c>
      <c r="BG121" s="21">
        <v>92.640728392009194</v>
      </c>
      <c r="BH121" s="21">
        <v>262.526122453369</v>
      </c>
      <c r="BI121" s="21">
        <v>44.507375083059344</v>
      </c>
      <c r="BJ121" s="21">
        <v>132.79184233612375</v>
      </c>
      <c r="BK121" s="21">
        <v>84.78502210176427</v>
      </c>
      <c r="BL121" s="21">
        <v>297.16655710956297</v>
      </c>
      <c r="BM121" s="6">
        <v>1.2469000000000037</v>
      </c>
      <c r="BN121" s="6">
        <v>1.3531000000000049</v>
      </c>
      <c r="BO121" s="6">
        <v>1.4626999999999981</v>
      </c>
      <c r="BP121" s="6">
        <v>1.3973000000000013</v>
      </c>
      <c r="BQ121" s="6">
        <v>0.73709537047595364</v>
      </c>
      <c r="BR121" s="6">
        <v>0.68544035880708531</v>
      </c>
      <c r="BS121" s="6">
        <v>0.71453149825783879</v>
      </c>
      <c r="BT121" s="6">
        <v>0.64538407174514856</v>
      </c>
    </row>
    <row r="122" spans="1:72" ht="15" x14ac:dyDescent="0.2">
      <c r="A122" s="5" t="s">
        <v>72</v>
      </c>
      <c r="B122" s="13">
        <v>43283</v>
      </c>
      <c r="C122" s="5">
        <v>18</v>
      </c>
      <c r="D122" s="5">
        <v>7</v>
      </c>
      <c r="E122" s="5">
        <v>2</v>
      </c>
      <c r="F122" s="6">
        <v>2018</v>
      </c>
      <c r="G122">
        <v>41.578530000000001</v>
      </c>
      <c r="H122">
        <v>-71.355170000000001</v>
      </c>
      <c r="I122">
        <f>32*0.3048</f>
        <v>9.7536000000000005</v>
      </c>
      <c r="J122" t="s">
        <v>93</v>
      </c>
      <c r="K122" s="31">
        <v>31</v>
      </c>
      <c r="L122" s="31">
        <v>23</v>
      </c>
      <c r="M122" s="26">
        <v>697.45890099999997</v>
      </c>
      <c r="N122" s="26">
        <v>0</v>
      </c>
      <c r="O122" s="25">
        <v>47.152990493889632</v>
      </c>
      <c r="P122" s="25">
        <f t="shared" si="24"/>
        <v>4.7152990493889629E-2</v>
      </c>
      <c r="Q122" s="25">
        <v>335.29450358839682</v>
      </c>
      <c r="R122" s="25">
        <f t="shared" si="26"/>
        <v>0.3352945035883968</v>
      </c>
      <c r="S122" s="5">
        <v>0.8370327999999998</v>
      </c>
      <c r="T122" s="6">
        <v>2.9243599999999998E-2</v>
      </c>
      <c r="U122" s="6">
        <v>1.8352E-2</v>
      </c>
      <c r="V122" s="6">
        <v>0.20235039999999999</v>
      </c>
      <c r="W122" s="6">
        <v>0.39955039999999992</v>
      </c>
      <c r="X122" s="6">
        <v>0.15327679999999999</v>
      </c>
      <c r="Y122" s="6">
        <v>7.8864000000000004E-2</v>
      </c>
      <c r="Z122" s="6">
        <v>0.61531040000000004</v>
      </c>
      <c r="AA122" s="6" t="s">
        <v>88</v>
      </c>
      <c r="AB122" s="21" t="s">
        <v>89</v>
      </c>
      <c r="AC122" s="21">
        <v>5.2748925191611669</v>
      </c>
      <c r="AD122" s="21">
        <v>2.9634168797839262</v>
      </c>
      <c r="AE122" s="21">
        <v>8.0090200127567233</v>
      </c>
      <c r="AF122" s="21">
        <v>-1.3641634910433142</v>
      </c>
      <c r="AG122" s="6">
        <v>15.515000000000001</v>
      </c>
      <c r="AH122" s="6">
        <v>0.65407377259755695</v>
      </c>
      <c r="AI122" s="6">
        <v>2</v>
      </c>
      <c r="AJ122" s="6">
        <v>9.7050000000000001</v>
      </c>
      <c r="AK122" s="6">
        <v>0.39244426355853362</v>
      </c>
      <c r="AL122" s="6">
        <v>2</v>
      </c>
      <c r="AM122" s="21">
        <f>220.311527764467+AM124</f>
        <v>201.39164482097161</v>
      </c>
      <c r="AN122" s="21">
        <v>0.20699420000000002</v>
      </c>
      <c r="AO122" s="21">
        <v>1.854759</v>
      </c>
      <c r="AP122" s="21">
        <v>8.9604394712508846</v>
      </c>
      <c r="AQ122" s="21">
        <v>0.20782135000000002</v>
      </c>
      <c r="AR122" s="21">
        <v>1.9874505</v>
      </c>
      <c r="AS122" s="21">
        <v>9.5632643133152584</v>
      </c>
      <c r="AT122" s="6" t="s">
        <v>87</v>
      </c>
      <c r="AU122" s="6">
        <v>4.910223525100796</v>
      </c>
      <c r="AV122" s="6">
        <v>4.9842505095423215</v>
      </c>
      <c r="AW122" s="6" t="s">
        <v>74</v>
      </c>
      <c r="AX122" s="6" t="s">
        <v>74</v>
      </c>
      <c r="AY122" s="6">
        <v>3.1385654893814592</v>
      </c>
      <c r="AZ122" s="6">
        <v>2.1417974182918984</v>
      </c>
      <c r="BA122" s="6">
        <v>2.1001853895536389</v>
      </c>
      <c r="BB122" s="6">
        <v>1.1525019135862915</v>
      </c>
      <c r="BC122" s="6">
        <v>4.2290781727400706</v>
      </c>
      <c r="BD122" s="6">
        <v>4.1792033020864938</v>
      </c>
      <c r="BE122" s="21">
        <v>338.26904298716528</v>
      </c>
      <c r="BF122" s="21">
        <v>-316.62655009425532</v>
      </c>
      <c r="BG122" s="21">
        <v>95.015779855002393</v>
      </c>
      <c r="BH122" s="21">
        <v>178.70404425879525</v>
      </c>
      <c r="BI122" s="21">
        <v>21.388672646160558</v>
      </c>
      <c r="BJ122" s="21">
        <v>133.95879024343381</v>
      </c>
      <c r="BK122" s="21">
        <v>22.33977168065395</v>
      </c>
      <c r="BL122" s="21">
        <v>202.16846874501434</v>
      </c>
      <c r="BM122" s="6">
        <v>1.1265454545454585</v>
      </c>
      <c r="BN122" s="6">
        <v>1.2535000000000025</v>
      </c>
      <c r="BO122" s="6">
        <v>1.2152999999999992</v>
      </c>
      <c r="BP122" s="6">
        <v>1.4413000000000054</v>
      </c>
      <c r="BQ122" s="6">
        <v>0.60317023679096204</v>
      </c>
      <c r="BR122" s="6">
        <v>0.59655237097695801</v>
      </c>
      <c r="BS122" s="6">
        <v>0.55895136559445413</v>
      </c>
      <c r="BT122" s="6">
        <v>0.65236484064102351</v>
      </c>
    </row>
    <row r="123" spans="1:72" ht="15" x14ac:dyDescent="0.2">
      <c r="A123" s="5" t="s">
        <v>72</v>
      </c>
      <c r="B123" s="13">
        <v>43283</v>
      </c>
      <c r="C123" s="5">
        <v>35</v>
      </c>
      <c r="D123" s="5">
        <v>7</v>
      </c>
      <c r="E123" s="5">
        <v>2</v>
      </c>
      <c r="F123" s="6">
        <v>2018</v>
      </c>
      <c r="G123">
        <v>41.578530000000001</v>
      </c>
      <c r="H123">
        <v>-71.355170000000001</v>
      </c>
      <c r="I123">
        <f>32*0.3048</f>
        <v>9.7536000000000005</v>
      </c>
      <c r="J123" t="s">
        <v>93</v>
      </c>
      <c r="K123" s="31">
        <v>31</v>
      </c>
      <c r="L123" s="31">
        <v>23</v>
      </c>
      <c r="M123" s="26">
        <v>524.65356510000004</v>
      </c>
      <c r="N123" s="26">
        <v>0</v>
      </c>
      <c r="O123" s="25">
        <v>0</v>
      </c>
      <c r="P123" s="25">
        <f t="shared" si="24"/>
        <v>0</v>
      </c>
      <c r="Q123" s="25">
        <v>-446.34670642811369</v>
      </c>
      <c r="R123" s="25">
        <f t="shared" si="26"/>
        <v>-0.44634670642811369</v>
      </c>
      <c r="S123" s="5">
        <v>0.8370327999999998</v>
      </c>
      <c r="T123" s="6">
        <v>2.9243599999999998E-2</v>
      </c>
      <c r="U123" s="6">
        <v>1.8352E-2</v>
      </c>
      <c r="V123" s="6">
        <v>0.20235039999999999</v>
      </c>
      <c r="W123" s="6">
        <v>0.39955039999999992</v>
      </c>
      <c r="X123" s="6">
        <v>0.15327679999999999</v>
      </c>
      <c r="Y123" s="6">
        <v>7.8864000000000004E-2</v>
      </c>
      <c r="Z123" s="6">
        <v>0.61531040000000004</v>
      </c>
      <c r="AA123" s="6" t="s">
        <v>88</v>
      </c>
      <c r="AB123" s="21" t="s">
        <v>89</v>
      </c>
      <c r="AC123" s="21">
        <v>20.383275097610323</v>
      </c>
      <c r="AD123" s="21">
        <v>3.1078774445628938</v>
      </c>
      <c r="AE123" s="21">
        <v>9.8273799216896158</v>
      </c>
      <c r="AF123" s="21">
        <v>1.4800212255415248</v>
      </c>
      <c r="AG123" s="6">
        <v>15.515000000000001</v>
      </c>
      <c r="AH123" s="6">
        <v>0.65407377259755695</v>
      </c>
      <c r="AI123" s="6">
        <v>2</v>
      </c>
      <c r="AJ123" s="6">
        <v>9.7050000000000001</v>
      </c>
      <c r="AK123" s="6">
        <v>0.39244426355853362</v>
      </c>
      <c r="AL123" s="6">
        <v>2</v>
      </c>
      <c r="AM123" s="21">
        <f>216.54507178313+AM124</f>
        <v>197.6251888396346</v>
      </c>
      <c r="AN123" s="21">
        <v>0.20681189999999999</v>
      </c>
      <c r="AO123" s="21">
        <v>1.8468279999999999</v>
      </c>
      <c r="AP123" s="21">
        <v>8.9299890383483742</v>
      </c>
      <c r="AQ123" s="21">
        <v>0.2000516</v>
      </c>
      <c r="AR123" s="21">
        <v>1.8023674999999999</v>
      </c>
      <c r="AS123" s="21">
        <v>9.0095130456342254</v>
      </c>
      <c r="AT123" s="6" t="s">
        <v>87</v>
      </c>
      <c r="AU123" s="6">
        <v>4.8413344182262081</v>
      </c>
      <c r="AV123" s="6">
        <v>5.2729992520568425</v>
      </c>
      <c r="AW123" s="6" t="s">
        <v>74</v>
      </c>
      <c r="AX123" s="6" t="s">
        <v>74</v>
      </c>
      <c r="AY123" s="6">
        <v>3.1385654893814592</v>
      </c>
      <c r="AZ123" s="6">
        <v>2.1417974182918984</v>
      </c>
      <c r="BA123" s="6">
        <v>2.1001853895536389</v>
      </c>
      <c r="BB123" s="6">
        <v>1.1525019135862915</v>
      </c>
      <c r="BC123" s="6">
        <v>4.2290781727400706</v>
      </c>
      <c r="BD123" s="6">
        <v>4.1792033020864938</v>
      </c>
      <c r="BE123" s="21">
        <v>29.557439916157161</v>
      </c>
      <c r="BF123" s="21">
        <v>175.59565839438537</v>
      </c>
      <c r="BG123" s="21">
        <v>100.38206536695137</v>
      </c>
      <c r="BH123" s="21">
        <v>252.5095386409163</v>
      </c>
      <c r="BI123" s="21">
        <v>66.275486298167962</v>
      </c>
      <c r="BJ123" s="21">
        <v>214.63634513982754</v>
      </c>
      <c r="BK123" s="21">
        <v>36.157581759173141</v>
      </c>
      <c r="BL123" s="21">
        <v>255.10400380567657</v>
      </c>
      <c r="BM123" s="6">
        <v>1.284399999999998</v>
      </c>
      <c r="BN123" s="6">
        <v>1.364833333333332</v>
      </c>
      <c r="BO123" s="6">
        <v>1.2881</v>
      </c>
      <c r="BP123" s="6">
        <v>1.4078000000000017</v>
      </c>
      <c r="BQ123" s="6">
        <v>0.91558709269551797</v>
      </c>
      <c r="BR123" s="6">
        <v>0.65759078504852442</v>
      </c>
      <c r="BS123" s="6">
        <v>0.56631836408566727</v>
      </c>
      <c r="BT123" s="6">
        <v>0.66281634241245224</v>
      </c>
    </row>
    <row r="124" spans="1:72" ht="15" x14ac:dyDescent="0.2">
      <c r="A124" s="5" t="s">
        <v>72</v>
      </c>
      <c r="B124" s="13">
        <v>43283</v>
      </c>
      <c r="C124" s="5" t="s">
        <v>100</v>
      </c>
      <c r="D124" s="5">
        <v>7</v>
      </c>
      <c r="E124" s="5">
        <v>2</v>
      </c>
      <c r="F124" s="6">
        <v>2018</v>
      </c>
      <c r="G124">
        <v>41.578530000000001</v>
      </c>
      <c r="H124">
        <v>-71.355170000000001</v>
      </c>
      <c r="I124">
        <f>32*0.3048</f>
        <v>9.7536000000000005</v>
      </c>
      <c r="J124" t="s">
        <v>93</v>
      </c>
      <c r="K124" s="31">
        <v>31</v>
      </c>
      <c r="L124" s="31">
        <v>23</v>
      </c>
      <c r="M124" s="26">
        <v>484.28391046607197</v>
      </c>
      <c r="N124" s="26">
        <v>0</v>
      </c>
      <c r="O124" s="25">
        <v>0</v>
      </c>
      <c r="P124" s="25">
        <f t="shared" si="24"/>
        <v>0</v>
      </c>
      <c r="Q124" s="25">
        <v>0</v>
      </c>
      <c r="R124" s="25">
        <f t="shared" si="26"/>
        <v>0</v>
      </c>
      <c r="S124" s="5">
        <v>0.8370327999999998</v>
      </c>
      <c r="T124" s="6">
        <v>2.9243599999999998E-2</v>
      </c>
      <c r="U124" s="6">
        <v>1.8352E-2</v>
      </c>
      <c r="V124" s="6">
        <v>0.20235039999999999</v>
      </c>
      <c r="W124" s="6">
        <v>0.39955039999999992</v>
      </c>
      <c r="X124" s="6">
        <v>0.15327679999999999</v>
      </c>
      <c r="Y124" s="6">
        <v>7.8864000000000004E-2</v>
      </c>
      <c r="Z124" s="6">
        <v>0.61531040000000004</v>
      </c>
      <c r="AA124" s="6" t="s">
        <v>88</v>
      </c>
      <c r="AB124" s="21" t="s">
        <v>89</v>
      </c>
      <c r="AC124" s="21">
        <v>-0.21145860709663822</v>
      </c>
      <c r="AD124" s="21">
        <v>-1.010693823919302</v>
      </c>
      <c r="AE124" s="21">
        <v>-2.0157487516493591</v>
      </c>
      <c r="AF124" s="21">
        <v>0.30564383705753329</v>
      </c>
      <c r="AG124" s="6">
        <v>15.515000000000001</v>
      </c>
      <c r="AH124" s="6">
        <v>0.65407377259755695</v>
      </c>
      <c r="AI124" s="6">
        <v>2</v>
      </c>
      <c r="AJ124" s="6">
        <v>9.7050000000000001</v>
      </c>
      <c r="AK124" s="6">
        <v>0.39244426355853362</v>
      </c>
      <c r="AL124" s="6">
        <v>2</v>
      </c>
      <c r="AM124" s="21">
        <v>-18.919882943495388</v>
      </c>
      <c r="AN124" s="21" t="s">
        <v>74</v>
      </c>
      <c r="AO124" s="21" t="s">
        <v>74</v>
      </c>
      <c r="AP124" s="21" t="s">
        <v>74</v>
      </c>
      <c r="AQ124" s="21" t="s">
        <v>74</v>
      </c>
      <c r="AR124" s="21" t="s">
        <v>74</v>
      </c>
      <c r="AS124" s="21" t="s">
        <v>74</v>
      </c>
      <c r="AT124" s="6" t="s">
        <v>74</v>
      </c>
      <c r="AU124" s="6" t="s">
        <v>74</v>
      </c>
      <c r="AV124" s="6" t="s">
        <v>74</v>
      </c>
      <c r="AW124" s="6" t="s">
        <v>74</v>
      </c>
      <c r="AX124" s="6" t="s">
        <v>74</v>
      </c>
      <c r="AY124" s="6">
        <v>3.1385654893814592</v>
      </c>
      <c r="AZ124" s="6">
        <v>2.1417974182918984</v>
      </c>
      <c r="BA124" s="6">
        <v>2.1001853895536389</v>
      </c>
      <c r="BB124" s="6">
        <v>1.1525019135862915</v>
      </c>
      <c r="BC124" s="6">
        <v>4.2290781727400706</v>
      </c>
      <c r="BD124" s="6">
        <v>4.1792033020864938</v>
      </c>
      <c r="BE124" s="21" t="s">
        <v>74</v>
      </c>
      <c r="BF124" s="21" t="s">
        <v>74</v>
      </c>
      <c r="BG124" s="21" t="s">
        <v>74</v>
      </c>
      <c r="BH124" s="21" t="s">
        <v>74</v>
      </c>
      <c r="BI124" s="21" t="s">
        <v>74</v>
      </c>
      <c r="BJ124" s="21" t="s">
        <v>74</v>
      </c>
      <c r="BK124" s="21" t="s">
        <v>74</v>
      </c>
      <c r="BL124" s="21" t="s">
        <v>74</v>
      </c>
      <c r="BM124" s="6" t="s">
        <v>74</v>
      </c>
      <c r="BN124" s="6" t="s">
        <v>74</v>
      </c>
      <c r="BO124" s="6" t="s">
        <v>74</v>
      </c>
      <c r="BP124" s="6" t="s">
        <v>74</v>
      </c>
      <c r="BQ124" s="6" t="s">
        <v>74</v>
      </c>
      <c r="BR124" s="6" t="s">
        <v>74</v>
      </c>
      <c r="BS124" s="6" t="s">
        <v>74</v>
      </c>
      <c r="BT124" s="6" t="s">
        <v>74</v>
      </c>
    </row>
    <row r="125" spans="1:72" ht="15" x14ac:dyDescent="0.2">
      <c r="A125" s="5" t="s">
        <v>79</v>
      </c>
      <c r="B125" s="13">
        <v>43283</v>
      </c>
      <c r="C125" s="5">
        <v>9</v>
      </c>
      <c r="D125" s="5">
        <v>7</v>
      </c>
      <c r="E125" s="5">
        <v>2</v>
      </c>
      <c r="F125" s="6">
        <v>2018</v>
      </c>
      <c r="G125">
        <v>41.77946</v>
      </c>
      <c r="H125">
        <v>-71.380129999999994</v>
      </c>
      <c r="I125">
        <f>9.7*0.3048</f>
        <v>2.9565600000000001</v>
      </c>
      <c r="J125" t="s">
        <v>93</v>
      </c>
      <c r="K125" s="25">
        <v>24</v>
      </c>
      <c r="L125" s="25">
        <v>23</v>
      </c>
      <c r="M125" s="26">
        <v>866.54575420000003</v>
      </c>
      <c r="N125" s="26">
        <v>0</v>
      </c>
      <c r="O125" s="25">
        <v>0</v>
      </c>
      <c r="P125" s="27">
        <f t="shared" si="24"/>
        <v>0</v>
      </c>
      <c r="Q125" s="25">
        <v>419.85055529419139</v>
      </c>
      <c r="R125" s="27">
        <f t="shared" si="26"/>
        <v>0.41985055529419141</v>
      </c>
      <c r="S125" s="5">
        <v>0.74897820000000004</v>
      </c>
      <c r="T125" s="6">
        <v>0.19831360000000001</v>
      </c>
      <c r="U125" s="5">
        <v>6.2196000000000001E-2</v>
      </c>
      <c r="V125" s="6">
        <v>0.95970639999999996</v>
      </c>
      <c r="W125" s="6">
        <v>1.3357709999999998</v>
      </c>
      <c r="X125" s="6">
        <v>0.19275740000000002</v>
      </c>
      <c r="Y125" s="6">
        <v>9.8832000000000003E-2</v>
      </c>
      <c r="Z125" s="6">
        <v>1.1110207999999999</v>
      </c>
      <c r="AA125" s="6" t="s">
        <v>88</v>
      </c>
      <c r="AB125" s="21" t="s">
        <v>89</v>
      </c>
      <c r="AC125" s="21">
        <v>28.643291566104363</v>
      </c>
      <c r="AD125" s="21">
        <v>1.7564702811146435</v>
      </c>
      <c r="AE125" s="21">
        <v>2.594862650587852</v>
      </c>
      <c r="AF125" s="21">
        <v>7.097818473855761</v>
      </c>
      <c r="AG125" s="6">
        <v>41.409323174999997</v>
      </c>
      <c r="AH125" s="6">
        <v>0.22980014026641443</v>
      </c>
      <c r="AI125" s="6">
        <v>2</v>
      </c>
      <c r="AJ125" s="6">
        <v>42.365044500000003</v>
      </c>
      <c r="AK125" s="6">
        <v>1.3642257798479596</v>
      </c>
      <c r="AL125" s="6">
        <v>2</v>
      </c>
      <c r="AM125" s="21">
        <f>181.604704227384+AM129</f>
        <v>144.59976259036154</v>
      </c>
      <c r="AN125" s="21">
        <v>0.32496760000000002</v>
      </c>
      <c r="AO125" s="21">
        <v>3.8736975000000005</v>
      </c>
      <c r="AP125" s="21">
        <v>11.920257588756542</v>
      </c>
      <c r="AQ125" s="21">
        <v>0.29286055</v>
      </c>
      <c r="AR125" s="21">
        <v>3.324983</v>
      </c>
      <c r="AS125" s="21">
        <v>11.35346839989203</v>
      </c>
      <c r="AT125" s="6" t="s">
        <v>87</v>
      </c>
      <c r="AU125" s="6">
        <v>8.1422259625499613</v>
      </c>
      <c r="AV125" s="6">
        <v>7.2086503804565538</v>
      </c>
      <c r="AW125" s="6" t="s">
        <v>74</v>
      </c>
      <c r="AX125" s="6" t="s">
        <v>74</v>
      </c>
      <c r="AY125" s="6">
        <v>12.796081719797286</v>
      </c>
      <c r="AZ125" s="6">
        <v>3.6431096556300022</v>
      </c>
      <c r="BA125" s="6">
        <v>4.7414010886779572</v>
      </c>
      <c r="BB125" s="6">
        <v>0.17252931474237737</v>
      </c>
      <c r="BC125" s="6">
        <v>4.1509711114737486</v>
      </c>
      <c r="BD125" s="6">
        <v>6.0507990007783059</v>
      </c>
      <c r="BE125" s="21">
        <v>25.405872554908523</v>
      </c>
      <c r="BF125" s="21">
        <v>179.88910723430737</v>
      </c>
      <c r="BG125" s="21">
        <v>22.286184389385269</v>
      </c>
      <c r="BH125" s="21">
        <v>157.37631068331302</v>
      </c>
      <c r="BI125" s="21">
        <v>36.555416543500769</v>
      </c>
      <c r="BJ125" s="21">
        <v>320.77022333684658</v>
      </c>
      <c r="BK125" s="21" t="s">
        <v>74</v>
      </c>
      <c r="BL125" s="21" t="s">
        <v>74</v>
      </c>
      <c r="BM125" s="6" t="s">
        <v>74</v>
      </c>
      <c r="BN125" s="6" t="s">
        <v>74</v>
      </c>
      <c r="BO125" s="6" t="s">
        <v>74</v>
      </c>
      <c r="BP125" s="6" t="s">
        <v>74</v>
      </c>
      <c r="BQ125" s="6" t="s">
        <v>74</v>
      </c>
      <c r="BR125" s="6" t="s">
        <v>74</v>
      </c>
      <c r="BS125" s="6" t="s">
        <v>74</v>
      </c>
      <c r="BT125" s="6" t="s">
        <v>74</v>
      </c>
    </row>
    <row r="126" spans="1:72" ht="15" x14ac:dyDescent="0.2">
      <c r="A126" s="5" t="s">
        <v>79</v>
      </c>
      <c r="B126" s="13">
        <v>43283</v>
      </c>
      <c r="C126" s="5">
        <v>13</v>
      </c>
      <c r="D126" s="5">
        <v>7</v>
      </c>
      <c r="E126" s="5">
        <v>2</v>
      </c>
      <c r="F126" s="6">
        <v>2018</v>
      </c>
      <c r="G126">
        <v>41.77946</v>
      </c>
      <c r="H126">
        <v>-71.380129999999994</v>
      </c>
      <c r="I126">
        <f>9.7*0.3048</f>
        <v>2.9565600000000001</v>
      </c>
      <c r="J126" t="s">
        <v>93</v>
      </c>
      <c r="K126" s="25">
        <v>24</v>
      </c>
      <c r="L126" s="25">
        <v>23</v>
      </c>
      <c r="M126" s="26">
        <v>1707.928854</v>
      </c>
      <c r="N126" s="26">
        <v>0</v>
      </c>
      <c r="O126" s="25">
        <v>246.03168891735464</v>
      </c>
      <c r="P126" s="27">
        <f t="shared" si="24"/>
        <v>0.24603168891735464</v>
      </c>
      <c r="Q126" s="25">
        <v>133.79966733702958</v>
      </c>
      <c r="R126" s="27">
        <f t="shared" si="26"/>
        <v>0.13379966733702958</v>
      </c>
      <c r="S126" s="5">
        <v>0.74897820000000004</v>
      </c>
      <c r="T126" s="6">
        <v>0.19831360000000001</v>
      </c>
      <c r="U126" s="5">
        <v>6.2196000000000001E-2</v>
      </c>
      <c r="V126" s="6">
        <v>0.95970639999999996</v>
      </c>
      <c r="W126" s="6">
        <v>1.3357709999999998</v>
      </c>
      <c r="X126" s="6">
        <v>0.19275740000000002</v>
      </c>
      <c r="Y126" s="6">
        <v>9.8832000000000003E-2</v>
      </c>
      <c r="Z126" s="6">
        <v>1.1110207999999999</v>
      </c>
      <c r="AA126" s="6" t="s">
        <v>88</v>
      </c>
      <c r="AB126" s="21" t="s">
        <v>89</v>
      </c>
      <c r="AC126" s="21">
        <v>190.92262103948229</v>
      </c>
      <c r="AD126" s="21">
        <v>-4.1887142759946032</v>
      </c>
      <c r="AE126" s="21">
        <v>-13.582561772490301</v>
      </c>
      <c r="AF126" s="21">
        <v>10.132495926797382</v>
      </c>
      <c r="AG126" s="6">
        <v>41.409323174999997</v>
      </c>
      <c r="AH126" s="6">
        <v>0.22980014026641443</v>
      </c>
      <c r="AI126" s="6">
        <v>2</v>
      </c>
      <c r="AJ126" s="6">
        <v>42.365044500000003</v>
      </c>
      <c r="AK126" s="6">
        <v>1.3642257798479596</v>
      </c>
      <c r="AL126" s="6">
        <v>2</v>
      </c>
      <c r="AM126" s="21">
        <f>218.400277148355+AM129</f>
        <v>181.39533551133255</v>
      </c>
      <c r="AN126" s="21">
        <v>0.33631129999999998</v>
      </c>
      <c r="AO126" s="21">
        <v>3.5571425000000003</v>
      </c>
      <c r="AP126" s="21">
        <v>10.576934227306667</v>
      </c>
      <c r="AQ126" s="21">
        <v>0.32598495</v>
      </c>
      <c r="AR126" s="21">
        <v>3.5220294999999999</v>
      </c>
      <c r="AS126" s="21">
        <v>10.804270258488927</v>
      </c>
      <c r="AT126" s="6" t="s">
        <v>87</v>
      </c>
      <c r="AU126" s="6">
        <v>7.3660714285714679</v>
      </c>
      <c r="AV126" s="6">
        <v>7.5147347740668415</v>
      </c>
      <c r="AW126" s="6" t="s">
        <v>74</v>
      </c>
      <c r="AX126" s="6" t="s">
        <v>74</v>
      </c>
      <c r="AY126" s="6">
        <v>12.796081719797286</v>
      </c>
      <c r="AZ126" s="6">
        <v>3.6431096556300022</v>
      </c>
      <c r="BA126" s="6">
        <v>4.7414010886779572</v>
      </c>
      <c r="BB126" s="6">
        <v>0.17252931474237737</v>
      </c>
      <c r="BC126" s="6">
        <v>4.1509711114737486</v>
      </c>
      <c r="BD126" s="6">
        <v>6.0507990007783059</v>
      </c>
      <c r="BE126" s="21">
        <v>524.90097710763803</v>
      </c>
      <c r="BF126" s="21">
        <v>-486.99418231088214</v>
      </c>
      <c r="BG126" s="21">
        <v>49.961401883770897</v>
      </c>
      <c r="BH126" s="21">
        <v>209.41177443357176</v>
      </c>
      <c r="BI126" s="21">
        <v>95.665576821474986</v>
      </c>
      <c r="BJ126" s="21">
        <v>435.84885178010489</v>
      </c>
      <c r="BK126" s="21">
        <v>37.257668723584423</v>
      </c>
      <c r="BL126" s="21">
        <v>193.89265789723879</v>
      </c>
      <c r="BM126" s="6" t="s">
        <v>74</v>
      </c>
      <c r="BN126" s="6" t="s">
        <v>74</v>
      </c>
      <c r="BO126" s="6" t="s">
        <v>74</v>
      </c>
      <c r="BP126" s="6" t="s">
        <v>74</v>
      </c>
      <c r="BQ126" s="6" t="s">
        <v>74</v>
      </c>
      <c r="BR126" s="6" t="s">
        <v>74</v>
      </c>
      <c r="BS126" s="6" t="s">
        <v>74</v>
      </c>
      <c r="BT126" s="6" t="s">
        <v>74</v>
      </c>
    </row>
    <row r="127" spans="1:72" ht="15" x14ac:dyDescent="0.2">
      <c r="A127" s="5" t="s">
        <v>79</v>
      </c>
      <c r="B127" s="13">
        <v>43283</v>
      </c>
      <c r="C127" s="5">
        <v>19</v>
      </c>
      <c r="D127" s="5">
        <v>7</v>
      </c>
      <c r="E127" s="5">
        <v>2</v>
      </c>
      <c r="F127" s="6">
        <v>2018</v>
      </c>
      <c r="G127">
        <v>41.77946</v>
      </c>
      <c r="H127">
        <v>-71.380129999999994</v>
      </c>
      <c r="I127">
        <f>9.7*0.3048</f>
        <v>2.9565600000000001</v>
      </c>
      <c r="J127" t="s">
        <v>93</v>
      </c>
      <c r="K127" s="25">
        <v>24</v>
      </c>
      <c r="L127" s="25">
        <v>23</v>
      </c>
      <c r="M127" s="26">
        <v>947.11086839999996</v>
      </c>
      <c r="N127" s="26">
        <v>405.35</v>
      </c>
      <c r="O127" s="25">
        <v>-18.915990541053269</v>
      </c>
      <c r="P127" s="27">
        <f t="shared" si="24"/>
        <v>-1.8915990541053269E-2</v>
      </c>
      <c r="Q127" s="25">
        <v>260.57316041795832</v>
      </c>
      <c r="R127" s="27">
        <f t="shared" si="26"/>
        <v>0.2605731604179583</v>
      </c>
      <c r="S127" s="5">
        <v>0.74897820000000004</v>
      </c>
      <c r="T127" s="6">
        <v>0.19831360000000001</v>
      </c>
      <c r="U127" s="5">
        <v>6.2196000000000001E-2</v>
      </c>
      <c r="V127" s="6">
        <v>0.95970639999999996</v>
      </c>
      <c r="W127" s="6">
        <v>1.3357709999999998</v>
      </c>
      <c r="X127" s="6">
        <v>0.19275740000000002</v>
      </c>
      <c r="Y127" s="6">
        <v>9.8832000000000003E-2</v>
      </c>
      <c r="Z127" s="6">
        <v>1.1110207999999999</v>
      </c>
      <c r="AA127" s="6" t="s">
        <v>88</v>
      </c>
      <c r="AB127" s="21" t="s">
        <v>89</v>
      </c>
      <c r="AC127" s="21">
        <v>30.779933967401046</v>
      </c>
      <c r="AD127" s="21">
        <v>2.3762459239137956</v>
      </c>
      <c r="AE127" s="21">
        <v>2.9408437500009303</v>
      </c>
      <c r="AF127" s="21">
        <v>4.3031603260883164</v>
      </c>
      <c r="AG127" s="6">
        <v>41.409323174999997</v>
      </c>
      <c r="AH127" s="6">
        <v>0.22980014026641443</v>
      </c>
      <c r="AI127" s="6">
        <v>2</v>
      </c>
      <c r="AJ127" s="6">
        <v>42.365044500000003</v>
      </c>
      <c r="AK127" s="6">
        <v>1.3642257798479596</v>
      </c>
      <c r="AL127" s="6">
        <v>2</v>
      </c>
      <c r="AM127" s="21">
        <f>103.560314560766+AM129</f>
        <v>66.555372923743562</v>
      </c>
      <c r="AN127" s="21">
        <v>0.31504080000000001</v>
      </c>
      <c r="AO127" s="21">
        <v>3.4795959999999999</v>
      </c>
      <c r="AP127" s="21">
        <v>11.044905929644667</v>
      </c>
      <c r="AQ127" s="21">
        <v>0.30369935000000003</v>
      </c>
      <c r="AR127" s="21">
        <v>3.5300435000000001</v>
      </c>
      <c r="AS127" s="21">
        <v>11.623480590261387</v>
      </c>
      <c r="AT127" s="6" t="s">
        <v>87</v>
      </c>
      <c r="AU127" s="6">
        <v>7.7877457530062921</v>
      </c>
      <c r="AV127" s="6">
        <v>7.2059413890003681</v>
      </c>
      <c r="AW127" s="6" t="s">
        <v>74</v>
      </c>
      <c r="AX127" s="6" t="s">
        <v>74</v>
      </c>
      <c r="AY127" s="6">
        <v>12.796081719797286</v>
      </c>
      <c r="AZ127" s="6">
        <v>3.6431096556300022</v>
      </c>
      <c r="BA127" s="6">
        <v>4.7414010886779572</v>
      </c>
      <c r="BB127" s="6">
        <v>0.17252931474237737</v>
      </c>
      <c r="BC127" s="6">
        <v>4.1509711114737486</v>
      </c>
      <c r="BD127" s="6">
        <v>6.0507990007783059</v>
      </c>
      <c r="BE127" s="21" t="s">
        <v>74</v>
      </c>
      <c r="BF127" s="21" t="s">
        <v>74</v>
      </c>
      <c r="BG127" s="21" t="s">
        <v>74</v>
      </c>
      <c r="BH127" s="21" t="s">
        <v>74</v>
      </c>
      <c r="BI127" s="21" t="s">
        <v>74</v>
      </c>
      <c r="BJ127" s="21" t="s">
        <v>74</v>
      </c>
      <c r="BK127" s="21" t="s">
        <v>74</v>
      </c>
      <c r="BL127" s="21" t="s">
        <v>74</v>
      </c>
      <c r="BM127" s="6">
        <v>0.97666666666666402</v>
      </c>
      <c r="BN127" s="6">
        <v>1.1552222222222255</v>
      </c>
      <c r="BO127" s="6">
        <v>1.1013749999999958</v>
      </c>
      <c r="BP127" s="6">
        <v>1.2038000000000011</v>
      </c>
      <c r="BQ127" s="6">
        <v>0.72659111910291763</v>
      </c>
      <c r="BR127" s="6">
        <v>0.69966092107110012</v>
      </c>
      <c r="BS127" s="6">
        <v>0.48980885409486452</v>
      </c>
      <c r="BT127" s="6">
        <v>0.61271026298909625</v>
      </c>
    </row>
    <row r="128" spans="1:72" ht="15" x14ac:dyDescent="0.2">
      <c r="A128" s="5" t="s">
        <v>79</v>
      </c>
      <c r="B128" s="13">
        <v>43283</v>
      </c>
      <c r="C128" s="5">
        <v>40</v>
      </c>
      <c r="D128" s="5">
        <v>7</v>
      </c>
      <c r="E128" s="5">
        <v>2</v>
      </c>
      <c r="F128" s="6">
        <v>2018</v>
      </c>
      <c r="G128">
        <v>41.77946</v>
      </c>
      <c r="H128">
        <v>-71.380129999999994</v>
      </c>
      <c r="I128">
        <f>9.7*0.3048</f>
        <v>2.9565600000000001</v>
      </c>
      <c r="J128" t="s">
        <v>93</v>
      </c>
      <c r="K128" s="25">
        <v>25</v>
      </c>
      <c r="L128" s="25">
        <v>23</v>
      </c>
      <c r="M128" s="26">
        <v>1085.73569</v>
      </c>
      <c r="N128" s="26">
        <v>46.09</v>
      </c>
      <c r="O128" s="25">
        <v>50.375097257819185</v>
      </c>
      <c r="P128" s="27">
        <f t="shared" ref="P128:P159" si="27">O128/1000</f>
        <v>5.0375097257819183E-2</v>
      </c>
      <c r="Q128" s="25">
        <v>794.52022454485007</v>
      </c>
      <c r="R128" s="27">
        <f t="shared" si="26"/>
        <v>0.79452022454485005</v>
      </c>
      <c r="S128" s="5">
        <v>0.74897820000000004</v>
      </c>
      <c r="T128" s="6">
        <v>0.19831360000000001</v>
      </c>
      <c r="U128" s="5">
        <v>6.2196000000000001E-2</v>
      </c>
      <c r="V128" s="6">
        <v>0.95970639999999996</v>
      </c>
      <c r="W128" s="6">
        <v>1.3357709999999998</v>
      </c>
      <c r="X128" s="6">
        <v>0.19275740000000002</v>
      </c>
      <c r="Y128" s="6">
        <v>9.8832000000000003E-2</v>
      </c>
      <c r="Z128" s="6">
        <v>1.1110207999999999</v>
      </c>
      <c r="AA128" s="6" t="s">
        <v>88</v>
      </c>
      <c r="AB128" s="21" t="s">
        <v>89</v>
      </c>
      <c r="AC128" s="21">
        <v>106.02592000030477</v>
      </c>
      <c r="AD128" s="21">
        <v>6.4583791495384562</v>
      </c>
      <c r="AE128" s="21">
        <v>10.176421399206205</v>
      </c>
      <c r="AF128" s="21">
        <v>32.536774760038654</v>
      </c>
      <c r="AG128" s="6">
        <v>41.409323174999997</v>
      </c>
      <c r="AH128" s="6">
        <v>0.22980014026641443</v>
      </c>
      <c r="AI128" s="6">
        <v>2</v>
      </c>
      <c r="AJ128" s="6">
        <v>42.365044500000003</v>
      </c>
      <c r="AK128" s="6">
        <v>1.3642257798479596</v>
      </c>
      <c r="AL128" s="6">
        <v>2</v>
      </c>
      <c r="AM128" s="21">
        <f>547.050515661714+AM129</f>
        <v>510.04557402469158</v>
      </c>
      <c r="AN128" s="21">
        <v>0.34727465000000002</v>
      </c>
      <c r="AO128" s="21">
        <v>3.8955225000000002</v>
      </c>
      <c r="AP128" s="21">
        <v>11.217411060669127</v>
      </c>
      <c r="AQ128" s="21">
        <v>0.3528017</v>
      </c>
      <c r="AR128" s="21">
        <v>3.7911044999999999</v>
      </c>
      <c r="AS128" s="21">
        <v>10.745709275210409</v>
      </c>
      <c r="AT128" s="6" t="s">
        <v>87</v>
      </c>
      <c r="AU128" s="6">
        <v>9.2943548387096833</v>
      </c>
      <c r="AV128" s="6">
        <v>8.9075959279560841</v>
      </c>
      <c r="AW128" s="6" t="s">
        <v>74</v>
      </c>
      <c r="AX128" s="6" t="s">
        <v>74</v>
      </c>
      <c r="AY128" s="6">
        <v>12.796081719797286</v>
      </c>
      <c r="AZ128" s="6">
        <v>3.6431096556300022</v>
      </c>
      <c r="BA128" s="6">
        <v>4.7414010886779572</v>
      </c>
      <c r="BB128" s="6">
        <v>0.17252931474237737</v>
      </c>
      <c r="BC128" s="6">
        <v>4.1509711114737486</v>
      </c>
      <c r="BD128" s="6">
        <v>6.0507990007783059</v>
      </c>
      <c r="BE128" s="21">
        <v>59.791241202729779</v>
      </c>
      <c r="BF128" s="21">
        <v>298.38746314345235</v>
      </c>
      <c r="BG128" s="21">
        <v>91.080863246933717</v>
      </c>
      <c r="BH128" s="21">
        <v>487.41705956441768</v>
      </c>
      <c r="BI128" s="21">
        <v>92.392737482526087</v>
      </c>
      <c r="BJ128" s="21">
        <v>585.07392437973238</v>
      </c>
      <c r="BK128" s="21">
        <v>70.074445340502194</v>
      </c>
      <c r="BL128" s="21">
        <v>376.87436955555523</v>
      </c>
      <c r="BM128" s="6">
        <v>1.0413749999999935</v>
      </c>
      <c r="BN128" s="6">
        <v>1.1471000000000018</v>
      </c>
      <c r="BO128" s="6">
        <v>1.2002000000000024</v>
      </c>
      <c r="BP128" s="6">
        <v>1.2892999999999972</v>
      </c>
      <c r="BQ128" s="6">
        <v>0.81447083958316391</v>
      </c>
      <c r="BR128" s="6">
        <v>0.75914101411336332</v>
      </c>
      <c r="BS128" s="6">
        <v>0.67226995859032068</v>
      </c>
      <c r="BT128" s="6">
        <v>0.63313191010085346</v>
      </c>
    </row>
    <row r="129" spans="1:72" ht="15" x14ac:dyDescent="0.2">
      <c r="A129" s="5" t="s">
        <v>79</v>
      </c>
      <c r="B129" s="13">
        <v>43283</v>
      </c>
      <c r="C129" s="5" t="s">
        <v>101</v>
      </c>
      <c r="D129" s="5">
        <v>7</v>
      </c>
      <c r="E129" s="5">
        <v>2</v>
      </c>
      <c r="F129" s="6">
        <v>2018</v>
      </c>
      <c r="G129">
        <v>41.77946</v>
      </c>
      <c r="H129">
        <v>-71.380129999999994</v>
      </c>
      <c r="I129">
        <f>9.7*0.3048</f>
        <v>2.9565600000000001</v>
      </c>
      <c r="J129" t="s">
        <v>93</v>
      </c>
      <c r="K129" s="25">
        <v>25</v>
      </c>
      <c r="L129" s="25">
        <v>23</v>
      </c>
      <c r="M129" s="26">
        <v>0</v>
      </c>
      <c r="N129" s="26">
        <v>0</v>
      </c>
      <c r="O129" s="25">
        <v>-45.219181323357702</v>
      </c>
      <c r="P129" s="27">
        <f t="shared" si="27"/>
        <v>-4.5219181323357699E-2</v>
      </c>
      <c r="Q129" s="25">
        <v>-476.77232105350492</v>
      </c>
      <c r="R129" s="27">
        <f t="shared" si="26"/>
        <v>-0.47677232105350492</v>
      </c>
      <c r="S129" s="5">
        <v>0.74897820000000004</v>
      </c>
      <c r="T129" s="6">
        <v>0.19831360000000001</v>
      </c>
      <c r="U129" s="5">
        <v>6.2196000000000001E-2</v>
      </c>
      <c r="V129" s="6">
        <v>0.95970639999999996</v>
      </c>
      <c r="W129" s="6">
        <v>1.3357709999999998</v>
      </c>
      <c r="X129" s="6">
        <v>0.19275740000000002</v>
      </c>
      <c r="Y129" s="6">
        <v>9.8832000000000003E-2</v>
      </c>
      <c r="Z129" s="6">
        <v>1.1110207999999999</v>
      </c>
      <c r="AA129" s="6" t="s">
        <v>88</v>
      </c>
      <c r="AB129" s="21" t="s">
        <v>89</v>
      </c>
      <c r="AC129" s="21">
        <v>-22.57598743773416</v>
      </c>
      <c r="AD129" s="21">
        <v>0.50976060605423035</v>
      </c>
      <c r="AE129" s="21">
        <v>0.71796655646484941</v>
      </c>
      <c r="AF129" s="21">
        <v>1.0298239669292668</v>
      </c>
      <c r="AG129" s="6">
        <v>41.409323174999997</v>
      </c>
      <c r="AH129" s="6">
        <v>0.22980014026641443</v>
      </c>
      <c r="AI129" s="6">
        <v>2</v>
      </c>
      <c r="AJ129" s="6">
        <v>42.365044500000003</v>
      </c>
      <c r="AK129" s="6">
        <v>1.3642257798479596</v>
      </c>
      <c r="AL129" s="6">
        <v>2</v>
      </c>
      <c r="AM129" s="21">
        <v>-37.004941637022448</v>
      </c>
      <c r="AN129" s="21" t="s">
        <v>74</v>
      </c>
      <c r="AO129" s="21" t="s">
        <v>74</v>
      </c>
      <c r="AP129" s="21" t="s">
        <v>74</v>
      </c>
      <c r="AQ129" s="21" t="s">
        <v>74</v>
      </c>
      <c r="AR129" s="21" t="s">
        <v>74</v>
      </c>
      <c r="AS129" s="21" t="s">
        <v>74</v>
      </c>
      <c r="AT129" s="6" t="s">
        <v>74</v>
      </c>
      <c r="AU129" s="6" t="s">
        <v>74</v>
      </c>
      <c r="AV129" s="6" t="s">
        <v>74</v>
      </c>
      <c r="AW129" s="6" t="s">
        <v>74</v>
      </c>
      <c r="AX129" s="6" t="s">
        <v>74</v>
      </c>
      <c r="AY129" s="6">
        <v>12.796081719797286</v>
      </c>
      <c r="AZ129" s="6">
        <v>3.6431096556300022</v>
      </c>
      <c r="BA129" s="6">
        <v>4.7414010886779572</v>
      </c>
      <c r="BB129" s="6">
        <v>0.17252931474237737</v>
      </c>
      <c r="BC129" s="6">
        <v>4.1509711114737486</v>
      </c>
      <c r="BD129" s="6">
        <v>6.0507990007783059</v>
      </c>
      <c r="BE129" s="21" t="s">
        <v>74</v>
      </c>
      <c r="BF129" s="21" t="s">
        <v>74</v>
      </c>
      <c r="BG129" s="21" t="s">
        <v>74</v>
      </c>
      <c r="BH129" s="21" t="s">
        <v>74</v>
      </c>
      <c r="BI129" s="21" t="s">
        <v>74</v>
      </c>
      <c r="BJ129" s="21" t="s">
        <v>74</v>
      </c>
      <c r="BK129" s="21" t="s">
        <v>74</v>
      </c>
      <c r="BL129" s="21" t="s">
        <v>74</v>
      </c>
      <c r="BM129" s="6" t="s">
        <v>74</v>
      </c>
      <c r="BN129" s="6" t="s">
        <v>74</v>
      </c>
      <c r="BO129" s="6" t="s">
        <v>74</v>
      </c>
      <c r="BP129" s="6" t="s">
        <v>74</v>
      </c>
      <c r="BQ129" s="6" t="s">
        <v>74</v>
      </c>
      <c r="BR129" s="6" t="s">
        <v>74</v>
      </c>
      <c r="BS129" s="6" t="s">
        <v>74</v>
      </c>
      <c r="BT129" s="6" t="s">
        <v>74</v>
      </c>
    </row>
    <row r="130" spans="1:72" ht="15" x14ac:dyDescent="0.2">
      <c r="A130" s="5" t="s">
        <v>72</v>
      </c>
      <c r="B130" s="13">
        <v>43337</v>
      </c>
      <c r="C130" s="5">
        <v>5</v>
      </c>
      <c r="D130" s="5">
        <v>8</v>
      </c>
      <c r="E130" s="5">
        <v>25</v>
      </c>
      <c r="F130" s="6">
        <v>2018</v>
      </c>
      <c r="G130">
        <v>41.546869999999998</v>
      </c>
      <c r="H130">
        <v>-71.356080000000006</v>
      </c>
      <c r="I130">
        <f>32*0.3048</f>
        <v>9.7536000000000005</v>
      </c>
      <c r="J130" t="s">
        <v>93</v>
      </c>
      <c r="K130" s="31">
        <v>29</v>
      </c>
      <c r="L130" s="31">
        <v>20</v>
      </c>
      <c r="M130" s="26">
        <v>382.85259309999998</v>
      </c>
      <c r="N130" s="26">
        <v>34.979999999999997</v>
      </c>
      <c r="O130" s="23">
        <v>22.239787721096484</v>
      </c>
      <c r="P130" s="25">
        <f t="shared" si="27"/>
        <v>2.2239787721096485E-2</v>
      </c>
      <c r="Q130" s="23">
        <v>72.235842360922788</v>
      </c>
      <c r="R130" s="25">
        <f t="shared" si="26"/>
        <v>7.2235842360922786E-2</v>
      </c>
      <c r="S130" s="5">
        <v>0.94640866666666668</v>
      </c>
      <c r="T130" s="6">
        <v>0.68630066666666667</v>
      </c>
      <c r="U130" s="6">
        <v>0.12325</v>
      </c>
      <c r="V130" s="6">
        <v>1.0341260000000001</v>
      </c>
      <c r="W130" s="6">
        <v>1.7546346666666668</v>
      </c>
      <c r="X130" s="6">
        <v>0.82573999999999992</v>
      </c>
      <c r="Y130" s="6">
        <v>0.14016666666666669</v>
      </c>
      <c r="Z130" s="6">
        <v>0.84287466666666666</v>
      </c>
      <c r="AA130" s="6" t="s">
        <v>88</v>
      </c>
      <c r="AB130" s="21" t="s">
        <v>89</v>
      </c>
      <c r="AC130" s="21">
        <v>43.933544607408351</v>
      </c>
      <c r="AD130" s="21">
        <v>7.860795605897847</v>
      </c>
      <c r="AE130" s="21">
        <v>21.065778162554562</v>
      </c>
      <c r="AF130" s="21">
        <v>4.0614549933623589</v>
      </c>
      <c r="AG130" s="6">
        <v>19.895000000000003</v>
      </c>
      <c r="AH130" s="6">
        <v>1.7677669529663938E-2</v>
      </c>
      <c r="AI130" s="6">
        <v>2</v>
      </c>
      <c r="AJ130" s="6">
        <v>27.615000000000002</v>
      </c>
      <c r="AK130" s="6">
        <v>3.5355339059332902E-3</v>
      </c>
      <c r="AL130" s="6">
        <v>2</v>
      </c>
      <c r="AM130" s="21">
        <f>204.793939263777+AM134</f>
        <v>208.15845539280926</v>
      </c>
      <c r="AN130" s="21">
        <v>0.20342435</v>
      </c>
      <c r="AO130" s="21">
        <v>1.7819864999999999</v>
      </c>
      <c r="AP130" s="21">
        <v>8.7599468795156525</v>
      </c>
      <c r="AQ130" s="21">
        <v>0.16845435</v>
      </c>
      <c r="AR130" s="21">
        <v>1.5259995</v>
      </c>
      <c r="AS130" s="21">
        <v>9.0588310720382097</v>
      </c>
      <c r="AT130" s="6" t="s">
        <v>87</v>
      </c>
      <c r="AU130" s="6">
        <v>5.025641025641062</v>
      </c>
      <c r="AV130" s="6">
        <v>4.4214655018720572</v>
      </c>
      <c r="AW130" s="6">
        <v>70.413612505574662</v>
      </c>
      <c r="AX130" s="6">
        <v>7.373440519617148</v>
      </c>
      <c r="AY130" s="6">
        <v>2.3661304999999997</v>
      </c>
      <c r="AZ130" s="6">
        <v>3.3050009999999999</v>
      </c>
      <c r="BA130" s="6">
        <v>5.0005575000000002</v>
      </c>
      <c r="BB130" s="6">
        <v>3.9910684999999999</v>
      </c>
      <c r="BC130" s="6">
        <v>40.128022337075997</v>
      </c>
      <c r="BD130" s="6">
        <v>19.286775267693766</v>
      </c>
      <c r="BE130" s="21">
        <v>23.346338304116358</v>
      </c>
      <c r="BF130" s="21">
        <v>163.15858901430855</v>
      </c>
      <c r="BG130" s="21">
        <v>39.108620337659836</v>
      </c>
      <c r="BH130" s="21">
        <v>153.18360964511851</v>
      </c>
      <c r="BI130" s="21">
        <v>14.983258800719174</v>
      </c>
      <c r="BJ130" s="21">
        <v>139.61270937071069</v>
      </c>
      <c r="BK130" s="21">
        <v>11.742601050162746</v>
      </c>
      <c r="BL130" s="21">
        <v>114.62536532161184</v>
      </c>
      <c r="BM130" s="6">
        <v>1.2973750000000008</v>
      </c>
      <c r="BN130" s="6">
        <v>1.424199999999999</v>
      </c>
      <c r="BO130" s="6">
        <v>1.1136250000000028</v>
      </c>
      <c r="BP130" s="6">
        <v>1.4222000000000037</v>
      </c>
      <c r="BQ130" s="6">
        <v>0.64449008107435524</v>
      </c>
      <c r="BR130" s="6">
        <v>0.6470122932460366</v>
      </c>
      <c r="BS130" s="6">
        <v>0.46924356824379571</v>
      </c>
      <c r="BT130" s="6">
        <v>0.60479701606733116</v>
      </c>
    </row>
    <row r="131" spans="1:72" ht="15" x14ac:dyDescent="0.2">
      <c r="A131" s="5" t="s">
        <v>72</v>
      </c>
      <c r="B131" s="13">
        <v>43337</v>
      </c>
      <c r="C131" s="5">
        <v>9</v>
      </c>
      <c r="D131" s="5">
        <v>8</v>
      </c>
      <c r="E131" s="5">
        <v>25</v>
      </c>
      <c r="F131" s="6">
        <v>2018</v>
      </c>
      <c r="G131">
        <v>41.546869999999998</v>
      </c>
      <c r="H131">
        <v>-71.356080000000006</v>
      </c>
      <c r="I131">
        <f>32*0.3048</f>
        <v>9.7536000000000005</v>
      </c>
      <c r="J131" t="s">
        <v>93</v>
      </c>
      <c r="K131" s="31">
        <v>31</v>
      </c>
      <c r="L131" s="31">
        <v>20</v>
      </c>
      <c r="M131" s="26">
        <v>304.34452599999997</v>
      </c>
      <c r="N131" s="26">
        <v>0</v>
      </c>
      <c r="O131" s="23">
        <v>0</v>
      </c>
      <c r="P131" s="25">
        <f t="shared" si="27"/>
        <v>0</v>
      </c>
      <c r="Q131" s="23">
        <v>308.99452717483092</v>
      </c>
      <c r="R131" s="25">
        <f t="shared" si="26"/>
        <v>0.30899452717483095</v>
      </c>
      <c r="S131" s="5">
        <v>0.94640866666666668</v>
      </c>
      <c r="T131" s="6">
        <v>0.68630066666666667</v>
      </c>
      <c r="U131" s="6">
        <v>0.12325</v>
      </c>
      <c r="V131" s="6">
        <v>1.0341260000000001</v>
      </c>
      <c r="W131" s="6">
        <v>1.7546346666666668</v>
      </c>
      <c r="X131" s="6">
        <v>0.82573999999999992</v>
      </c>
      <c r="Y131" s="6">
        <v>0.14016666666666669</v>
      </c>
      <c r="Z131" s="6">
        <v>0.84287466666666666</v>
      </c>
      <c r="AA131" s="6" t="s">
        <v>88</v>
      </c>
      <c r="AB131" s="21" t="s">
        <v>89</v>
      </c>
      <c r="AC131" s="21">
        <v>15.427781957251437</v>
      </c>
      <c r="AD131" s="21">
        <v>4.3161634486962148</v>
      </c>
      <c r="AE131" s="21">
        <v>20.608958455207517</v>
      </c>
      <c r="AF131" s="21">
        <v>-0.50569057922314631</v>
      </c>
      <c r="AG131" s="6">
        <v>19.895000000000003</v>
      </c>
      <c r="AH131" s="6">
        <v>1.7677669529663938E-2</v>
      </c>
      <c r="AI131" s="6">
        <v>2</v>
      </c>
      <c r="AJ131" s="6">
        <v>27.615000000000002</v>
      </c>
      <c r="AK131" s="6">
        <v>3.5355339059332902E-3</v>
      </c>
      <c r="AL131" s="6">
        <v>2</v>
      </c>
      <c r="AM131" s="21">
        <f>132.216708904257+AM134</f>
        <v>135.58122503328926</v>
      </c>
      <c r="AN131" s="21">
        <v>0.181224</v>
      </c>
      <c r="AO131" s="21">
        <v>1.6531950000000002</v>
      </c>
      <c r="AP131" s="21">
        <v>9.1223844523904134</v>
      </c>
      <c r="AQ131" s="21">
        <v>0.1728325</v>
      </c>
      <c r="AR131" s="21">
        <v>1.6239574999999999</v>
      </c>
      <c r="AS131" s="21">
        <v>9.3961349861860466</v>
      </c>
      <c r="AT131" s="6" t="s">
        <v>87</v>
      </c>
      <c r="AU131" s="6">
        <v>4.8692875673518206</v>
      </c>
      <c r="AV131" s="6">
        <v>4.5704197724597657</v>
      </c>
      <c r="AW131" s="6">
        <v>8.5379092062412525</v>
      </c>
      <c r="AX131" s="6" t="s">
        <v>74</v>
      </c>
      <c r="AY131" s="6">
        <v>2.3661304999999997</v>
      </c>
      <c r="AZ131" s="6">
        <v>3.3050009999999999</v>
      </c>
      <c r="BA131" s="6">
        <v>5.0005575000000002</v>
      </c>
      <c r="BB131" s="6">
        <v>3.9910684999999999</v>
      </c>
      <c r="BC131" s="6">
        <v>40.128022337075997</v>
      </c>
      <c r="BD131" s="6">
        <v>19.286775267693766</v>
      </c>
      <c r="BE131" s="21">
        <v>33.510991998416621</v>
      </c>
      <c r="BF131" s="21">
        <v>203.1300674022219</v>
      </c>
      <c r="BG131" s="21">
        <v>48.886896843060129</v>
      </c>
      <c r="BH131" s="21">
        <v>201.8130114125608</v>
      </c>
      <c r="BI131" s="21">
        <v>47.596530279652754</v>
      </c>
      <c r="BJ131" s="21">
        <v>294.55579425362174</v>
      </c>
      <c r="BK131" s="21">
        <v>21.085832980671626</v>
      </c>
      <c r="BL131" s="21">
        <v>210.05062154426582</v>
      </c>
      <c r="BM131" s="6">
        <v>1.4408999999999992</v>
      </c>
      <c r="BN131" s="6">
        <v>1.3466000000000022</v>
      </c>
      <c r="BO131" s="6">
        <v>1.5745000000000005</v>
      </c>
      <c r="BP131" s="6">
        <v>1.3996666666666686</v>
      </c>
      <c r="BQ131" s="6">
        <v>0.69799051380719068</v>
      </c>
      <c r="BR131" s="6">
        <v>0.59288920143027501</v>
      </c>
      <c r="BS131" s="6">
        <v>0.65189715767362499</v>
      </c>
      <c r="BT131" s="6">
        <v>0.55567044381492037</v>
      </c>
    </row>
    <row r="132" spans="1:72" ht="15" x14ac:dyDescent="0.2">
      <c r="A132" s="5" t="s">
        <v>72</v>
      </c>
      <c r="B132" s="13">
        <v>43337</v>
      </c>
      <c r="C132" s="5">
        <v>18</v>
      </c>
      <c r="D132" s="5">
        <v>8</v>
      </c>
      <c r="E132" s="5">
        <v>25</v>
      </c>
      <c r="F132" s="6">
        <v>2018</v>
      </c>
      <c r="G132">
        <v>41.546869999999998</v>
      </c>
      <c r="H132">
        <v>-71.356080000000006</v>
      </c>
      <c r="I132">
        <f>32*0.3048</f>
        <v>9.7536000000000005</v>
      </c>
      <c r="J132" t="s">
        <v>93</v>
      </c>
      <c r="K132" s="31">
        <v>31</v>
      </c>
      <c r="L132" s="31">
        <v>20</v>
      </c>
      <c r="M132" s="26">
        <v>608.74292370000001</v>
      </c>
      <c r="N132" s="26">
        <v>42.45</v>
      </c>
      <c r="O132" s="23">
        <v>0</v>
      </c>
      <c r="P132" s="25">
        <f t="shared" si="27"/>
        <v>0</v>
      </c>
      <c r="Q132" s="23">
        <v>-262.15022600629663</v>
      </c>
      <c r="R132" s="25">
        <f t="shared" si="26"/>
        <v>-0.26215022600629662</v>
      </c>
      <c r="S132" s="5">
        <v>0.94640866666666668</v>
      </c>
      <c r="T132" s="6">
        <v>0.68630066666666667</v>
      </c>
      <c r="U132" s="6">
        <v>0.12325</v>
      </c>
      <c r="V132" s="6">
        <v>1.0341260000000001</v>
      </c>
      <c r="W132" s="6">
        <v>1.7546346666666668</v>
      </c>
      <c r="X132" s="6">
        <v>0.82573999999999992</v>
      </c>
      <c r="Y132" s="6">
        <v>0.14016666666666669</v>
      </c>
      <c r="Z132" s="6">
        <v>0.84287466666666666</v>
      </c>
      <c r="AA132" s="6" t="s">
        <v>88</v>
      </c>
      <c r="AB132" s="21" t="s">
        <v>89</v>
      </c>
      <c r="AC132" s="21">
        <v>39.241450013118751</v>
      </c>
      <c r="AD132" s="21">
        <v>5.3883419312019951</v>
      </c>
      <c r="AE132" s="21">
        <v>18.975996917936815</v>
      </c>
      <c r="AF132" s="21">
        <v>30.759687453618444</v>
      </c>
      <c r="AG132" s="6">
        <v>19.895000000000003</v>
      </c>
      <c r="AH132" s="6">
        <v>1.7677669529663938E-2</v>
      </c>
      <c r="AI132" s="6">
        <v>2</v>
      </c>
      <c r="AJ132" s="6">
        <v>27.615000000000002</v>
      </c>
      <c r="AK132" s="6">
        <v>3.5355339059332902E-3</v>
      </c>
      <c r="AL132" s="6">
        <v>2</v>
      </c>
      <c r="AM132" s="21">
        <f>151.85145609319+AM134</f>
        <v>155.21597222222226</v>
      </c>
      <c r="AN132" s="21">
        <v>0.1766451</v>
      </c>
      <c r="AO132" s="21">
        <v>1.702644</v>
      </c>
      <c r="AP132" s="21">
        <v>9.6387842062983911</v>
      </c>
      <c r="AQ132" s="21">
        <v>0.16885994999999998</v>
      </c>
      <c r="AR132" s="21">
        <v>1.568478</v>
      </c>
      <c r="AS132" s="21">
        <v>9.2886323844108691</v>
      </c>
      <c r="AT132" s="6" t="s">
        <v>87</v>
      </c>
      <c r="AU132" s="6">
        <v>4.5012889153282529</v>
      </c>
      <c r="AV132" s="6">
        <v>4.4171036708350204</v>
      </c>
      <c r="AW132" s="6">
        <v>18.349728486629019</v>
      </c>
      <c r="AX132" s="6" t="s">
        <v>74</v>
      </c>
      <c r="AY132" s="6">
        <v>2.3661304999999997</v>
      </c>
      <c r="AZ132" s="6">
        <v>3.3050009999999999</v>
      </c>
      <c r="BA132" s="6">
        <v>5.0005575000000002</v>
      </c>
      <c r="BB132" s="6">
        <v>3.9910684999999999</v>
      </c>
      <c r="BC132" s="6">
        <v>40.128022337075997</v>
      </c>
      <c r="BD132" s="6">
        <v>19.286775267693766</v>
      </c>
      <c r="BE132" s="21">
        <v>34.437902482710037</v>
      </c>
      <c r="BF132" s="21">
        <v>257.87105110796711</v>
      </c>
      <c r="BG132" s="21">
        <v>37.520517018522867</v>
      </c>
      <c r="BH132" s="21">
        <v>176.02151476291269</v>
      </c>
      <c r="BI132" s="21">
        <v>11.082977850470879</v>
      </c>
      <c r="BJ132" s="21">
        <v>119.84771007051485</v>
      </c>
      <c r="BK132" s="21">
        <v>16.810231122705019</v>
      </c>
      <c r="BL132" s="21">
        <v>241.92939505546082</v>
      </c>
      <c r="BM132" s="6">
        <v>1.2464999999999995</v>
      </c>
      <c r="BN132" s="6">
        <v>1.3549000000000007</v>
      </c>
      <c r="BO132" s="6">
        <v>1.2995999999999981</v>
      </c>
      <c r="BP132" s="6">
        <v>1.5090000000000003</v>
      </c>
      <c r="BQ132" s="6">
        <v>0.59302595467246177</v>
      </c>
      <c r="BR132" s="6">
        <v>0.56511349100175212</v>
      </c>
      <c r="BS132" s="6">
        <v>0.52626195669868081</v>
      </c>
      <c r="BT132" s="6">
        <v>0.62604113677653794</v>
      </c>
    </row>
    <row r="133" spans="1:72" ht="15" x14ac:dyDescent="0.2">
      <c r="A133" s="5" t="s">
        <v>72</v>
      </c>
      <c r="B133" s="13">
        <v>43337</v>
      </c>
      <c r="C133" s="5">
        <v>40</v>
      </c>
      <c r="D133" s="5">
        <v>8</v>
      </c>
      <c r="E133" s="5">
        <v>25</v>
      </c>
      <c r="F133" s="6">
        <v>2018</v>
      </c>
      <c r="G133">
        <v>41.546869999999998</v>
      </c>
      <c r="H133">
        <v>-71.356080000000006</v>
      </c>
      <c r="I133">
        <f>32*0.3048</f>
        <v>9.7536000000000005</v>
      </c>
      <c r="J133" t="s">
        <v>93</v>
      </c>
      <c r="K133" s="31">
        <v>31</v>
      </c>
      <c r="L133" s="31">
        <v>20</v>
      </c>
      <c r="M133" s="26">
        <v>682.37630669999999</v>
      </c>
      <c r="N133" s="26">
        <v>49.26</v>
      </c>
      <c r="O133" s="23">
        <v>0</v>
      </c>
      <c r="P133" s="25">
        <f t="shared" si="27"/>
        <v>0</v>
      </c>
      <c r="Q133" s="23">
        <v>0</v>
      </c>
      <c r="R133" s="25">
        <f t="shared" si="26"/>
        <v>0</v>
      </c>
      <c r="S133" s="5">
        <v>0.94640866666666668</v>
      </c>
      <c r="T133" s="6">
        <v>0.68630066666666667</v>
      </c>
      <c r="U133" s="6">
        <v>0.12325</v>
      </c>
      <c r="V133" s="6">
        <v>1.0341260000000001</v>
      </c>
      <c r="W133" s="6">
        <v>1.7546346666666668</v>
      </c>
      <c r="X133" s="6">
        <v>0.82573999999999992</v>
      </c>
      <c r="Y133" s="6">
        <v>0.14016666666666669</v>
      </c>
      <c r="Z133" s="6">
        <v>0.84287466666666666</v>
      </c>
      <c r="AA133" s="6" t="s">
        <v>88</v>
      </c>
      <c r="AB133" s="21" t="s">
        <v>89</v>
      </c>
      <c r="AC133" s="21">
        <v>71.671504793964047</v>
      </c>
      <c r="AD133" s="21">
        <v>6.5696005326557572</v>
      </c>
      <c r="AE133" s="21">
        <v>17.90569360861079</v>
      </c>
      <c r="AF133" s="21">
        <v>3.2782123169270454</v>
      </c>
      <c r="AG133" s="6">
        <v>19.895000000000003</v>
      </c>
      <c r="AH133" s="6">
        <v>1.7677669529663938E-2</v>
      </c>
      <c r="AI133" s="6">
        <v>2</v>
      </c>
      <c r="AJ133" s="6">
        <v>27.615000000000002</v>
      </c>
      <c r="AK133" s="6">
        <v>3.5355339059332902E-3</v>
      </c>
      <c r="AL133" s="6">
        <v>2</v>
      </c>
      <c r="AM133" s="21">
        <f>362.219039130622+AM134</f>
        <v>365.58355525965425</v>
      </c>
      <c r="AN133" s="21">
        <v>0.1661058</v>
      </c>
      <c r="AO133" s="21">
        <v>1.5326880000000001</v>
      </c>
      <c r="AP133" s="21">
        <v>9.2271793037931253</v>
      </c>
      <c r="AQ133" s="21">
        <v>0.16748725</v>
      </c>
      <c r="AR133" s="21">
        <v>1.5758925000000001</v>
      </c>
      <c r="AS133" s="21">
        <v>9.4090296425548825</v>
      </c>
      <c r="AT133" s="6" t="s">
        <v>87</v>
      </c>
      <c r="AU133" s="6">
        <v>3.860206513105672</v>
      </c>
      <c r="AV133" s="6">
        <v>4.2537313432836106</v>
      </c>
      <c r="AW133" s="6">
        <v>11.288165559761541</v>
      </c>
      <c r="AX133" s="6">
        <v>8.4411904707935701</v>
      </c>
      <c r="AY133" s="6">
        <v>2.3661304999999997</v>
      </c>
      <c r="AZ133" s="6">
        <v>3.3050009999999999</v>
      </c>
      <c r="BA133" s="6">
        <v>5.0005575000000002</v>
      </c>
      <c r="BB133" s="6">
        <v>3.9910684999999999</v>
      </c>
      <c r="BC133" s="6">
        <v>40.128022337075997</v>
      </c>
      <c r="BD133" s="6">
        <v>19.286775267693766</v>
      </c>
      <c r="BE133" s="21">
        <v>52.616090004258815</v>
      </c>
      <c r="BF133" s="21">
        <v>174.89315098153369</v>
      </c>
      <c r="BG133" s="21">
        <v>77.525810091443319</v>
      </c>
      <c r="BH133" s="21">
        <v>234.18802903870738</v>
      </c>
      <c r="BI133" s="21">
        <v>24.591403512338641</v>
      </c>
      <c r="BJ133" s="21">
        <v>207.35855629874266</v>
      </c>
      <c r="BK133" s="21">
        <v>20.411506591165772</v>
      </c>
      <c r="BL133" s="21">
        <v>214.12528403461803</v>
      </c>
      <c r="BM133" s="6">
        <v>1.4318000000000026</v>
      </c>
      <c r="BN133" s="6">
        <v>1.4117999999999995</v>
      </c>
      <c r="BO133" s="6">
        <v>1.3672727272727256</v>
      </c>
      <c r="BP133" s="6">
        <v>1.5115999999999943</v>
      </c>
      <c r="BQ133" s="6">
        <v>0.66979270005613534</v>
      </c>
      <c r="BR133" s="6">
        <v>0.53372880019575297</v>
      </c>
      <c r="BS133" s="6">
        <v>0.54406182262679159</v>
      </c>
      <c r="BT133" s="6">
        <v>0.58710315258511747</v>
      </c>
    </row>
    <row r="134" spans="1:72" ht="15" x14ac:dyDescent="0.2">
      <c r="A134" s="5" t="s">
        <v>72</v>
      </c>
      <c r="B134" s="13">
        <v>43337</v>
      </c>
      <c r="C134" s="5" t="s">
        <v>100</v>
      </c>
      <c r="D134" s="5">
        <v>8</v>
      </c>
      <c r="E134" s="5">
        <v>25</v>
      </c>
      <c r="F134" s="6">
        <v>2018</v>
      </c>
      <c r="G134">
        <v>41.546869999999998</v>
      </c>
      <c r="H134">
        <v>-71.356080000000006</v>
      </c>
      <c r="I134">
        <f>32*0.3048</f>
        <v>9.7536000000000005</v>
      </c>
      <c r="J134" t="s">
        <v>93</v>
      </c>
      <c r="K134" s="31">
        <v>31</v>
      </c>
      <c r="L134" s="31">
        <v>20</v>
      </c>
      <c r="M134" s="26">
        <v>269.329660232143</v>
      </c>
      <c r="N134" s="26">
        <v>-275.23622930709303</v>
      </c>
      <c r="O134" s="23">
        <v>0</v>
      </c>
      <c r="P134" s="25">
        <f t="shared" si="27"/>
        <v>0</v>
      </c>
      <c r="Q134" s="23">
        <v>0</v>
      </c>
      <c r="R134" s="25">
        <f t="shared" si="26"/>
        <v>0</v>
      </c>
      <c r="S134" s="5">
        <v>0.94640866666666668</v>
      </c>
      <c r="T134" s="6">
        <v>0.68630066666666667</v>
      </c>
      <c r="U134" s="6">
        <v>0.12325</v>
      </c>
      <c r="V134" s="6">
        <v>1.0341260000000001</v>
      </c>
      <c r="W134" s="6">
        <v>1.7546346666666668</v>
      </c>
      <c r="X134" s="6">
        <v>0.82573999999999992</v>
      </c>
      <c r="Y134" s="6">
        <v>0.14016666666666669</v>
      </c>
      <c r="Z134" s="6">
        <v>0.84287466666666666</v>
      </c>
      <c r="AA134" s="6" t="s">
        <v>88</v>
      </c>
      <c r="AB134" s="21" t="s">
        <v>89</v>
      </c>
      <c r="AC134" s="21">
        <v>-3.8511212903515073</v>
      </c>
      <c r="AD134" s="21">
        <v>5.8077956989683446E-2</v>
      </c>
      <c r="AE134" s="21">
        <v>4.5055517204639441</v>
      </c>
      <c r="AF134" s="21">
        <v>-3.3010950000247892</v>
      </c>
      <c r="AG134" s="6">
        <v>19.895000000000003</v>
      </c>
      <c r="AH134" s="6">
        <v>1.7677669529663938E-2</v>
      </c>
      <c r="AI134" s="6">
        <v>2</v>
      </c>
      <c r="AJ134" s="6">
        <v>27.615000000000002</v>
      </c>
      <c r="AK134" s="6">
        <v>3.5355339059332902E-3</v>
      </c>
      <c r="AL134" s="6">
        <v>2</v>
      </c>
      <c r="AM134" s="21">
        <v>3.3645161290322712</v>
      </c>
      <c r="AN134" s="21" t="s">
        <v>74</v>
      </c>
      <c r="AO134" s="21" t="s">
        <v>74</v>
      </c>
      <c r="AP134" s="21" t="s">
        <v>74</v>
      </c>
      <c r="AQ134" s="21" t="s">
        <v>74</v>
      </c>
      <c r="AR134" s="21" t="s">
        <v>74</v>
      </c>
      <c r="AS134" s="21" t="s">
        <v>74</v>
      </c>
      <c r="AT134" s="6" t="s">
        <v>74</v>
      </c>
      <c r="AU134" s="6" t="s">
        <v>74</v>
      </c>
      <c r="AV134" s="6" t="s">
        <v>74</v>
      </c>
      <c r="AW134" s="6" t="s">
        <v>74</v>
      </c>
      <c r="AX134" s="6" t="s">
        <v>74</v>
      </c>
      <c r="AY134" s="6">
        <v>2.3661304999999997</v>
      </c>
      <c r="AZ134" s="6">
        <v>3.3050009999999999</v>
      </c>
      <c r="BA134" s="6">
        <v>5.0005575000000002</v>
      </c>
      <c r="BB134" s="6">
        <v>3.9910684999999999</v>
      </c>
      <c r="BC134" s="6">
        <v>40.128022337075997</v>
      </c>
      <c r="BD134" s="6">
        <v>19.286775267693766</v>
      </c>
      <c r="BE134" s="21" t="s">
        <v>74</v>
      </c>
      <c r="BF134" s="21" t="s">
        <v>74</v>
      </c>
      <c r="BG134" s="21" t="s">
        <v>74</v>
      </c>
      <c r="BH134" s="21" t="s">
        <v>74</v>
      </c>
      <c r="BI134" s="21" t="s">
        <v>74</v>
      </c>
      <c r="BJ134" s="21" t="s">
        <v>74</v>
      </c>
      <c r="BK134" s="21" t="s">
        <v>74</v>
      </c>
      <c r="BL134" s="21" t="s">
        <v>74</v>
      </c>
      <c r="BM134" s="6" t="s">
        <v>74</v>
      </c>
      <c r="BN134" s="6" t="s">
        <v>74</v>
      </c>
      <c r="BO134" s="6" t="s">
        <v>74</v>
      </c>
      <c r="BP134" s="6" t="s">
        <v>74</v>
      </c>
      <c r="BQ134" s="6" t="s">
        <v>74</v>
      </c>
      <c r="BR134" s="6" t="s">
        <v>74</v>
      </c>
      <c r="BS134" s="6" t="s">
        <v>74</v>
      </c>
      <c r="BT134" s="6" t="s">
        <v>74</v>
      </c>
    </row>
    <row r="135" spans="1:72" ht="15" x14ac:dyDescent="0.2">
      <c r="A135" s="5" t="s">
        <v>79</v>
      </c>
      <c r="B135" s="13">
        <v>43337</v>
      </c>
      <c r="C135" s="5">
        <v>6</v>
      </c>
      <c r="D135" s="5">
        <v>8</v>
      </c>
      <c r="E135" s="5">
        <v>25</v>
      </c>
      <c r="F135" s="6">
        <v>2018</v>
      </c>
      <c r="G135">
        <v>41.74877</v>
      </c>
      <c r="H135">
        <v>-71.379900000000006</v>
      </c>
      <c r="I135">
        <f>9.7*0.3048</f>
        <v>2.9565600000000001</v>
      </c>
      <c r="J135" t="s">
        <v>93</v>
      </c>
      <c r="K135" s="25">
        <v>29</v>
      </c>
      <c r="L135" s="25">
        <v>20</v>
      </c>
      <c r="M135" s="26">
        <v>823.01652549999994</v>
      </c>
      <c r="N135" s="26">
        <v>692.09</v>
      </c>
      <c r="O135" s="25">
        <v>36.562703451432512</v>
      </c>
      <c r="P135" s="27">
        <f t="shared" si="27"/>
        <v>3.6562703451432511E-2</v>
      </c>
      <c r="Q135" s="25">
        <v>959.26619634503299</v>
      </c>
      <c r="R135" s="27">
        <f t="shared" si="26"/>
        <v>0.95926619634503296</v>
      </c>
      <c r="S135" s="5">
        <v>5.3050724999999996</v>
      </c>
      <c r="T135" s="6">
        <v>4.0793999999999997</v>
      </c>
      <c r="U135" s="6">
        <v>0.33841500000000002</v>
      </c>
      <c r="V135" s="6">
        <v>2.5712533333333334</v>
      </c>
      <c r="W135" s="6">
        <v>1.1290199999999999</v>
      </c>
      <c r="X135" s="6">
        <v>2.0337093333333334</v>
      </c>
      <c r="Y135" s="6">
        <v>0.21460000000000001</v>
      </c>
      <c r="Z135" s="6">
        <v>2.6078896666666669</v>
      </c>
      <c r="AA135" s="6" t="s">
        <v>88</v>
      </c>
      <c r="AB135" s="21" t="s">
        <v>89</v>
      </c>
      <c r="AC135" s="21">
        <v>22.974817466991961</v>
      </c>
      <c r="AD135" s="21">
        <v>2.8658236899242793</v>
      </c>
      <c r="AE135" s="21">
        <v>-2.1281497598015213</v>
      </c>
      <c r="AF135" s="21">
        <v>-35.807946189555835</v>
      </c>
      <c r="AG135" s="6">
        <v>48.61</v>
      </c>
      <c r="AH135" s="6">
        <v>5.6568542494922595E-2</v>
      </c>
      <c r="AI135" s="6">
        <v>2</v>
      </c>
      <c r="AJ135" s="6">
        <v>51.544595525000005</v>
      </c>
      <c r="AK135" s="6">
        <v>0.71433997090566725</v>
      </c>
      <c r="AL135" s="6">
        <v>2</v>
      </c>
      <c r="AM135" s="21">
        <f>81.6435747737488+AM139</f>
        <v>95.463864628820957</v>
      </c>
      <c r="AN135" s="21">
        <v>0.32552634999999996</v>
      </c>
      <c r="AO135" s="21">
        <v>3.6076589999999999</v>
      </c>
      <c r="AP135" s="21">
        <v>11.082540629967436</v>
      </c>
      <c r="AQ135" s="21">
        <v>0.2919446</v>
      </c>
      <c r="AR135" s="21">
        <v>3.3441315</v>
      </c>
      <c r="AS135" s="21">
        <v>11.454678387611896</v>
      </c>
      <c r="AT135" s="6" t="s">
        <v>87</v>
      </c>
      <c r="AU135" s="6">
        <v>8.7762166564854258</v>
      </c>
      <c r="AV135" s="6">
        <v>8.0819578827547343</v>
      </c>
      <c r="AW135" s="6">
        <v>116.40654122299473</v>
      </c>
      <c r="AX135" s="6">
        <v>24.466378178635672</v>
      </c>
      <c r="AY135" s="6">
        <v>-0.95402999999999949</v>
      </c>
      <c r="AZ135" s="6">
        <v>24.660595000000001</v>
      </c>
      <c r="BA135" s="6">
        <v>11.435093999999999</v>
      </c>
      <c r="BB135" s="6">
        <v>4.0177389999999997</v>
      </c>
      <c r="BC135" s="6">
        <v>7.6236944841958705</v>
      </c>
      <c r="BD135" s="6">
        <v>19.252931291234837</v>
      </c>
      <c r="BE135" s="21" t="s">
        <v>74</v>
      </c>
      <c r="BF135" s="21" t="s">
        <v>74</v>
      </c>
      <c r="BG135" s="21" t="s">
        <v>74</v>
      </c>
      <c r="BH135" s="21" t="s">
        <v>74</v>
      </c>
      <c r="BI135" s="21" t="s">
        <v>74</v>
      </c>
      <c r="BJ135" s="21" t="s">
        <v>74</v>
      </c>
      <c r="BK135" s="21" t="s">
        <v>74</v>
      </c>
      <c r="BL135" s="21" t="s">
        <v>74</v>
      </c>
      <c r="BM135" s="6">
        <v>1.1802222222222185</v>
      </c>
      <c r="BN135" s="6">
        <v>1.1992222222222255</v>
      </c>
      <c r="BO135" s="6">
        <v>1.3776666666666646</v>
      </c>
      <c r="BP135" s="6">
        <v>1.2571000000000012</v>
      </c>
      <c r="BQ135" s="6">
        <v>0.63439854761700343</v>
      </c>
      <c r="BR135" s="6">
        <v>0.6897275668761691</v>
      </c>
      <c r="BS135" s="6">
        <v>0.80790073093973003</v>
      </c>
      <c r="BT135" s="6">
        <v>0.71006097119767009</v>
      </c>
    </row>
    <row r="136" spans="1:72" ht="15" x14ac:dyDescent="0.2">
      <c r="A136" s="5" t="s">
        <v>79</v>
      </c>
      <c r="B136" s="13">
        <v>43337</v>
      </c>
      <c r="C136" s="5">
        <v>17</v>
      </c>
      <c r="D136" s="5">
        <v>8</v>
      </c>
      <c r="E136" s="5">
        <v>25</v>
      </c>
      <c r="F136" s="6">
        <v>2018</v>
      </c>
      <c r="G136">
        <v>41.74877</v>
      </c>
      <c r="H136">
        <v>-71.379900000000006</v>
      </c>
      <c r="I136">
        <f>9.7*0.3048</f>
        <v>2.9565600000000001</v>
      </c>
      <c r="J136" t="s">
        <v>93</v>
      </c>
      <c r="K136" s="25">
        <v>29</v>
      </c>
      <c r="L136" s="25">
        <v>20</v>
      </c>
      <c r="M136" s="26">
        <v>135.69150479999999</v>
      </c>
      <c r="N136" s="26">
        <v>0</v>
      </c>
      <c r="O136" s="25">
        <v>-81.11619545077582</v>
      </c>
      <c r="P136" s="27">
        <f t="shared" si="27"/>
        <v>-8.1116195450775821E-2</v>
      </c>
      <c r="Q136" s="25">
        <v>-862.89344437582542</v>
      </c>
      <c r="R136" s="27">
        <f t="shared" si="26"/>
        <v>-0.86289344437582538</v>
      </c>
      <c r="S136" s="5">
        <v>5.3050724999999996</v>
      </c>
      <c r="T136" s="6">
        <v>4.0793999999999997</v>
      </c>
      <c r="U136" s="6">
        <v>0.33841500000000002</v>
      </c>
      <c r="V136" s="6">
        <v>2.5712533333333334</v>
      </c>
      <c r="W136" s="6">
        <v>1.1290199999999999</v>
      </c>
      <c r="X136" s="6">
        <v>2.0337093333333334</v>
      </c>
      <c r="Y136" s="6">
        <v>0.21460000000000001</v>
      </c>
      <c r="Z136" s="6">
        <v>2.6078896666666669</v>
      </c>
      <c r="AA136" s="6" t="s">
        <v>88</v>
      </c>
      <c r="AB136" s="21" t="s">
        <v>89</v>
      </c>
      <c r="AC136" s="21">
        <v>66.259624726206937</v>
      </c>
      <c r="AD136" s="21">
        <v>3.0336867614755998</v>
      </c>
      <c r="AE136" s="21">
        <v>-2.9408234573184289</v>
      </c>
      <c r="AF136" s="21">
        <v>-7.0704420896867139</v>
      </c>
      <c r="AG136" s="6">
        <v>48.61</v>
      </c>
      <c r="AH136" s="6">
        <v>5.6568542494922595E-2</v>
      </c>
      <c r="AI136" s="6">
        <v>2</v>
      </c>
      <c r="AJ136" s="6">
        <v>51.544595525000005</v>
      </c>
      <c r="AK136" s="6">
        <v>0.71433997090566725</v>
      </c>
      <c r="AL136" s="6">
        <v>2</v>
      </c>
      <c r="AM136" s="21">
        <f>150.660290013637+AM139</f>
        <v>164.48057986870916</v>
      </c>
      <c r="AN136" s="21">
        <v>0.33505404999999999</v>
      </c>
      <c r="AO136" s="21">
        <v>3.5426924999999998</v>
      </c>
      <c r="AP136" s="21">
        <v>10.573495530049554</v>
      </c>
      <c r="AQ136" s="21">
        <v>0.27781204999999998</v>
      </c>
      <c r="AR136" s="21">
        <v>3.3525660000000004</v>
      </c>
      <c r="AS136" s="21">
        <v>12.067748681167719</v>
      </c>
      <c r="AT136" s="6" t="s">
        <v>87</v>
      </c>
      <c r="AU136" s="6">
        <v>9.2157643312101989</v>
      </c>
      <c r="AV136" s="6">
        <v>8.2049229537722432</v>
      </c>
      <c r="AW136" s="6">
        <v>109.37510759166801</v>
      </c>
      <c r="AX136" s="6">
        <v>2.3962816319504201</v>
      </c>
      <c r="AY136" s="6">
        <v>-0.95402999999999949</v>
      </c>
      <c r="AZ136" s="6">
        <v>24.660595000000001</v>
      </c>
      <c r="BA136" s="6">
        <v>11.435093999999999</v>
      </c>
      <c r="BB136" s="6">
        <v>4.0177389999999997</v>
      </c>
      <c r="BC136" s="6">
        <v>7.6236944841958705</v>
      </c>
      <c r="BD136" s="6">
        <v>19.252931291234837</v>
      </c>
      <c r="BE136" s="21">
        <v>31.781478356923827</v>
      </c>
      <c r="BF136" s="21">
        <v>205.85115424611976</v>
      </c>
      <c r="BG136" s="21">
        <v>49.432001341622403</v>
      </c>
      <c r="BH136" s="21">
        <v>404.09893296898747</v>
      </c>
      <c r="BI136" s="21">
        <v>32.516863793184882</v>
      </c>
      <c r="BJ136" s="21">
        <v>278.44792961033863</v>
      </c>
      <c r="BK136" s="21">
        <v>87.067933704049452</v>
      </c>
      <c r="BL136" s="21">
        <v>705.87662438283553</v>
      </c>
      <c r="BM136" s="6">
        <v>1.0685999999999964</v>
      </c>
      <c r="BN136" s="6">
        <v>1.3057777777777815</v>
      </c>
      <c r="BO136" s="6">
        <v>1.2144000000000048</v>
      </c>
      <c r="BP136" s="6">
        <v>1.3475555555555487</v>
      </c>
      <c r="BQ136" s="6">
        <v>0.73588769319658842</v>
      </c>
      <c r="BR136" s="6">
        <v>0.78527046957152014</v>
      </c>
      <c r="BS136" s="6">
        <v>0.67090789643179449</v>
      </c>
      <c r="BT136" s="6">
        <v>0.72843206540566385</v>
      </c>
    </row>
    <row r="137" spans="1:72" ht="15" x14ac:dyDescent="0.2">
      <c r="A137" s="5" t="s">
        <v>79</v>
      </c>
      <c r="B137" s="13">
        <v>43337</v>
      </c>
      <c r="C137" s="5">
        <v>21</v>
      </c>
      <c r="D137" s="5">
        <v>8</v>
      </c>
      <c r="E137" s="5">
        <v>25</v>
      </c>
      <c r="F137" s="6">
        <v>2018</v>
      </c>
      <c r="G137">
        <v>41.74877</v>
      </c>
      <c r="H137">
        <v>-71.379900000000006</v>
      </c>
      <c r="I137">
        <f>9.7*0.3048</f>
        <v>2.9565600000000001</v>
      </c>
      <c r="J137" t="s">
        <v>93</v>
      </c>
      <c r="K137" s="25">
        <v>29</v>
      </c>
      <c r="L137" s="25">
        <v>20</v>
      </c>
      <c r="M137" s="26">
        <v>2476.3168190000001</v>
      </c>
      <c r="N137" s="26">
        <v>29.021361140600725</v>
      </c>
      <c r="O137" s="25">
        <v>94.834865416810743</v>
      </c>
      <c r="P137" s="27">
        <f t="shared" si="27"/>
        <v>9.4834865416810743E-2</v>
      </c>
      <c r="Q137" s="25">
        <v>0</v>
      </c>
      <c r="R137" s="27">
        <f t="shared" si="26"/>
        <v>0</v>
      </c>
      <c r="S137" s="5">
        <v>5.3050724999999996</v>
      </c>
      <c r="T137" s="6">
        <v>4.0793999999999997</v>
      </c>
      <c r="U137" s="6">
        <v>0.33841500000000002</v>
      </c>
      <c r="V137" s="6">
        <v>2.5712533333333334</v>
      </c>
      <c r="W137" s="6">
        <v>1.1290199999999999</v>
      </c>
      <c r="X137" s="6">
        <v>2.0337093333333334</v>
      </c>
      <c r="Y137" s="6">
        <v>0.21460000000000001</v>
      </c>
      <c r="Z137" s="6">
        <v>2.6078896666666669</v>
      </c>
      <c r="AA137" s="6" t="s">
        <v>88</v>
      </c>
      <c r="AB137" s="21" t="s">
        <v>89</v>
      </c>
      <c r="AC137" s="21">
        <v>239.16253582111625</v>
      </c>
      <c r="AD137" s="21">
        <v>2.4659560439244967</v>
      </c>
      <c r="AE137" s="21">
        <v>2.0122169230511728</v>
      </c>
      <c r="AF137" s="21">
        <v>-18.85090230745114</v>
      </c>
      <c r="AG137" s="6">
        <v>48.61</v>
      </c>
      <c r="AH137" s="6">
        <v>5.6568542494922595E-2</v>
      </c>
      <c r="AI137" s="6">
        <v>2</v>
      </c>
      <c r="AJ137" s="6">
        <v>51.544595525000005</v>
      </c>
      <c r="AK137" s="6">
        <v>0.71433997090566725</v>
      </c>
      <c r="AL137" s="6">
        <v>2</v>
      </c>
      <c r="AM137" s="21">
        <f>104.223116738334+AM139</f>
        <v>118.04340659340616</v>
      </c>
      <c r="AN137" s="21">
        <v>0.3139305</v>
      </c>
      <c r="AO137" s="21">
        <v>3.8487995000000002</v>
      </c>
      <c r="AP137" s="21">
        <v>12.260036855291219</v>
      </c>
      <c r="AQ137" s="21">
        <v>0.25505809999999995</v>
      </c>
      <c r="AR137" s="21">
        <v>3.3273014999999999</v>
      </c>
      <c r="AS137" s="21">
        <v>13.045268901477744</v>
      </c>
      <c r="AT137" s="6" t="s">
        <v>87</v>
      </c>
      <c r="AU137" s="6">
        <v>9.5129059117402335</v>
      </c>
      <c r="AV137" s="6">
        <v>8.0130160667073582</v>
      </c>
      <c r="AW137" s="6">
        <v>176.35922159270851</v>
      </c>
      <c r="AX137" s="6">
        <v>307.16824436076985</v>
      </c>
      <c r="AY137" s="6">
        <v>-0.95402999999999949</v>
      </c>
      <c r="AZ137" s="6">
        <v>24.660595000000001</v>
      </c>
      <c r="BA137" s="6">
        <v>11.435093999999999</v>
      </c>
      <c r="BB137" s="6">
        <v>4.0177389999999997</v>
      </c>
      <c r="BC137" s="6">
        <v>7.6236944841958705</v>
      </c>
      <c r="BD137" s="6">
        <v>19.252931291234837</v>
      </c>
      <c r="BE137" s="21" t="s">
        <v>74</v>
      </c>
      <c r="BF137" s="21" t="s">
        <v>74</v>
      </c>
      <c r="BG137" s="21" t="s">
        <v>74</v>
      </c>
      <c r="BH137" s="21" t="s">
        <v>74</v>
      </c>
      <c r="BI137" s="21" t="s">
        <v>74</v>
      </c>
      <c r="BJ137" s="21" t="s">
        <v>74</v>
      </c>
      <c r="BK137" s="21" t="s">
        <v>74</v>
      </c>
      <c r="BL137" s="21" t="s">
        <v>74</v>
      </c>
      <c r="BM137" s="6" t="s">
        <v>74</v>
      </c>
      <c r="BN137" s="6" t="s">
        <v>74</v>
      </c>
      <c r="BO137" s="6" t="s">
        <v>74</v>
      </c>
      <c r="BP137" s="6" t="s">
        <v>74</v>
      </c>
      <c r="BQ137" s="6" t="s">
        <v>74</v>
      </c>
      <c r="BR137" s="6" t="s">
        <v>74</v>
      </c>
      <c r="BS137" s="6" t="s">
        <v>74</v>
      </c>
      <c r="BT137" s="6" t="s">
        <v>74</v>
      </c>
    </row>
    <row r="138" spans="1:72" ht="15" x14ac:dyDescent="0.2">
      <c r="A138" s="5" t="s">
        <v>79</v>
      </c>
      <c r="B138" s="13">
        <v>43337</v>
      </c>
      <c r="C138" s="5">
        <v>31</v>
      </c>
      <c r="D138" s="5">
        <v>8</v>
      </c>
      <c r="E138" s="5">
        <v>25</v>
      </c>
      <c r="F138" s="6">
        <v>2018</v>
      </c>
      <c r="G138">
        <v>41.74877</v>
      </c>
      <c r="H138">
        <v>-71.379900000000006</v>
      </c>
      <c r="I138">
        <f>9.7*0.3048</f>
        <v>2.9565600000000001</v>
      </c>
      <c r="J138" t="s">
        <v>93</v>
      </c>
      <c r="K138" s="25">
        <v>29</v>
      </c>
      <c r="L138" s="25">
        <v>20</v>
      </c>
      <c r="M138" s="26">
        <v>636.36155250000002</v>
      </c>
      <c r="N138" s="26">
        <v>44.36</v>
      </c>
      <c r="O138" s="25">
        <v>0</v>
      </c>
      <c r="P138" s="27">
        <f t="shared" si="27"/>
        <v>0</v>
      </c>
      <c r="Q138" s="25">
        <v>0</v>
      </c>
      <c r="R138" s="27">
        <f t="shared" si="26"/>
        <v>0</v>
      </c>
      <c r="S138" s="5">
        <v>5.3050724999999996</v>
      </c>
      <c r="T138" s="6">
        <v>4.0793999999999997</v>
      </c>
      <c r="U138" s="6">
        <v>0.33841500000000002</v>
      </c>
      <c r="V138" s="6">
        <v>2.5712533333333334</v>
      </c>
      <c r="W138" s="6">
        <v>1.1290199999999999</v>
      </c>
      <c r="X138" s="6">
        <v>2.0337093333333334</v>
      </c>
      <c r="Y138" s="6">
        <v>0.21460000000000001</v>
      </c>
      <c r="Z138" s="6">
        <v>2.6078896666666669</v>
      </c>
      <c r="AA138" s="6" t="s">
        <v>88</v>
      </c>
      <c r="AB138" s="21" t="s">
        <v>89</v>
      </c>
      <c r="AC138" s="21">
        <v>37.529073629408614</v>
      </c>
      <c r="AD138" s="21">
        <v>4.2823449518775378</v>
      </c>
      <c r="AE138" s="21">
        <v>-5.5486334855179136</v>
      </c>
      <c r="AF138" s="21">
        <v>-6.0727068028200399</v>
      </c>
      <c r="AG138" s="6">
        <v>48.61</v>
      </c>
      <c r="AH138" s="6">
        <v>5.6568542494922595E-2</v>
      </c>
      <c r="AI138" s="6">
        <v>2</v>
      </c>
      <c r="AJ138" s="6">
        <v>51.544595525000005</v>
      </c>
      <c r="AK138" s="6">
        <v>0.71433997090566725</v>
      </c>
      <c r="AL138" s="6">
        <v>2</v>
      </c>
      <c r="AM138" s="21">
        <f>73.3322341833891+AM139</f>
        <v>87.152524038461266</v>
      </c>
      <c r="AN138" s="21">
        <v>0.32322309999999999</v>
      </c>
      <c r="AO138" s="21">
        <v>3.5585049999999998</v>
      </c>
      <c r="AP138" s="21">
        <v>11.009438991210715</v>
      </c>
      <c r="AQ138" s="21">
        <v>0.32369930000000002</v>
      </c>
      <c r="AR138" s="21">
        <v>3.4265124999999999</v>
      </c>
      <c r="AS138" s="21">
        <v>10.585480104529109</v>
      </c>
      <c r="AT138" s="6" t="s">
        <v>87</v>
      </c>
      <c r="AU138" s="6">
        <v>8.4966013594562142</v>
      </c>
      <c r="AV138" s="6">
        <v>8.1307293742526827</v>
      </c>
      <c r="AW138" s="6">
        <v>213.48378991911471</v>
      </c>
      <c r="AX138" s="6" t="s">
        <v>74</v>
      </c>
      <c r="AY138" s="6">
        <v>-0.95402999999999949</v>
      </c>
      <c r="AZ138" s="6">
        <v>24.660595000000001</v>
      </c>
      <c r="BA138" s="6">
        <v>11.435093999999999</v>
      </c>
      <c r="BB138" s="6">
        <v>4.0177389999999997</v>
      </c>
      <c r="BC138" s="6">
        <v>7.6236944841958705</v>
      </c>
      <c r="BD138" s="6">
        <v>19.252931291234837</v>
      </c>
      <c r="BE138" s="21">
        <v>55.592496602753315</v>
      </c>
      <c r="BF138" s="21">
        <v>221.87063904621365</v>
      </c>
      <c r="BG138" s="21">
        <v>345.84108862480605</v>
      </c>
      <c r="BH138" s="21">
        <v>-320.50396770697819</v>
      </c>
      <c r="BI138" s="21">
        <v>10.65766241548433</v>
      </c>
      <c r="BJ138" s="21">
        <v>84.949882428917405</v>
      </c>
      <c r="BK138" s="21">
        <v>24.466776845352964</v>
      </c>
      <c r="BL138" s="21">
        <v>184.99710086145686</v>
      </c>
      <c r="BM138" s="6">
        <v>1.2157999999999944</v>
      </c>
      <c r="BN138" s="6">
        <v>1.1858181818181832</v>
      </c>
      <c r="BO138" s="6">
        <v>1.2136999999999958</v>
      </c>
      <c r="BP138" s="6">
        <v>1.2270000000000019</v>
      </c>
      <c r="BQ138" s="6">
        <v>0.77583409720473073</v>
      </c>
      <c r="BR138" s="6">
        <v>0.71149090909090984</v>
      </c>
      <c r="BS138" s="6">
        <v>0.54552567214496239</v>
      </c>
      <c r="BT138" s="6">
        <v>0.52947663893685004</v>
      </c>
    </row>
    <row r="139" spans="1:72" ht="15" x14ac:dyDescent="0.2">
      <c r="A139" s="5" t="s">
        <v>79</v>
      </c>
      <c r="B139" s="13">
        <v>43337</v>
      </c>
      <c r="C139" s="5" t="s">
        <v>102</v>
      </c>
      <c r="D139" s="5">
        <v>8</v>
      </c>
      <c r="E139" s="5">
        <v>25</v>
      </c>
      <c r="F139" s="6">
        <v>2018</v>
      </c>
      <c r="G139">
        <v>41.74877</v>
      </c>
      <c r="H139">
        <v>-71.379900000000006</v>
      </c>
      <c r="I139">
        <f>9.7*0.3048</f>
        <v>2.9565600000000001</v>
      </c>
      <c r="J139" t="s">
        <v>93</v>
      </c>
      <c r="K139" s="25">
        <v>29</v>
      </c>
      <c r="L139" s="25">
        <v>20</v>
      </c>
      <c r="M139" s="26">
        <v>0</v>
      </c>
      <c r="N139" s="26">
        <v>69.652365449599799</v>
      </c>
      <c r="O139" s="25">
        <v>-65.813504276210026</v>
      </c>
      <c r="P139" s="27">
        <f t="shared" si="27"/>
        <v>-6.5813504276210022E-2</v>
      </c>
      <c r="Q139" s="25">
        <v>-818.20483956672888</v>
      </c>
      <c r="R139" s="27">
        <f t="shared" si="26"/>
        <v>-0.81820483956672885</v>
      </c>
      <c r="S139" s="5">
        <v>5.3050724999999996</v>
      </c>
      <c r="T139" s="6">
        <v>4.0793999999999997</v>
      </c>
      <c r="U139" s="6">
        <v>0.33841500000000002</v>
      </c>
      <c r="V139" s="6">
        <v>2.5712533333333334</v>
      </c>
      <c r="W139" s="6">
        <v>1.1290199999999999</v>
      </c>
      <c r="X139" s="6">
        <v>2.0337093333333334</v>
      </c>
      <c r="Y139" s="6">
        <v>0.21460000000000001</v>
      </c>
      <c r="Z139" s="6">
        <v>2.6078896666666669</v>
      </c>
      <c r="AA139" s="6" t="s">
        <v>88</v>
      </c>
      <c r="AB139" s="21" t="s">
        <v>89</v>
      </c>
      <c r="AC139" s="21">
        <v>10.538575652227253</v>
      </c>
      <c r="AD139" s="21">
        <v>0.75147826087336878</v>
      </c>
      <c r="AE139" s="21">
        <v>-8.5006587440043795</v>
      </c>
      <c r="AF139" s="21">
        <v>0.97810222222715937</v>
      </c>
      <c r="AG139" s="6">
        <v>48.61</v>
      </c>
      <c r="AH139" s="6">
        <v>5.6568542494922595E-2</v>
      </c>
      <c r="AI139" s="6">
        <v>2</v>
      </c>
      <c r="AJ139" s="6">
        <v>51.544595525000005</v>
      </c>
      <c r="AK139" s="6">
        <v>0.71433997090566725</v>
      </c>
      <c r="AL139" s="6">
        <v>2</v>
      </c>
      <c r="AM139" s="21">
        <v>13.820289855072165</v>
      </c>
      <c r="AN139" s="21" t="s">
        <v>74</v>
      </c>
      <c r="AO139" s="21" t="s">
        <v>74</v>
      </c>
      <c r="AP139" s="21" t="s">
        <v>74</v>
      </c>
      <c r="AQ139" s="21" t="s">
        <v>74</v>
      </c>
      <c r="AR139" s="21" t="s">
        <v>74</v>
      </c>
      <c r="AS139" s="21" t="s">
        <v>74</v>
      </c>
      <c r="AT139" s="6" t="s">
        <v>74</v>
      </c>
      <c r="AU139" s="6" t="s">
        <v>74</v>
      </c>
      <c r="AV139" s="6" t="s">
        <v>74</v>
      </c>
      <c r="AW139" s="6" t="s">
        <v>74</v>
      </c>
      <c r="AX139" s="6" t="s">
        <v>74</v>
      </c>
      <c r="AY139" s="6">
        <v>-0.95402999999999949</v>
      </c>
      <c r="AZ139" s="6">
        <v>24.660595000000001</v>
      </c>
      <c r="BA139" s="6">
        <v>11.435093999999999</v>
      </c>
      <c r="BB139" s="6">
        <v>4.0177389999999997</v>
      </c>
      <c r="BC139" s="6">
        <v>7.6236944841958705</v>
      </c>
      <c r="BD139" s="6">
        <v>19.252931291234837</v>
      </c>
      <c r="BE139" s="21" t="s">
        <v>74</v>
      </c>
      <c r="BF139" s="21" t="s">
        <v>74</v>
      </c>
      <c r="BG139" s="21" t="s">
        <v>74</v>
      </c>
      <c r="BH139" s="21" t="s">
        <v>74</v>
      </c>
      <c r="BI139" s="21" t="s">
        <v>74</v>
      </c>
      <c r="BJ139" s="21" t="s">
        <v>74</v>
      </c>
      <c r="BK139" s="21" t="s">
        <v>74</v>
      </c>
      <c r="BL139" s="21" t="s">
        <v>74</v>
      </c>
      <c r="BM139" s="6" t="s">
        <v>74</v>
      </c>
      <c r="BN139" s="6" t="s">
        <v>74</v>
      </c>
      <c r="BO139" s="6" t="s">
        <v>74</v>
      </c>
      <c r="BP139" s="6" t="s">
        <v>74</v>
      </c>
      <c r="BQ139" s="6" t="s">
        <v>74</v>
      </c>
      <c r="BR139" s="6" t="s">
        <v>74</v>
      </c>
      <c r="BS139" s="6" t="s">
        <v>74</v>
      </c>
      <c r="BT139" s="6" t="s">
        <v>74</v>
      </c>
    </row>
    <row r="140" spans="1:72" ht="15" x14ac:dyDescent="0.2">
      <c r="A140" s="5" t="s">
        <v>72</v>
      </c>
      <c r="B140" s="13">
        <v>43384</v>
      </c>
      <c r="C140" s="5">
        <v>5</v>
      </c>
      <c r="D140" s="5">
        <v>10</v>
      </c>
      <c r="E140" s="5">
        <v>11</v>
      </c>
      <c r="F140" s="6">
        <v>2018</v>
      </c>
      <c r="G140">
        <v>41.578980000000001</v>
      </c>
      <c r="H140">
        <v>-71.355599999999995</v>
      </c>
      <c r="I140">
        <v>9</v>
      </c>
      <c r="J140" t="s">
        <v>93</v>
      </c>
      <c r="K140" s="31">
        <v>31</v>
      </c>
      <c r="L140" s="31">
        <v>19</v>
      </c>
      <c r="M140" s="26">
        <v>743.06392149999999</v>
      </c>
      <c r="N140" s="26">
        <v>32.590000000000003</v>
      </c>
      <c r="O140" s="25">
        <v>36.364265590223617</v>
      </c>
      <c r="P140" s="25">
        <f t="shared" si="27"/>
        <v>3.636426559022362E-2</v>
      </c>
      <c r="Q140" s="25">
        <v>39.840736549806955</v>
      </c>
      <c r="R140" s="25">
        <f t="shared" si="26"/>
        <v>3.9840736549806958E-2</v>
      </c>
      <c r="S140" s="5">
        <v>6.200819000000001</v>
      </c>
      <c r="T140" s="6">
        <v>6.9281126666666673</v>
      </c>
      <c r="U140" s="6">
        <v>0.83519999999999994</v>
      </c>
      <c r="V140" s="6">
        <v>1.7683140000000002</v>
      </c>
      <c r="W140" s="6">
        <v>4.3622899999999998</v>
      </c>
      <c r="X140" s="6">
        <v>4.248603666666666</v>
      </c>
      <c r="Y140" s="6">
        <v>0.57468333333333332</v>
      </c>
      <c r="Z140" s="6">
        <v>1.1571546666666668</v>
      </c>
      <c r="AA140" s="6" t="s">
        <v>88</v>
      </c>
      <c r="AB140" s="21" t="s">
        <v>89</v>
      </c>
      <c r="AC140" s="21">
        <v>8.3622173502571382</v>
      </c>
      <c r="AD140" s="21">
        <v>1.1155495508925655</v>
      </c>
      <c r="AE140" s="21">
        <v>25.858220703462131</v>
      </c>
      <c r="AF140" s="21">
        <v>0.64062042664346774</v>
      </c>
      <c r="AG140" s="6">
        <v>27.108366949999997</v>
      </c>
      <c r="AH140" s="6">
        <v>0.5305058372803747</v>
      </c>
      <c r="AI140" s="6">
        <v>2</v>
      </c>
      <c r="AJ140" s="6">
        <v>41.426849900000001</v>
      </c>
      <c r="AK140" s="6">
        <v>5.0094979913159893E-2</v>
      </c>
      <c r="AL140" s="6">
        <v>2</v>
      </c>
      <c r="AM140" s="21">
        <f>201.526594788276+AM144</f>
        <v>220.01150355875572</v>
      </c>
      <c r="AN140" s="21">
        <v>0.1891359</v>
      </c>
      <c r="AO140" s="21">
        <v>1.7288475000000001</v>
      </c>
      <c r="AP140" s="21">
        <v>9.1407686219274087</v>
      </c>
      <c r="AQ140" s="21">
        <v>0.16869665</v>
      </c>
      <c r="AR140" s="21">
        <v>1.5360960000000001</v>
      </c>
      <c r="AS140" s="21">
        <v>9.1056698517723973</v>
      </c>
      <c r="AT140" s="6" t="s">
        <v>87</v>
      </c>
      <c r="AU140" s="6">
        <v>4.2881646655231487</v>
      </c>
      <c r="AV140" s="6">
        <v>3.8583929992044705</v>
      </c>
      <c r="AW140" s="6">
        <v>20.371324027646011</v>
      </c>
      <c r="AX140" s="6">
        <v>22.886569995934398</v>
      </c>
      <c r="AY140" s="6">
        <v>2.4869073184679023</v>
      </c>
      <c r="AZ140" s="6">
        <v>1.8639985846441234</v>
      </c>
      <c r="BA140" s="6">
        <v>4.4497830302539434</v>
      </c>
      <c r="BB140" s="6">
        <v>2.6102887844225897</v>
      </c>
      <c r="BC140" s="6">
        <v>40.535390199636922</v>
      </c>
      <c r="BD140" s="6">
        <v>36.954543164153705</v>
      </c>
      <c r="BE140" s="21">
        <v>21.252478924187223</v>
      </c>
      <c r="BF140" s="21">
        <v>183.16120945511528</v>
      </c>
      <c r="BG140" s="21">
        <v>30.746151287370655</v>
      </c>
      <c r="BH140" s="21">
        <v>206.76111989022687</v>
      </c>
      <c r="BI140" s="21">
        <v>21.003747171317151</v>
      </c>
      <c r="BJ140" s="21">
        <v>157.5138637658867</v>
      </c>
      <c r="BK140" s="21">
        <v>20.587011776521713</v>
      </c>
      <c r="BL140" s="21">
        <v>192.34124451842564</v>
      </c>
      <c r="BM140" s="6">
        <v>1.5320999999999998</v>
      </c>
      <c r="BN140" s="6">
        <v>1.5791111111111094</v>
      </c>
      <c r="BO140" s="6">
        <v>1.2565000000000026</v>
      </c>
      <c r="BP140" s="6">
        <v>1.4968999999999966</v>
      </c>
      <c r="BQ140" s="6">
        <v>0.75681003869741326</v>
      </c>
      <c r="BR140" s="6">
        <v>0.56432266455553159</v>
      </c>
      <c r="BS140" s="6">
        <v>0.71166409773373607</v>
      </c>
      <c r="BT140" s="6">
        <v>0.71070574610014337</v>
      </c>
    </row>
    <row r="141" spans="1:72" ht="15" x14ac:dyDescent="0.2">
      <c r="A141" s="5" t="s">
        <v>72</v>
      </c>
      <c r="B141" s="13">
        <v>43384</v>
      </c>
      <c r="C141" s="5">
        <v>6</v>
      </c>
      <c r="D141" s="5">
        <v>10</v>
      </c>
      <c r="E141" s="5">
        <v>11</v>
      </c>
      <c r="F141" s="6">
        <v>2018</v>
      </c>
      <c r="G141">
        <v>41.578980000000001</v>
      </c>
      <c r="H141">
        <v>-71.355599999999995</v>
      </c>
      <c r="I141">
        <v>9</v>
      </c>
      <c r="J141" t="s">
        <v>93</v>
      </c>
      <c r="K141" s="31">
        <v>31</v>
      </c>
      <c r="L141" s="31">
        <v>19</v>
      </c>
      <c r="M141" s="26">
        <v>720.24629540000001</v>
      </c>
      <c r="N141" s="26">
        <v>44.35</v>
      </c>
      <c r="O141" s="25">
        <v>34.067170106041686</v>
      </c>
      <c r="P141" s="25">
        <f t="shared" si="27"/>
        <v>3.4067170106041683E-2</v>
      </c>
      <c r="Q141" s="25">
        <v>135.56480156778449</v>
      </c>
      <c r="R141" s="25">
        <f t="shared" si="26"/>
        <v>0.1355648015677845</v>
      </c>
      <c r="S141" s="5">
        <v>6.200819000000001</v>
      </c>
      <c r="T141" s="6">
        <v>6.9281126666666673</v>
      </c>
      <c r="U141" s="6">
        <v>0.83519999999999994</v>
      </c>
      <c r="V141" s="6">
        <v>1.7683140000000002</v>
      </c>
      <c r="W141" s="6">
        <v>4.3622899999999998</v>
      </c>
      <c r="X141" s="6">
        <v>4.248603666666666</v>
      </c>
      <c r="Y141" s="6">
        <v>0.57468333333333332</v>
      </c>
      <c r="Z141" s="6">
        <v>1.1571546666666668</v>
      </c>
      <c r="AA141" s="6" t="s">
        <v>88</v>
      </c>
      <c r="AB141" s="21" t="s">
        <v>89</v>
      </c>
      <c r="AC141" s="21">
        <v>25.127652603623858</v>
      </c>
      <c r="AD141" s="21">
        <v>2.46706331361669</v>
      </c>
      <c r="AE141" s="21">
        <v>27.314583269310745</v>
      </c>
      <c r="AF141" s="21">
        <v>5.3858247041577778</v>
      </c>
      <c r="AG141" s="6">
        <v>27.108366949999997</v>
      </c>
      <c r="AH141" s="6">
        <v>0.5305058372803747</v>
      </c>
      <c r="AI141" s="6">
        <v>2</v>
      </c>
      <c r="AJ141" s="6">
        <v>41.426849900000001</v>
      </c>
      <c r="AK141" s="6">
        <v>5.0094979913159893E-2</v>
      </c>
      <c r="AL141" s="6">
        <v>2</v>
      </c>
      <c r="AM141" s="21">
        <f>193.252225617094+AM144</f>
        <v>211.73713438757375</v>
      </c>
      <c r="AN141" s="21">
        <v>0.21954915</v>
      </c>
      <c r="AO141" s="21">
        <v>1.808057</v>
      </c>
      <c r="AP141" s="21">
        <v>8.2353176953770948</v>
      </c>
      <c r="AQ141" s="21">
        <v>0.18954189999999999</v>
      </c>
      <c r="AR141" s="21">
        <v>1.7419354999999999</v>
      </c>
      <c r="AS141" s="21">
        <v>9.1902397306347563</v>
      </c>
      <c r="AT141" s="6" t="s">
        <v>87</v>
      </c>
      <c r="AU141" s="6">
        <v>5.3301511535401209</v>
      </c>
      <c r="AV141" s="6">
        <v>4.444887382898143</v>
      </c>
      <c r="AW141" s="6">
        <v>9.4734009150444045</v>
      </c>
      <c r="AX141" s="6">
        <v>13.384767201937736</v>
      </c>
      <c r="AY141" s="6">
        <v>2.4869073184679023</v>
      </c>
      <c r="AZ141" s="6">
        <v>1.8639985846441234</v>
      </c>
      <c r="BA141" s="6">
        <v>4.4497830302539434</v>
      </c>
      <c r="BB141" s="6">
        <v>2.6102887844225897</v>
      </c>
      <c r="BC141" s="6">
        <v>40.535390199636922</v>
      </c>
      <c r="BD141" s="6">
        <v>36.954543164153705</v>
      </c>
      <c r="BE141" s="21">
        <v>19.794945796661143</v>
      </c>
      <c r="BF141" s="21">
        <v>195.13359502860746</v>
      </c>
      <c r="BG141" s="21">
        <v>9.6864674166503661</v>
      </c>
      <c r="BH141" s="21">
        <v>90.304513757212874</v>
      </c>
      <c r="BI141" s="21">
        <v>18.777568493040256</v>
      </c>
      <c r="BJ141" s="21">
        <v>184.46159624912423</v>
      </c>
      <c r="BK141" s="21">
        <v>29.945404079716329</v>
      </c>
      <c r="BL141" s="21">
        <v>224.98575862960138</v>
      </c>
      <c r="BM141" s="6">
        <v>1.2920999999999978</v>
      </c>
      <c r="BN141" s="6">
        <v>1.0148999999999972</v>
      </c>
      <c r="BO141" s="6">
        <v>1.4507000000000012</v>
      </c>
      <c r="BP141" s="6">
        <v>1.3849090909090935</v>
      </c>
      <c r="BQ141" s="6">
        <v>0.67170250135795639</v>
      </c>
      <c r="BR141" s="6">
        <v>0.64609341176129165</v>
      </c>
      <c r="BS141" s="6">
        <v>0.60556947926420468</v>
      </c>
      <c r="BT141" s="6">
        <v>0.58488586991648173</v>
      </c>
    </row>
    <row r="142" spans="1:72" ht="15" x14ac:dyDescent="0.2">
      <c r="A142" s="5" t="s">
        <v>72</v>
      </c>
      <c r="B142" s="13">
        <v>43384</v>
      </c>
      <c r="C142" s="5">
        <v>33</v>
      </c>
      <c r="D142" s="5">
        <v>10</v>
      </c>
      <c r="E142" s="5">
        <v>11</v>
      </c>
      <c r="F142" s="6">
        <v>2018</v>
      </c>
      <c r="G142">
        <v>41.578980000000001</v>
      </c>
      <c r="H142">
        <v>-71.355599999999995</v>
      </c>
      <c r="I142">
        <v>9</v>
      </c>
      <c r="J142" t="s">
        <v>93</v>
      </c>
      <c r="K142" s="31">
        <v>31</v>
      </c>
      <c r="L142" s="31">
        <v>20</v>
      </c>
      <c r="M142" s="26">
        <v>654.87916159999997</v>
      </c>
      <c r="N142" s="26">
        <v>27.99</v>
      </c>
      <c r="O142" s="25">
        <v>18.73354542803078</v>
      </c>
      <c r="P142" s="25">
        <f t="shared" si="27"/>
        <v>1.8733545428030782E-2</v>
      </c>
      <c r="Q142" s="25">
        <v>27.819809455880808</v>
      </c>
      <c r="R142" s="25">
        <f t="shared" si="26"/>
        <v>2.781980945588081E-2</v>
      </c>
      <c r="S142" s="5">
        <v>6.200819000000001</v>
      </c>
      <c r="T142" s="6">
        <v>6.9281126666666673</v>
      </c>
      <c r="U142" s="6">
        <v>0.83519999999999994</v>
      </c>
      <c r="V142" s="6">
        <v>1.7683140000000002</v>
      </c>
      <c r="W142" s="6">
        <v>4.3622899999999998</v>
      </c>
      <c r="X142" s="6">
        <v>4.248603666666666</v>
      </c>
      <c r="Y142" s="6">
        <v>0.57468333333333332</v>
      </c>
      <c r="Z142" s="6">
        <v>1.1571546666666668</v>
      </c>
      <c r="AA142" s="6" t="s">
        <v>88</v>
      </c>
      <c r="AB142" s="21" t="s">
        <v>89</v>
      </c>
      <c r="AC142" s="21">
        <v>6.5457446639499315</v>
      </c>
      <c r="AD142" s="21">
        <v>-5.6570575056198308E-2</v>
      </c>
      <c r="AE142" s="21">
        <v>7.1998858290006291</v>
      </c>
      <c r="AF142" s="21">
        <v>1.5131141411551121</v>
      </c>
      <c r="AG142" s="6">
        <v>27.108366949999997</v>
      </c>
      <c r="AH142" s="6">
        <v>0.5305058372803747</v>
      </c>
      <c r="AI142" s="6">
        <v>2</v>
      </c>
      <c r="AJ142" s="6">
        <v>41.426849900000001</v>
      </c>
      <c r="AK142" s="6">
        <v>5.0094979913159893E-2</v>
      </c>
      <c r="AL142" s="6">
        <v>2</v>
      </c>
      <c r="AM142" s="21">
        <f>113.055415374778+AM144</f>
        <v>131.54032414525773</v>
      </c>
      <c r="AN142" s="21">
        <v>0.17746619999999999</v>
      </c>
      <c r="AO142" s="21">
        <v>1.5999284999999999</v>
      </c>
      <c r="AP142" s="21">
        <v>9.0153984251649035</v>
      </c>
      <c r="AQ142" s="21">
        <v>0.18388409999999999</v>
      </c>
      <c r="AR142" s="21">
        <v>1.7087405</v>
      </c>
      <c r="AS142" s="21">
        <v>9.2924864085584353</v>
      </c>
      <c r="AT142" s="6" t="s">
        <v>87</v>
      </c>
      <c r="AU142" s="6">
        <v>4.5377197958026114</v>
      </c>
      <c r="AV142" s="6">
        <v>4.9120234604106106</v>
      </c>
      <c r="AW142" s="6">
        <v>7.6491156798166058</v>
      </c>
      <c r="AX142" s="6">
        <v>22.94734703944982</v>
      </c>
      <c r="AY142" s="6">
        <v>2.4869073184679023</v>
      </c>
      <c r="AZ142" s="6">
        <v>1.8639985846441234</v>
      </c>
      <c r="BA142" s="6">
        <v>4.4497830302539434</v>
      </c>
      <c r="BB142" s="6">
        <v>2.6102887844225897</v>
      </c>
      <c r="BC142" s="6">
        <v>40.535390199636922</v>
      </c>
      <c r="BD142" s="6">
        <v>36.954543164153705</v>
      </c>
      <c r="BE142" s="21">
        <v>18.957732952913627</v>
      </c>
      <c r="BF142" s="21">
        <v>126.77923109790049</v>
      </c>
      <c r="BG142" s="21">
        <v>27.805599679803134</v>
      </c>
      <c r="BH142" s="21">
        <v>197.84687128500619</v>
      </c>
      <c r="BI142" s="21">
        <v>24.585151276585101</v>
      </c>
      <c r="BJ142" s="21">
        <v>191.68847431863568</v>
      </c>
      <c r="BK142" s="21">
        <v>15.146910122107855</v>
      </c>
      <c r="BL142" s="21">
        <v>130.78954661185921</v>
      </c>
      <c r="BM142" s="6">
        <v>1.2706363636363645</v>
      </c>
      <c r="BN142" s="6">
        <v>1.5884</v>
      </c>
      <c r="BO142" s="6">
        <v>1.4954444444444441</v>
      </c>
      <c r="BP142" s="6">
        <v>1.2460000000000022</v>
      </c>
      <c r="BQ142" s="6">
        <v>0.56196136278120512</v>
      </c>
      <c r="BR142" s="6">
        <v>0.68701594946234457</v>
      </c>
      <c r="BS142" s="6">
        <v>0.632139069385796</v>
      </c>
      <c r="BT142" s="6">
        <v>0.51698027047386819</v>
      </c>
    </row>
    <row r="143" spans="1:72" ht="15" x14ac:dyDescent="0.2">
      <c r="A143" s="5" t="s">
        <v>72</v>
      </c>
      <c r="B143" s="13">
        <v>43384</v>
      </c>
      <c r="C143" s="5">
        <v>40</v>
      </c>
      <c r="D143" s="5">
        <v>10</v>
      </c>
      <c r="E143" s="5">
        <v>11</v>
      </c>
      <c r="F143" s="6">
        <v>2018</v>
      </c>
      <c r="G143">
        <v>41.578980000000001</v>
      </c>
      <c r="H143">
        <v>-71.355599999999995</v>
      </c>
      <c r="I143">
        <v>9</v>
      </c>
      <c r="J143" t="s">
        <v>93</v>
      </c>
      <c r="K143" s="31">
        <v>31</v>
      </c>
      <c r="L143" s="31">
        <v>20</v>
      </c>
      <c r="M143" s="26">
        <v>615.65943689999995</v>
      </c>
      <c r="N143" s="26">
        <v>46.57</v>
      </c>
      <c r="O143" s="25">
        <v>22.563961178270098</v>
      </c>
      <c r="P143" s="25">
        <f t="shared" si="27"/>
        <v>2.2563961178270097E-2</v>
      </c>
      <c r="Q143" s="25">
        <v>77.349670722640681</v>
      </c>
      <c r="R143" s="25">
        <f t="shared" si="26"/>
        <v>7.7349670722640679E-2</v>
      </c>
      <c r="S143" s="5">
        <v>6.200819000000001</v>
      </c>
      <c r="T143" s="6">
        <v>6.9281126666666673</v>
      </c>
      <c r="U143" s="6">
        <v>0.83519999999999994</v>
      </c>
      <c r="V143" s="6">
        <v>1.7683140000000002</v>
      </c>
      <c r="W143" s="6">
        <v>4.3622899999999998</v>
      </c>
      <c r="X143" s="6">
        <v>4.248603666666666</v>
      </c>
      <c r="Y143" s="6">
        <v>0.57468333333333332</v>
      </c>
      <c r="Z143" s="6">
        <v>1.1571546666666668</v>
      </c>
      <c r="AA143" s="6" t="s">
        <v>88</v>
      </c>
      <c r="AB143" s="21" t="s">
        <v>89</v>
      </c>
      <c r="AC143" s="21">
        <v>-4.7299873278938422</v>
      </c>
      <c r="AD143" s="21">
        <v>0.60180903034643807</v>
      </c>
      <c r="AE143" s="21">
        <v>19.390318327118276</v>
      </c>
      <c r="AF143" s="21">
        <v>-0.35022196891107038</v>
      </c>
      <c r="AG143" s="6">
        <v>27.108366949999997</v>
      </c>
      <c r="AH143" s="6">
        <v>0.5305058372803747</v>
      </c>
      <c r="AI143" s="6">
        <v>2</v>
      </c>
      <c r="AJ143" s="6">
        <v>41.426849900000001</v>
      </c>
      <c r="AK143" s="6">
        <v>5.0094979913159893E-2</v>
      </c>
      <c r="AL143" s="6">
        <v>2</v>
      </c>
      <c r="AM143" s="21">
        <f>122.664141672896+AM144</f>
        <v>141.14905044337573</v>
      </c>
      <c r="AN143" s="21">
        <v>0.19803335</v>
      </c>
      <c r="AO143" s="21">
        <v>1.7196340000000001</v>
      </c>
      <c r="AP143" s="21">
        <v>8.6835575926984028</v>
      </c>
      <c r="AQ143" s="21">
        <v>0.17898305</v>
      </c>
      <c r="AR143" s="21">
        <v>1.6320545000000002</v>
      </c>
      <c r="AS143" s="21">
        <v>9.1184863594625316</v>
      </c>
      <c r="AT143" s="6" t="s">
        <v>87</v>
      </c>
      <c r="AU143" s="6">
        <v>4.8474314407107242</v>
      </c>
      <c r="AV143" s="6">
        <v>4.2510925705204334</v>
      </c>
      <c r="AW143" s="6">
        <v>37.961783439490432</v>
      </c>
      <c r="AX143" s="6">
        <v>58.089171974522266</v>
      </c>
      <c r="AY143" s="6">
        <v>2.4869073184679023</v>
      </c>
      <c r="AZ143" s="6">
        <v>1.8639985846441234</v>
      </c>
      <c r="BA143" s="6">
        <v>4.4497830302539434</v>
      </c>
      <c r="BB143" s="6">
        <v>2.6102887844225897</v>
      </c>
      <c r="BC143" s="6">
        <v>40.535390199636922</v>
      </c>
      <c r="BD143" s="6">
        <v>36.954543164153705</v>
      </c>
      <c r="BE143" s="21">
        <v>54.417914653443411</v>
      </c>
      <c r="BF143" s="21">
        <v>196.71076046859585</v>
      </c>
      <c r="BG143" s="21">
        <v>14.727340280963768</v>
      </c>
      <c r="BH143" s="21">
        <v>139.22964140347349</v>
      </c>
      <c r="BI143" s="21">
        <v>15.42928257955302</v>
      </c>
      <c r="BJ143" s="21">
        <v>150.87331889858777</v>
      </c>
      <c r="BK143" s="21">
        <v>18.263223255387821</v>
      </c>
      <c r="BL143" s="21">
        <v>160.85200781559698</v>
      </c>
      <c r="BM143" s="6">
        <v>1.3855999999999966</v>
      </c>
      <c r="BN143" s="6">
        <v>1.423099999999998</v>
      </c>
      <c r="BO143" s="6">
        <v>1.3380999999999972</v>
      </c>
      <c r="BP143" s="6">
        <v>1.4776999999999987</v>
      </c>
      <c r="BQ143" s="6">
        <v>0.680664871050082</v>
      </c>
      <c r="BR143" s="6">
        <v>0.62906524361212424</v>
      </c>
      <c r="BS143" s="6">
        <v>0.58809944254402524</v>
      </c>
      <c r="BT143" s="6">
        <v>0.62104182472391767</v>
      </c>
    </row>
    <row r="144" spans="1:72" ht="15" x14ac:dyDescent="0.2">
      <c r="A144" s="5" t="s">
        <v>72</v>
      </c>
      <c r="B144" s="13">
        <v>43384</v>
      </c>
      <c r="C144" s="5" t="s">
        <v>102</v>
      </c>
      <c r="D144" s="5">
        <v>10</v>
      </c>
      <c r="E144" s="5">
        <v>11</v>
      </c>
      <c r="F144" s="6">
        <v>2018</v>
      </c>
      <c r="G144">
        <v>41.578980000000001</v>
      </c>
      <c r="H144">
        <v>-71.355599999999995</v>
      </c>
      <c r="I144">
        <v>9</v>
      </c>
      <c r="J144" t="s">
        <v>93</v>
      </c>
      <c r="K144" s="31">
        <v>31</v>
      </c>
      <c r="L144" s="31">
        <v>20</v>
      </c>
      <c r="M144" s="25">
        <v>0</v>
      </c>
      <c r="N144" s="25">
        <v>0</v>
      </c>
      <c r="O144" s="25">
        <v>25.672083794054743</v>
      </c>
      <c r="P144" s="25">
        <f t="shared" si="27"/>
        <v>2.5672083794054744E-2</v>
      </c>
      <c r="Q144" s="25">
        <v>0</v>
      </c>
      <c r="R144" s="25">
        <v>0</v>
      </c>
      <c r="S144" s="5">
        <v>6.200819000000001</v>
      </c>
      <c r="T144" s="6">
        <v>6.9281126666666673</v>
      </c>
      <c r="U144" s="6">
        <v>0.83519999999999994</v>
      </c>
      <c r="V144" s="6">
        <v>1.7683140000000002</v>
      </c>
      <c r="W144" s="6">
        <v>4.3622899999999998</v>
      </c>
      <c r="X144" s="6">
        <v>4.248603666666666</v>
      </c>
      <c r="Y144" s="6">
        <v>0.57468333333333332</v>
      </c>
      <c r="Z144" s="6">
        <v>1.1571546666666668</v>
      </c>
      <c r="AA144" s="6" t="s">
        <v>88</v>
      </c>
      <c r="AB144" s="21" t="s">
        <v>89</v>
      </c>
      <c r="AC144" s="21">
        <v>19.37934686338539</v>
      </c>
      <c r="AD144" s="21">
        <v>1.2691940959355084</v>
      </c>
      <c r="AE144" s="21">
        <v>19.666091040505936</v>
      </c>
      <c r="AF144" s="21">
        <v>3.9476136974000151</v>
      </c>
      <c r="AG144" s="6">
        <v>27.108366949999997</v>
      </c>
      <c r="AH144" s="6">
        <v>0.5305058372803747</v>
      </c>
      <c r="AI144" s="6">
        <v>2</v>
      </c>
      <c r="AJ144" s="6">
        <v>41.426849900000001</v>
      </c>
      <c r="AK144" s="6">
        <v>5.0094979913159893E-2</v>
      </c>
      <c r="AL144" s="6">
        <v>2</v>
      </c>
      <c r="AM144" s="21">
        <v>18.484908770479727</v>
      </c>
      <c r="AN144" s="21" t="s">
        <v>74</v>
      </c>
      <c r="AO144" s="21" t="s">
        <v>74</v>
      </c>
      <c r="AP144" s="21" t="s">
        <v>74</v>
      </c>
      <c r="AQ144" s="21" t="s">
        <v>74</v>
      </c>
      <c r="AR144" s="21" t="s">
        <v>74</v>
      </c>
      <c r="AS144" s="21" t="s">
        <v>74</v>
      </c>
      <c r="AT144" s="6" t="s">
        <v>74</v>
      </c>
      <c r="AU144" s="6" t="s">
        <v>74</v>
      </c>
      <c r="AV144" s="6" t="s">
        <v>74</v>
      </c>
      <c r="AW144" s="6" t="s">
        <v>74</v>
      </c>
      <c r="AX144" s="6" t="s">
        <v>74</v>
      </c>
      <c r="AY144" s="6">
        <v>2.4869073184679023</v>
      </c>
      <c r="AZ144" s="6">
        <v>1.8639985846441234</v>
      </c>
      <c r="BA144" s="6">
        <v>4.4497830302539434</v>
      </c>
      <c r="BB144" s="6">
        <v>2.6102887844225897</v>
      </c>
      <c r="BC144" s="6">
        <v>40.535390199636922</v>
      </c>
      <c r="BD144" s="6">
        <v>36.954543164153705</v>
      </c>
      <c r="BE144" s="21" t="s">
        <v>74</v>
      </c>
      <c r="BF144" s="21" t="s">
        <v>74</v>
      </c>
      <c r="BG144" s="21" t="s">
        <v>74</v>
      </c>
      <c r="BH144" s="21" t="s">
        <v>74</v>
      </c>
      <c r="BI144" s="21" t="s">
        <v>74</v>
      </c>
      <c r="BJ144" s="21" t="s">
        <v>74</v>
      </c>
      <c r="BK144" s="21" t="s">
        <v>74</v>
      </c>
      <c r="BL144" s="21" t="s">
        <v>74</v>
      </c>
      <c r="BM144" s="6" t="s">
        <v>74</v>
      </c>
      <c r="BN144" s="6" t="s">
        <v>74</v>
      </c>
      <c r="BO144" s="6" t="s">
        <v>74</v>
      </c>
      <c r="BP144" s="6" t="s">
        <v>74</v>
      </c>
      <c r="BQ144" s="6" t="s">
        <v>74</v>
      </c>
      <c r="BR144" s="6" t="s">
        <v>74</v>
      </c>
      <c r="BS144" s="6" t="s">
        <v>74</v>
      </c>
      <c r="BT144" s="6" t="s">
        <v>74</v>
      </c>
    </row>
    <row r="145" spans="1:72" ht="15" x14ac:dyDescent="0.2">
      <c r="A145" s="5" t="s">
        <v>79</v>
      </c>
      <c r="B145" s="13">
        <v>43384</v>
      </c>
      <c r="C145" s="5">
        <v>4</v>
      </c>
      <c r="D145" s="5">
        <v>10</v>
      </c>
      <c r="E145" s="5">
        <v>11</v>
      </c>
      <c r="F145" s="6">
        <v>2018</v>
      </c>
      <c r="G145">
        <v>41.778779999999998</v>
      </c>
      <c r="H145">
        <v>-71.379720000000006</v>
      </c>
      <c r="I145">
        <v>3.5</v>
      </c>
      <c r="J145" t="s">
        <v>93</v>
      </c>
      <c r="K145" s="25">
        <v>24</v>
      </c>
      <c r="L145" s="25">
        <v>20</v>
      </c>
      <c r="M145" s="26">
        <v>2692.84640060535</v>
      </c>
      <c r="N145" s="26">
        <v>0</v>
      </c>
      <c r="O145" s="25">
        <v>166.76026172329045</v>
      </c>
      <c r="P145" s="27">
        <f t="shared" si="27"/>
        <v>0.16676026172329045</v>
      </c>
      <c r="Q145" s="25">
        <v>537.11470697627408</v>
      </c>
      <c r="R145" s="27">
        <f t="shared" ref="R145:R173" si="28">Q145/1000</f>
        <v>0.53711470697627406</v>
      </c>
      <c r="S145" s="5">
        <v>14.545498666666667</v>
      </c>
      <c r="T145" s="6">
        <v>17.248896000000002</v>
      </c>
      <c r="U145" s="6">
        <v>1.15486</v>
      </c>
      <c r="V145" s="6">
        <v>2.9741093333333333</v>
      </c>
      <c r="W145" s="6">
        <v>16.238243666666669</v>
      </c>
      <c r="X145" s="6">
        <v>15.854958</v>
      </c>
      <c r="Y145" s="6">
        <v>1.2750666666666666</v>
      </c>
      <c r="Z145" s="6">
        <v>2.8652206666666666</v>
      </c>
      <c r="AA145" s="6" t="s">
        <v>88</v>
      </c>
      <c r="AB145" s="21" t="s">
        <v>89</v>
      </c>
      <c r="AC145" s="21">
        <v>-162.44045980236396</v>
      </c>
      <c r="AD145" s="21">
        <v>-4.550674000066218</v>
      </c>
      <c r="AE145" s="21">
        <v>3.1275216000455077</v>
      </c>
      <c r="AF145" s="21">
        <v>-7.5054668001092173</v>
      </c>
      <c r="AG145" s="6">
        <v>68.680000000000007</v>
      </c>
      <c r="AH145" s="6">
        <v>0.17677669529663687</v>
      </c>
      <c r="AI145" s="6">
        <v>2</v>
      </c>
      <c r="AJ145" s="6">
        <v>78.426576000000011</v>
      </c>
      <c r="AK145" s="6">
        <v>0.19257628921547185</v>
      </c>
      <c r="AL145" s="6">
        <v>2</v>
      </c>
      <c r="AM145" s="21">
        <f>-37.1911286863271+AM149</f>
        <v>-55.167000000000016</v>
      </c>
      <c r="AN145" s="21">
        <v>0.22897430000000002</v>
      </c>
      <c r="AO145" s="21">
        <v>2.8752709999999997</v>
      </c>
      <c r="AP145" s="21">
        <v>12.557177814278718</v>
      </c>
      <c r="AQ145" s="21">
        <v>0.24188120000000002</v>
      </c>
      <c r="AR145" s="21">
        <v>3.1029274999999998</v>
      </c>
      <c r="AS145" s="21">
        <v>12.828311997790649</v>
      </c>
      <c r="AT145" s="6" t="s">
        <v>87</v>
      </c>
      <c r="AU145" s="6">
        <v>6.4343694317957212</v>
      </c>
      <c r="AV145" s="6">
        <v>6.4419625049860789</v>
      </c>
      <c r="AW145" s="6">
        <v>186.5609957699227</v>
      </c>
      <c r="AX145" s="6">
        <v>48.45626489035832</v>
      </c>
      <c r="AY145" s="6">
        <v>1.6850103071244238</v>
      </c>
      <c r="AZ145" s="6">
        <v>2.8366600203248185</v>
      </c>
      <c r="BA145" s="6">
        <v>3.1865580164138456</v>
      </c>
      <c r="BB145" s="6">
        <v>2.0387270790307346</v>
      </c>
      <c r="BC145" s="6">
        <v>26.170555534781453</v>
      </c>
      <c r="BD145" s="6">
        <v>28.579169852741742</v>
      </c>
      <c r="BE145" s="21">
        <v>64.00222722855294</v>
      </c>
      <c r="BF145" s="21">
        <v>325.87384736415368</v>
      </c>
      <c r="BG145" s="21">
        <v>39.41109999844641</v>
      </c>
      <c r="BH145" s="21">
        <v>278.97260234216003</v>
      </c>
      <c r="BI145" s="21">
        <v>22.350402055750134</v>
      </c>
      <c r="BJ145" s="21">
        <v>179.49433507879849</v>
      </c>
      <c r="BK145" s="21">
        <v>5.1897479398625004</v>
      </c>
      <c r="BL145" s="21">
        <v>52.579457312485196</v>
      </c>
      <c r="BM145" s="6" t="s">
        <v>74</v>
      </c>
      <c r="BN145" s="6" t="s">
        <v>74</v>
      </c>
      <c r="BO145" s="6" t="s">
        <v>74</v>
      </c>
      <c r="BP145" s="6" t="s">
        <v>74</v>
      </c>
      <c r="BQ145" s="6" t="s">
        <v>74</v>
      </c>
      <c r="BR145" s="6" t="s">
        <v>74</v>
      </c>
      <c r="BS145" s="6" t="s">
        <v>74</v>
      </c>
      <c r="BT145" s="6" t="s">
        <v>74</v>
      </c>
    </row>
    <row r="146" spans="1:72" ht="15" x14ac:dyDescent="0.2">
      <c r="A146" s="5" t="s">
        <v>79</v>
      </c>
      <c r="B146" s="13">
        <v>43384</v>
      </c>
      <c r="C146" s="5">
        <v>13</v>
      </c>
      <c r="D146" s="5">
        <v>10</v>
      </c>
      <c r="E146" s="5">
        <v>11</v>
      </c>
      <c r="F146" s="6">
        <v>2018</v>
      </c>
      <c r="G146">
        <v>41.778779999999998</v>
      </c>
      <c r="H146">
        <v>-71.379720000000006</v>
      </c>
      <c r="I146">
        <v>3.5</v>
      </c>
      <c r="J146" t="s">
        <v>93</v>
      </c>
      <c r="K146" s="25">
        <v>24</v>
      </c>
      <c r="L146" s="25">
        <v>19</v>
      </c>
      <c r="M146" s="26">
        <v>1260.7543932337801</v>
      </c>
      <c r="N146" s="26">
        <v>38.990841247254799</v>
      </c>
      <c r="O146" s="25">
        <v>159.74596248578723</v>
      </c>
      <c r="P146" s="27">
        <f t="shared" si="27"/>
        <v>0.15974596248578724</v>
      </c>
      <c r="Q146" s="25">
        <v>527.42628854660938</v>
      </c>
      <c r="R146" s="27">
        <f t="shared" si="28"/>
        <v>0.52742628854660933</v>
      </c>
      <c r="S146" s="5">
        <v>14.545498666666667</v>
      </c>
      <c r="T146" s="6">
        <v>17.248896000000002</v>
      </c>
      <c r="U146" s="6">
        <v>1.15486</v>
      </c>
      <c r="V146" s="6">
        <v>2.9741093333333333</v>
      </c>
      <c r="W146" s="6">
        <v>16.238243666666669</v>
      </c>
      <c r="X146" s="6">
        <v>15.854958</v>
      </c>
      <c r="Y146" s="6">
        <v>1.2750666666666666</v>
      </c>
      <c r="Z146" s="6">
        <v>2.8652206666666666</v>
      </c>
      <c r="AA146" s="6" t="s">
        <v>88</v>
      </c>
      <c r="AB146" s="21" t="s">
        <v>89</v>
      </c>
      <c r="AC146" s="21">
        <v>-24.746054263967885</v>
      </c>
      <c r="AD146" s="21">
        <v>1.3536124031227654</v>
      </c>
      <c r="AE146" s="21">
        <v>-7.1648744187210252</v>
      </c>
      <c r="AF146" s="21">
        <v>-19.224426873697293</v>
      </c>
      <c r="AG146" s="6">
        <v>68.680000000000007</v>
      </c>
      <c r="AH146" s="6">
        <v>0.17677669529663687</v>
      </c>
      <c r="AI146" s="6">
        <v>2</v>
      </c>
      <c r="AJ146" s="6">
        <v>78.426576000000011</v>
      </c>
      <c r="AK146" s="6">
        <v>0.19257628921547185</v>
      </c>
      <c r="AL146" s="6">
        <v>2</v>
      </c>
      <c r="AM146" s="21">
        <f>-38.1559116320635+AM149</f>
        <v>-56.131782945736418</v>
      </c>
      <c r="AN146" s="21" t="s">
        <v>74</v>
      </c>
      <c r="AO146" s="21" t="s">
        <v>74</v>
      </c>
      <c r="AP146" s="21" t="s">
        <v>74</v>
      </c>
      <c r="AQ146" s="21" t="s">
        <v>74</v>
      </c>
      <c r="AR146" s="21" t="s">
        <v>74</v>
      </c>
      <c r="AS146" s="21" t="s">
        <v>74</v>
      </c>
      <c r="AT146" s="6" t="s">
        <v>74</v>
      </c>
      <c r="AU146" s="6" t="s">
        <v>74</v>
      </c>
      <c r="AV146" s="6" t="s">
        <v>74</v>
      </c>
      <c r="AW146" s="6">
        <v>275.28395171707274</v>
      </c>
      <c r="AX146" s="6" t="s">
        <v>74</v>
      </c>
      <c r="AY146" s="6">
        <v>1.6850103071244238</v>
      </c>
      <c r="AZ146" s="6">
        <v>2.8366600203248185</v>
      </c>
      <c r="BA146" s="6">
        <v>3.1865580164138456</v>
      </c>
      <c r="BB146" s="6">
        <v>2.0387270790307346</v>
      </c>
      <c r="BC146" s="6">
        <v>26.170555534781453</v>
      </c>
      <c r="BD146" s="6">
        <v>28.579169852741742</v>
      </c>
      <c r="BE146" s="21">
        <v>52.814692854955986</v>
      </c>
      <c r="BF146" s="21">
        <v>172.29162666122042</v>
      </c>
      <c r="BG146" s="21">
        <v>46.983406603289048</v>
      </c>
      <c r="BH146" s="21">
        <v>280.98787689404327</v>
      </c>
      <c r="BI146" s="21">
        <v>72.61442932729851</v>
      </c>
      <c r="BJ146" s="21">
        <v>384.3101458605297</v>
      </c>
      <c r="BK146" s="21">
        <v>35.187644004700779</v>
      </c>
      <c r="BL146" s="21">
        <v>217.43524389730379</v>
      </c>
      <c r="BM146" s="6" t="s">
        <v>74</v>
      </c>
      <c r="BN146" s="6" t="s">
        <v>74</v>
      </c>
      <c r="BO146" s="6" t="s">
        <v>74</v>
      </c>
      <c r="BP146" s="6" t="s">
        <v>74</v>
      </c>
      <c r="BQ146" s="6" t="s">
        <v>74</v>
      </c>
      <c r="BR146" s="6" t="s">
        <v>74</v>
      </c>
      <c r="BS146" s="6" t="s">
        <v>74</v>
      </c>
      <c r="BT146" s="6" t="s">
        <v>74</v>
      </c>
    </row>
    <row r="147" spans="1:72" ht="15" x14ac:dyDescent="0.2">
      <c r="A147" s="5" t="s">
        <v>79</v>
      </c>
      <c r="B147" s="13">
        <v>43384</v>
      </c>
      <c r="C147" s="5">
        <v>50</v>
      </c>
      <c r="D147" s="5">
        <v>10</v>
      </c>
      <c r="E147" s="5">
        <v>11</v>
      </c>
      <c r="F147" s="6">
        <v>2018</v>
      </c>
      <c r="G147">
        <v>41.778779999999998</v>
      </c>
      <c r="H147">
        <v>-71.379720000000006</v>
      </c>
      <c r="I147">
        <v>3.5</v>
      </c>
      <c r="J147" t="s">
        <v>93</v>
      </c>
      <c r="K147" s="25">
        <v>24</v>
      </c>
      <c r="L147" s="25">
        <v>20</v>
      </c>
      <c r="M147" s="26">
        <v>3464.7446685294499</v>
      </c>
      <c r="N147" s="26">
        <v>0</v>
      </c>
      <c r="O147" s="25">
        <v>209.73236221024356</v>
      </c>
      <c r="P147" s="27">
        <f t="shared" si="27"/>
        <v>0.20973236221024358</v>
      </c>
      <c r="Q147" s="25">
        <v>0</v>
      </c>
      <c r="R147" s="27">
        <f t="shared" si="28"/>
        <v>0</v>
      </c>
      <c r="S147" s="5">
        <v>14.545498666666667</v>
      </c>
      <c r="T147" s="6">
        <v>17.248896000000002</v>
      </c>
      <c r="U147" s="6">
        <v>1.15486</v>
      </c>
      <c r="V147" s="6">
        <v>2.9741093333333333</v>
      </c>
      <c r="W147" s="6">
        <v>16.238243666666669</v>
      </c>
      <c r="X147" s="6">
        <v>15.854958</v>
      </c>
      <c r="Y147" s="6">
        <v>1.2750666666666666</v>
      </c>
      <c r="Z147" s="6">
        <v>2.8652206666666666</v>
      </c>
      <c r="AA147" s="6" t="s">
        <v>88</v>
      </c>
      <c r="AB147" s="21" t="s">
        <v>89</v>
      </c>
      <c r="AC147" s="21">
        <v>174.51688342431024</v>
      </c>
      <c r="AD147" s="21">
        <v>9.6680345744740741</v>
      </c>
      <c r="AE147" s="21">
        <v>8.6502120678245156</v>
      </c>
      <c r="AF147" s="21">
        <v>-23.505303710120934</v>
      </c>
      <c r="AG147" s="6">
        <v>68.680000000000007</v>
      </c>
      <c r="AH147" s="6">
        <v>0.17677669529663687</v>
      </c>
      <c r="AI147" s="6">
        <v>2</v>
      </c>
      <c r="AJ147" s="6">
        <v>78.426576000000011</v>
      </c>
      <c r="AK147" s="6">
        <v>0.19257628921547185</v>
      </c>
      <c r="AL147" s="6">
        <v>2</v>
      </c>
      <c r="AM147" s="21">
        <f>27.0057915264392+AM149</f>
        <v>9.0299202127662852</v>
      </c>
      <c r="AN147" s="21">
        <v>0.2493322</v>
      </c>
      <c r="AO147" s="21">
        <v>2.9731215</v>
      </c>
      <c r="AP147" s="21">
        <v>11.924338292446784</v>
      </c>
      <c r="AQ147" s="21">
        <v>0.26240010000000002</v>
      </c>
      <c r="AR147" s="21">
        <v>3.0910875000000004</v>
      </c>
      <c r="AS147" s="21">
        <v>11.780054580771884</v>
      </c>
      <c r="AT147" s="6" t="s">
        <v>87</v>
      </c>
      <c r="AU147" s="6">
        <v>7.0141816788041238</v>
      </c>
      <c r="AV147" s="6">
        <v>7.0929607737774765</v>
      </c>
      <c r="AW147" s="6">
        <v>193.63057324840759</v>
      </c>
      <c r="AX147" s="6">
        <v>197.95726076960761</v>
      </c>
      <c r="AY147" s="6">
        <v>1.6850103071244238</v>
      </c>
      <c r="AZ147" s="6">
        <v>2.8366600203248185</v>
      </c>
      <c r="BA147" s="6">
        <v>3.1865580164138456</v>
      </c>
      <c r="BB147" s="6">
        <v>2.0387270790307346</v>
      </c>
      <c r="BC147" s="6">
        <v>26.170555534781453</v>
      </c>
      <c r="BD147" s="6">
        <v>28.579169852741742</v>
      </c>
      <c r="BE147" s="21" t="s">
        <v>74</v>
      </c>
      <c r="BF147" s="21" t="s">
        <v>74</v>
      </c>
      <c r="BG147" s="21" t="s">
        <v>74</v>
      </c>
      <c r="BH147" s="21" t="s">
        <v>74</v>
      </c>
      <c r="BI147" s="21" t="s">
        <v>74</v>
      </c>
      <c r="BJ147" s="21" t="s">
        <v>74</v>
      </c>
      <c r="BK147" s="21" t="s">
        <v>74</v>
      </c>
      <c r="BL147" s="21" t="s">
        <v>74</v>
      </c>
      <c r="BM147" s="6" t="s">
        <v>74</v>
      </c>
      <c r="BN147" s="6" t="s">
        <v>74</v>
      </c>
      <c r="BO147" s="6" t="s">
        <v>74</v>
      </c>
      <c r="BP147" s="6" t="s">
        <v>74</v>
      </c>
      <c r="BQ147" s="6" t="s">
        <v>74</v>
      </c>
      <c r="BR147" s="6" t="s">
        <v>74</v>
      </c>
      <c r="BS147" s="6" t="s">
        <v>74</v>
      </c>
      <c r="BT147" s="6" t="s">
        <v>74</v>
      </c>
    </row>
    <row r="148" spans="1:72" ht="15" x14ac:dyDescent="0.2">
      <c r="A148" s="5" t="s">
        <v>79</v>
      </c>
      <c r="B148" s="13">
        <v>43384</v>
      </c>
      <c r="C148" s="5">
        <v>12</v>
      </c>
      <c r="D148" s="5">
        <v>10</v>
      </c>
      <c r="E148" s="5">
        <v>11</v>
      </c>
      <c r="F148" s="6">
        <v>2018</v>
      </c>
      <c r="G148">
        <v>41.778779999999998</v>
      </c>
      <c r="H148">
        <v>-71.379720000000006</v>
      </c>
      <c r="I148">
        <v>3.5</v>
      </c>
      <c r="J148" t="s">
        <v>93</v>
      </c>
      <c r="K148" s="25">
        <v>24</v>
      </c>
      <c r="L148" s="25">
        <v>20</v>
      </c>
      <c r="M148" s="26">
        <v>1691.63161656797</v>
      </c>
      <c r="N148" s="26">
        <v>0</v>
      </c>
      <c r="O148" s="25">
        <v>212.79335277881438</v>
      </c>
      <c r="P148" s="27">
        <f t="shared" si="27"/>
        <v>0.21279335277881439</v>
      </c>
      <c r="Q148" s="25">
        <v>-161.50806680204667</v>
      </c>
      <c r="R148" s="27">
        <f t="shared" si="28"/>
        <v>-0.16150806680204666</v>
      </c>
      <c r="S148" s="5">
        <v>14.545498666666667</v>
      </c>
      <c r="T148" s="6">
        <v>17.248896000000002</v>
      </c>
      <c r="U148" s="6">
        <v>1.15486</v>
      </c>
      <c r="V148" s="6">
        <v>2.9741093333333333</v>
      </c>
      <c r="W148" s="6">
        <v>16.238243666666669</v>
      </c>
      <c r="X148" s="6">
        <v>15.854958</v>
      </c>
      <c r="Y148" s="6">
        <v>1.2750666666666666</v>
      </c>
      <c r="Z148" s="6">
        <v>2.8652206666666666</v>
      </c>
      <c r="AA148" s="6" t="s">
        <v>88</v>
      </c>
      <c r="AB148" s="21" t="s">
        <v>89</v>
      </c>
      <c r="AC148" s="21">
        <v>-47.99562032037759</v>
      </c>
      <c r="AD148" s="21">
        <v>-3.46652406413659</v>
      </c>
      <c r="AE148" s="21">
        <v>-1.2320374331428368</v>
      </c>
      <c r="AF148" s="21">
        <v>-15.778122994495245</v>
      </c>
      <c r="AG148" s="6">
        <v>68.680000000000007</v>
      </c>
      <c r="AH148" s="6">
        <v>0.17677669529663687</v>
      </c>
      <c r="AI148" s="6">
        <v>2</v>
      </c>
      <c r="AJ148" s="6">
        <v>78.426576000000011</v>
      </c>
      <c r="AK148" s="6">
        <v>0.19257628921547185</v>
      </c>
      <c r="AL148" s="6">
        <v>2</v>
      </c>
      <c r="AM148" s="21">
        <f>32.7753365543145+AM149</f>
        <v>14.799465240641585</v>
      </c>
      <c r="AN148" s="21" t="s">
        <v>74</v>
      </c>
      <c r="AO148" s="21" t="s">
        <v>74</v>
      </c>
      <c r="AP148" s="21" t="s">
        <v>74</v>
      </c>
      <c r="AQ148" s="21" t="s">
        <v>74</v>
      </c>
      <c r="AR148" s="21" t="s">
        <v>74</v>
      </c>
      <c r="AS148" s="21" t="s">
        <v>74</v>
      </c>
      <c r="AT148" s="6" t="s">
        <v>74</v>
      </c>
      <c r="AU148" s="6" t="s">
        <v>74</v>
      </c>
      <c r="AV148" s="6" t="s">
        <v>74</v>
      </c>
      <c r="AW148" s="6">
        <v>332.77406659416914</v>
      </c>
      <c r="AX148" s="6">
        <v>3.7698720936253949</v>
      </c>
      <c r="AY148" s="6">
        <v>1.6850103071244238</v>
      </c>
      <c r="AZ148" s="6">
        <v>2.8366600203248185</v>
      </c>
      <c r="BA148" s="6">
        <v>3.1865580164138456</v>
      </c>
      <c r="BB148" s="6">
        <v>2.0387270790307346</v>
      </c>
      <c r="BC148" s="6">
        <v>26.170555534781453</v>
      </c>
      <c r="BD148" s="6">
        <v>28.579169852741742</v>
      </c>
      <c r="BE148" s="21" t="s">
        <v>74</v>
      </c>
      <c r="BF148" s="21" t="s">
        <v>74</v>
      </c>
      <c r="BG148" s="21" t="s">
        <v>74</v>
      </c>
      <c r="BH148" s="21" t="s">
        <v>74</v>
      </c>
      <c r="BI148" s="21" t="s">
        <v>74</v>
      </c>
      <c r="BJ148" s="21" t="s">
        <v>74</v>
      </c>
      <c r="BK148" s="21" t="s">
        <v>74</v>
      </c>
      <c r="BL148" s="21" t="s">
        <v>74</v>
      </c>
      <c r="BM148" s="6" t="s">
        <v>74</v>
      </c>
      <c r="BN148" s="6" t="s">
        <v>74</v>
      </c>
      <c r="BO148" s="6" t="s">
        <v>74</v>
      </c>
      <c r="BP148" s="6" t="s">
        <v>74</v>
      </c>
      <c r="BQ148" s="6" t="s">
        <v>74</v>
      </c>
      <c r="BR148" s="6" t="s">
        <v>74</v>
      </c>
      <c r="BS148" s="6" t="s">
        <v>74</v>
      </c>
      <c r="BT148" s="6" t="s">
        <v>74</v>
      </c>
    </row>
    <row r="149" spans="1:72" ht="15" x14ac:dyDescent="0.2">
      <c r="A149" s="5" t="s">
        <v>79</v>
      </c>
      <c r="B149" s="13">
        <v>43384</v>
      </c>
      <c r="C149" s="5" t="s">
        <v>103</v>
      </c>
      <c r="D149" s="5">
        <v>10</v>
      </c>
      <c r="E149" s="5">
        <v>11</v>
      </c>
      <c r="F149" s="6">
        <v>2018</v>
      </c>
      <c r="G149">
        <v>41.778779999999998</v>
      </c>
      <c r="H149">
        <v>-71.379720000000006</v>
      </c>
      <c r="I149">
        <v>3.5</v>
      </c>
      <c r="J149" t="s">
        <v>93</v>
      </c>
      <c r="K149" s="25">
        <v>24</v>
      </c>
      <c r="L149" s="25">
        <v>20</v>
      </c>
      <c r="M149" s="26">
        <v>0</v>
      </c>
      <c r="N149" s="26">
        <v>0</v>
      </c>
      <c r="O149" s="25">
        <v>0</v>
      </c>
      <c r="P149" s="27">
        <f t="shared" si="27"/>
        <v>0</v>
      </c>
      <c r="Q149" s="25">
        <v>0</v>
      </c>
      <c r="R149" s="27">
        <f t="shared" si="28"/>
        <v>0</v>
      </c>
      <c r="S149" s="5">
        <v>14.545498666666667</v>
      </c>
      <c r="T149" s="6">
        <v>17.248896000000002</v>
      </c>
      <c r="U149" s="6">
        <v>1.15486</v>
      </c>
      <c r="V149" s="6">
        <v>2.9741093333333333</v>
      </c>
      <c r="W149" s="6">
        <v>16.238243666666669</v>
      </c>
      <c r="X149" s="6">
        <v>15.854958</v>
      </c>
      <c r="Y149" s="6">
        <v>1.2750666666666666</v>
      </c>
      <c r="Z149" s="6">
        <v>2.8652206666666666</v>
      </c>
      <c r="AA149" s="6" t="s">
        <v>88</v>
      </c>
      <c r="AB149" s="21" t="s">
        <v>89</v>
      </c>
      <c r="AC149" s="21">
        <v>-74.131358820282657</v>
      </c>
      <c r="AD149" s="21">
        <v>-8.9115581769325622</v>
      </c>
      <c r="AE149" s="21">
        <v>2.6625860589778432</v>
      </c>
      <c r="AF149" s="21">
        <v>8.1767045576305488</v>
      </c>
      <c r="AG149" s="6">
        <v>68.680000000000007</v>
      </c>
      <c r="AH149" s="6">
        <v>0.17677669529663687</v>
      </c>
      <c r="AI149" s="6">
        <v>2</v>
      </c>
      <c r="AJ149" s="6">
        <v>78.426576000000011</v>
      </c>
      <c r="AK149" s="6">
        <v>0.19257628921547185</v>
      </c>
      <c r="AL149" s="6">
        <v>2</v>
      </c>
      <c r="AM149" s="21">
        <v>-17.975871313672915</v>
      </c>
      <c r="AN149" s="21" t="s">
        <v>74</v>
      </c>
      <c r="AO149" s="21" t="s">
        <v>74</v>
      </c>
      <c r="AP149" s="21" t="s">
        <v>74</v>
      </c>
      <c r="AQ149" s="21" t="s">
        <v>74</v>
      </c>
      <c r="AR149" s="21" t="s">
        <v>74</v>
      </c>
      <c r="AS149" s="21" t="s">
        <v>74</v>
      </c>
      <c r="AT149" s="6" t="s">
        <v>74</v>
      </c>
      <c r="AU149" s="6" t="s">
        <v>74</v>
      </c>
      <c r="AV149" s="6" t="s">
        <v>74</v>
      </c>
      <c r="AW149" s="6" t="s">
        <v>74</v>
      </c>
      <c r="AX149" s="6" t="s">
        <v>74</v>
      </c>
      <c r="AY149" s="6">
        <v>1.6850103071244238</v>
      </c>
      <c r="AZ149" s="6">
        <v>2.8366600203248185</v>
      </c>
      <c r="BA149" s="6">
        <v>3.1865580164138456</v>
      </c>
      <c r="BB149" s="6">
        <v>2.0387270790307346</v>
      </c>
      <c r="BC149" s="6">
        <v>26.170555534781453</v>
      </c>
      <c r="BD149" s="6">
        <v>28.579169852741742</v>
      </c>
      <c r="BE149" s="21" t="s">
        <v>74</v>
      </c>
      <c r="BF149" s="21" t="s">
        <v>74</v>
      </c>
      <c r="BG149" s="21" t="s">
        <v>74</v>
      </c>
      <c r="BH149" s="21" t="s">
        <v>74</v>
      </c>
      <c r="BI149" s="21" t="s">
        <v>74</v>
      </c>
      <c r="BJ149" s="21" t="s">
        <v>74</v>
      </c>
      <c r="BK149" s="21" t="s">
        <v>74</v>
      </c>
      <c r="BL149" s="21" t="s">
        <v>74</v>
      </c>
      <c r="BM149" s="6" t="s">
        <v>74</v>
      </c>
      <c r="BN149" s="6" t="s">
        <v>74</v>
      </c>
      <c r="BO149" s="6" t="s">
        <v>74</v>
      </c>
      <c r="BP149" s="6" t="s">
        <v>74</v>
      </c>
      <c r="BQ149" s="6" t="s">
        <v>74</v>
      </c>
      <c r="BR149" s="6" t="s">
        <v>74</v>
      </c>
      <c r="BS149" s="6" t="s">
        <v>74</v>
      </c>
      <c r="BT149" s="6" t="s">
        <v>74</v>
      </c>
    </row>
    <row r="150" spans="1:72" ht="15" x14ac:dyDescent="0.2">
      <c r="A150" s="5" t="s">
        <v>79</v>
      </c>
      <c r="B150" s="13">
        <v>43657</v>
      </c>
      <c r="C150" s="5">
        <v>35</v>
      </c>
      <c r="D150" s="9">
        <f t="shared" ref="D150:D173" si="29">MONTH(B150)</f>
        <v>7</v>
      </c>
      <c r="E150" s="9">
        <f t="shared" ref="E150:E173" si="30">DAY(B150)</f>
        <v>11</v>
      </c>
      <c r="F150" s="9">
        <f t="shared" ref="F150:F173" si="31">YEAR(B150)</f>
        <v>2019</v>
      </c>
      <c r="G150" s="19">
        <v>41.77975</v>
      </c>
      <c r="H150" s="19">
        <v>-71.379679999999993</v>
      </c>
      <c r="I150" s="12">
        <v>2.2000000000000002</v>
      </c>
      <c r="J150" s="9" t="s">
        <v>93</v>
      </c>
      <c r="K150" s="25">
        <v>22.8</v>
      </c>
      <c r="L150" s="25">
        <v>23</v>
      </c>
      <c r="M150" s="25">
        <v>952.81383713671903</v>
      </c>
      <c r="N150" s="25">
        <v>8.5124919940754999</v>
      </c>
      <c r="O150" s="25">
        <v>0</v>
      </c>
      <c r="P150" s="25">
        <f t="shared" si="27"/>
        <v>0</v>
      </c>
      <c r="Q150" s="25">
        <v>277.01539443453157</v>
      </c>
      <c r="R150" s="25">
        <f t="shared" si="28"/>
        <v>0.27701539443453155</v>
      </c>
      <c r="S150" s="5">
        <v>0.14766799999999997</v>
      </c>
      <c r="T150" t="s">
        <v>104</v>
      </c>
      <c r="U150" t="s">
        <v>104</v>
      </c>
      <c r="V150" s="6">
        <v>1.7207349999999999</v>
      </c>
      <c r="W150" s="6">
        <v>9.8445333333333329E-2</v>
      </c>
      <c r="X150" t="s">
        <v>104</v>
      </c>
      <c r="Y150" t="s">
        <v>104</v>
      </c>
      <c r="Z150" s="6">
        <v>1.6542183333333331</v>
      </c>
      <c r="AA150" s="6" t="s">
        <v>88</v>
      </c>
      <c r="AB150" s="21" t="s">
        <v>89</v>
      </c>
      <c r="AC150" s="21">
        <v>25.88082860068258</v>
      </c>
      <c r="AD150" s="21">
        <v>0.38301527303754257</v>
      </c>
      <c r="AE150" s="21">
        <v>3.2111601706484634</v>
      </c>
      <c r="AF150" s="21">
        <v>-6.0771331058020496E-3</v>
      </c>
      <c r="AG150" s="6">
        <v>37.415791499999997</v>
      </c>
      <c r="AH150" s="6">
        <v>2.631165773948676</v>
      </c>
      <c r="AI150" s="6">
        <v>2</v>
      </c>
      <c r="AJ150" s="6">
        <v>60.567040000000006</v>
      </c>
      <c r="AK150" s="6">
        <v>5.041302992518701</v>
      </c>
      <c r="AL150" s="6">
        <v>2</v>
      </c>
      <c r="AM150" s="21">
        <f>201.60835658248+AM154</f>
        <v>197.83573924914643</v>
      </c>
      <c r="AN150" s="21">
        <v>0.24</v>
      </c>
      <c r="AO150" s="21">
        <v>3.2250000000000001</v>
      </c>
      <c r="AP150" s="21">
        <v>13.4375</v>
      </c>
      <c r="AT150" s="6" t="s">
        <v>87</v>
      </c>
      <c r="AU150" s="6">
        <v>6.9813566045219515</v>
      </c>
      <c r="AV150" s="6" t="s">
        <v>74</v>
      </c>
      <c r="AW150" s="6">
        <v>134.12031139419673</v>
      </c>
      <c r="AX150" s="6" t="s">
        <v>74</v>
      </c>
      <c r="AY150" s="6">
        <v>17.03055997460142</v>
      </c>
      <c r="AZ150" s="6">
        <v>5.8432851593571193</v>
      </c>
      <c r="BA150" s="6">
        <v>16.537998909230918</v>
      </c>
      <c r="BB150" s="6">
        <v>5.3251765045376311</v>
      </c>
      <c r="BC150" s="6">
        <v>20.123581431001671</v>
      </c>
      <c r="BD150" s="6">
        <v>18.467108113125732</v>
      </c>
      <c r="BE150" s="21">
        <v>39.522691071522942</v>
      </c>
      <c r="BF150" s="21">
        <v>199.90223213224823</v>
      </c>
      <c r="BG150" s="21">
        <v>31.731707525912974</v>
      </c>
      <c r="BH150" s="21">
        <v>193.76893924180416</v>
      </c>
      <c r="BI150" s="21" t="s">
        <v>74</v>
      </c>
      <c r="BJ150" s="21" t="s">
        <v>74</v>
      </c>
      <c r="BK150" s="21" t="s">
        <v>74</v>
      </c>
      <c r="BL150" s="21" t="s">
        <v>74</v>
      </c>
      <c r="BM150" s="6">
        <v>1.2368000000000023</v>
      </c>
      <c r="BN150" s="6">
        <v>1.5750999999999991</v>
      </c>
      <c r="BO150" s="6" t="s">
        <v>74</v>
      </c>
      <c r="BP150" s="6" t="s">
        <v>74</v>
      </c>
      <c r="BQ150" s="6">
        <v>0.80511884275635992</v>
      </c>
      <c r="BR150" s="6">
        <v>0.93979942367238756</v>
      </c>
      <c r="BS150" s="6" t="s">
        <v>74</v>
      </c>
      <c r="BT150" s="6" t="s">
        <v>74</v>
      </c>
    </row>
    <row r="151" spans="1:72" ht="15" x14ac:dyDescent="0.2">
      <c r="A151" s="5" t="s">
        <v>79</v>
      </c>
      <c r="B151" s="13">
        <v>43657</v>
      </c>
      <c r="C151" s="5">
        <v>50</v>
      </c>
      <c r="D151" s="9">
        <f t="shared" si="29"/>
        <v>7</v>
      </c>
      <c r="E151" s="9">
        <f t="shared" si="30"/>
        <v>11</v>
      </c>
      <c r="F151" s="9">
        <f t="shared" si="31"/>
        <v>2019</v>
      </c>
      <c r="G151" s="19">
        <v>41.77975</v>
      </c>
      <c r="H151" s="19">
        <v>-71.379679999999993</v>
      </c>
      <c r="I151" s="12">
        <v>2.2000000000000002</v>
      </c>
      <c r="J151" s="9" t="s">
        <v>93</v>
      </c>
      <c r="K151" s="25">
        <v>22.8</v>
      </c>
      <c r="L151" s="25">
        <v>23</v>
      </c>
      <c r="M151" s="25">
        <v>1204.0619715717601</v>
      </c>
      <c r="N151" s="25">
        <v>0</v>
      </c>
      <c r="O151" s="25">
        <v>0</v>
      </c>
      <c r="P151" s="25">
        <f t="shared" si="27"/>
        <v>0</v>
      </c>
      <c r="Q151" s="25">
        <v>122.866402505332</v>
      </c>
      <c r="R151" s="25">
        <f t="shared" si="28"/>
        <v>0.122866402505332</v>
      </c>
      <c r="S151" s="5">
        <v>0.14766799999999997</v>
      </c>
      <c r="T151" t="s">
        <v>104</v>
      </c>
      <c r="U151" t="s">
        <v>104</v>
      </c>
      <c r="V151" s="6">
        <v>1.7207349999999999</v>
      </c>
      <c r="W151" s="6">
        <v>9.8445333333333329E-2</v>
      </c>
      <c r="X151" t="s">
        <v>104</v>
      </c>
      <c r="Y151" t="s">
        <v>104</v>
      </c>
      <c r="Z151" s="6">
        <v>1.6542183333333331</v>
      </c>
      <c r="AA151" s="6" t="s">
        <v>88</v>
      </c>
      <c r="AB151" s="21" t="s">
        <v>89</v>
      </c>
      <c r="AC151" s="21">
        <v>46.551254193548402</v>
      </c>
      <c r="AD151" s="21">
        <v>1.9605132427843801</v>
      </c>
      <c r="AE151" s="21">
        <v>4.3120370118845504</v>
      </c>
      <c r="AF151" s="21">
        <v>3.8361969439728333E-2</v>
      </c>
      <c r="AG151" s="6">
        <v>37.415791499999997</v>
      </c>
      <c r="AH151" s="6">
        <v>2.631165773948676</v>
      </c>
      <c r="AI151" s="6">
        <v>2</v>
      </c>
      <c r="AJ151" s="6">
        <v>60.567040000000006</v>
      </c>
      <c r="AK151" s="6">
        <v>5.041302992518701</v>
      </c>
      <c r="AL151" s="6">
        <v>2</v>
      </c>
      <c r="AM151" s="21">
        <f>192.627686671194+AM154</f>
        <v>188.85506933786041</v>
      </c>
      <c r="AN151" s="21">
        <v>0.27</v>
      </c>
      <c r="AO151" s="21">
        <v>3.3849999999999998</v>
      </c>
      <c r="AP151" s="21">
        <v>12.537037037037035</v>
      </c>
      <c r="AQ151" s="21">
        <v>0.27</v>
      </c>
      <c r="AR151" s="21">
        <v>3.605</v>
      </c>
      <c r="AS151" s="21">
        <v>13.351851851851851</v>
      </c>
      <c r="AT151" s="6" t="s">
        <v>87</v>
      </c>
      <c r="AU151" s="6">
        <v>7.5278810408922272</v>
      </c>
      <c r="AV151" s="6">
        <v>7.4849094567404242</v>
      </c>
      <c r="AW151" s="6">
        <v>134.12031139419673</v>
      </c>
      <c r="AX151" s="6" t="s">
        <v>74</v>
      </c>
      <c r="AY151" s="6">
        <v>17.03055997460142</v>
      </c>
      <c r="AZ151" s="6">
        <v>5.8432851593571193</v>
      </c>
      <c r="BA151" s="6">
        <v>16.537998909230918</v>
      </c>
      <c r="BB151" s="6">
        <v>5.3251765045376311</v>
      </c>
      <c r="BC151" s="6">
        <v>20.123581431001671</v>
      </c>
      <c r="BD151" s="6">
        <v>18.467108113125732</v>
      </c>
      <c r="BE151" s="21">
        <v>87.125702305920754</v>
      </c>
      <c r="BF151" s="21">
        <v>457.91759112775782</v>
      </c>
      <c r="BG151" s="21">
        <v>73.944180264517001</v>
      </c>
      <c r="BH151" s="21">
        <v>374.41992968275906</v>
      </c>
      <c r="BI151" s="21">
        <v>44.312683270094396</v>
      </c>
      <c r="BJ151" s="21">
        <v>245.24408416624703</v>
      </c>
      <c r="BK151" s="21">
        <v>32.634928954708421</v>
      </c>
      <c r="BL151" s="21">
        <v>235.5521383720498</v>
      </c>
      <c r="BM151" s="6">
        <v>1.496299999999998</v>
      </c>
      <c r="BN151" s="6">
        <v>1.5583000000000027</v>
      </c>
      <c r="BO151" s="6" t="s">
        <v>74</v>
      </c>
      <c r="BP151" s="6" t="s">
        <v>74</v>
      </c>
      <c r="BQ151" s="6">
        <v>1.0156728295578734</v>
      </c>
      <c r="BR151" s="6">
        <v>0.89903031704339609</v>
      </c>
      <c r="BS151" s="6" t="s">
        <v>74</v>
      </c>
      <c r="BT151" s="6" t="s">
        <v>74</v>
      </c>
    </row>
    <row r="152" spans="1:72" ht="15" x14ac:dyDescent="0.2">
      <c r="A152" s="5" t="s">
        <v>79</v>
      </c>
      <c r="B152" s="13">
        <v>43657</v>
      </c>
      <c r="C152" s="5">
        <v>75</v>
      </c>
      <c r="D152" s="9">
        <f t="shared" si="29"/>
        <v>7</v>
      </c>
      <c r="E152" s="9">
        <f t="shared" si="30"/>
        <v>11</v>
      </c>
      <c r="F152" s="9">
        <f t="shared" si="31"/>
        <v>2019</v>
      </c>
      <c r="G152" s="19">
        <v>41.77975</v>
      </c>
      <c r="H152" s="19">
        <v>-71.379679999999993</v>
      </c>
      <c r="I152" s="12">
        <v>2.2000000000000002</v>
      </c>
      <c r="J152" s="9" t="s">
        <v>93</v>
      </c>
      <c r="K152" s="25">
        <v>22.8</v>
      </c>
      <c r="L152" s="25">
        <v>23</v>
      </c>
      <c r="M152" s="25">
        <v>2708.5461034117802</v>
      </c>
      <c r="N152" s="25">
        <v>0</v>
      </c>
      <c r="O152" s="25">
        <v>0</v>
      </c>
      <c r="P152" s="25">
        <f t="shared" si="27"/>
        <v>0</v>
      </c>
      <c r="Q152" s="25">
        <v>114.02799615458819</v>
      </c>
      <c r="R152" s="25">
        <f t="shared" si="28"/>
        <v>0.1140279961545882</v>
      </c>
      <c r="S152" s="5">
        <v>0.14766799999999997</v>
      </c>
      <c r="T152" t="s">
        <v>104</v>
      </c>
      <c r="U152" t="s">
        <v>104</v>
      </c>
      <c r="V152" s="6">
        <v>1.7207349999999999</v>
      </c>
      <c r="W152" s="6">
        <v>9.8445333333333329E-2</v>
      </c>
      <c r="X152" t="s">
        <v>104</v>
      </c>
      <c r="Y152" t="s">
        <v>104</v>
      </c>
      <c r="Z152" s="6">
        <v>1.6542183333333331</v>
      </c>
      <c r="AA152" s="6" t="s">
        <v>88</v>
      </c>
      <c r="AB152" s="21" t="s">
        <v>89</v>
      </c>
      <c r="AC152" s="21">
        <v>327.21493047297292</v>
      </c>
      <c r="AD152" s="21">
        <v>2.3280362331081066</v>
      </c>
      <c r="AE152" s="21">
        <v>5.9750623648648631</v>
      </c>
      <c r="AF152" s="21">
        <v>2.3854729729729375E-3</v>
      </c>
      <c r="AG152" s="6">
        <v>37.415791499999997</v>
      </c>
      <c r="AH152" s="6">
        <v>2.631165773948676</v>
      </c>
      <c r="AI152" s="6">
        <v>2</v>
      </c>
      <c r="AJ152" s="6">
        <v>60.567040000000006</v>
      </c>
      <c r="AK152" s="6">
        <v>5.041302992518701</v>
      </c>
      <c r="AL152" s="6">
        <v>2</v>
      </c>
      <c r="AM152" s="21">
        <f>153.998018684685+AM154</f>
        <v>150.22540135135142</v>
      </c>
      <c r="AN152" s="21">
        <v>0.25</v>
      </c>
      <c r="AO152" s="21">
        <v>3.09</v>
      </c>
      <c r="AP152" s="21">
        <v>12.36</v>
      </c>
      <c r="AQ152" s="21">
        <v>0.255</v>
      </c>
      <c r="AR152" s="21">
        <v>3.2850000000000001</v>
      </c>
      <c r="AS152" s="21">
        <v>12.882352941176471</v>
      </c>
      <c r="AT152" s="6" t="s">
        <v>87</v>
      </c>
      <c r="AU152" s="6">
        <v>7.0301850048685957</v>
      </c>
      <c r="AV152" s="6">
        <v>6.8282828282827932</v>
      </c>
      <c r="AW152" s="6">
        <v>134.12031139419673</v>
      </c>
      <c r="AX152" s="6" t="s">
        <v>74</v>
      </c>
      <c r="AY152" s="6">
        <v>17.03055997460142</v>
      </c>
      <c r="AZ152" s="6">
        <v>5.8432851593571193</v>
      </c>
      <c r="BA152" s="6">
        <v>16.537998909230918</v>
      </c>
      <c r="BB152" s="6">
        <v>5.3251765045376311</v>
      </c>
      <c r="BC152" s="6">
        <v>20.123581431001671</v>
      </c>
      <c r="BD152" s="6">
        <v>18.467108113125732</v>
      </c>
      <c r="BE152" s="21">
        <v>45.266003406997399</v>
      </c>
      <c r="BF152" s="21">
        <v>288.1573230994822</v>
      </c>
      <c r="BG152" s="21">
        <v>41.191011813778459</v>
      </c>
      <c r="BH152" s="21">
        <v>319.79807373090722</v>
      </c>
      <c r="BI152" s="21">
        <v>13.098557196805379</v>
      </c>
      <c r="BJ152" s="21">
        <v>108.56042422776422</v>
      </c>
      <c r="BK152" s="21">
        <v>22.805733106641799</v>
      </c>
      <c r="BL152" s="21">
        <v>160.58730506102819</v>
      </c>
      <c r="BM152" s="6">
        <v>1.4140000000000041</v>
      </c>
      <c r="BN152" s="6">
        <v>1.5666000000000011</v>
      </c>
      <c r="BO152" s="6" t="s">
        <v>74</v>
      </c>
      <c r="BP152" s="6" t="s">
        <v>74</v>
      </c>
      <c r="BQ152" s="6">
        <v>0.78361633075827775</v>
      </c>
      <c r="BR152" s="6">
        <v>0.81722622626771524</v>
      </c>
      <c r="BS152" s="6" t="s">
        <v>74</v>
      </c>
      <c r="BT152" s="6" t="s">
        <v>74</v>
      </c>
    </row>
    <row r="153" spans="1:72" ht="15" x14ac:dyDescent="0.2">
      <c r="A153" s="5" t="s">
        <v>79</v>
      </c>
      <c r="B153" s="13">
        <v>43657</v>
      </c>
      <c r="C153" s="5">
        <v>40</v>
      </c>
      <c r="D153" s="9">
        <f t="shared" si="29"/>
        <v>7</v>
      </c>
      <c r="E153" s="9">
        <f t="shared" si="30"/>
        <v>11</v>
      </c>
      <c r="F153" s="9">
        <f t="shared" si="31"/>
        <v>2019</v>
      </c>
      <c r="G153" s="19">
        <v>41.77975</v>
      </c>
      <c r="H153" s="19">
        <v>-71.379679999999993</v>
      </c>
      <c r="I153" s="12">
        <v>2.2000000000000002</v>
      </c>
      <c r="J153" s="9" t="s">
        <v>93</v>
      </c>
      <c r="K153" s="25">
        <v>22.8</v>
      </c>
      <c r="L153" s="25">
        <v>23</v>
      </c>
      <c r="M153" s="25">
        <v>3652.7574230288901</v>
      </c>
      <c r="N153" s="25">
        <v>0</v>
      </c>
      <c r="O153" s="25">
        <v>0</v>
      </c>
      <c r="P153" s="25">
        <f t="shared" si="27"/>
        <v>0</v>
      </c>
      <c r="Q153" s="25">
        <v>0</v>
      </c>
      <c r="R153" s="25">
        <f t="shared" si="28"/>
        <v>0</v>
      </c>
      <c r="S153" s="5">
        <v>0.14766799999999997</v>
      </c>
      <c r="T153" t="s">
        <v>104</v>
      </c>
      <c r="U153" t="s">
        <v>104</v>
      </c>
      <c r="V153" s="6">
        <v>1.7207349999999999</v>
      </c>
      <c r="W153" s="6">
        <v>9.8445333333333329E-2</v>
      </c>
      <c r="X153" t="s">
        <v>104</v>
      </c>
      <c r="Y153" t="s">
        <v>104</v>
      </c>
      <c r="Z153" s="6">
        <v>1.6542183333333331</v>
      </c>
      <c r="AA153" s="6" t="s">
        <v>88</v>
      </c>
      <c r="AB153" s="21" t="s">
        <v>89</v>
      </c>
      <c r="AC153" s="21">
        <v>326.42156296075103</v>
      </c>
      <c r="AD153" s="21">
        <v>4.5598058447098984</v>
      </c>
      <c r="AE153" s="21">
        <v>20.645451860068267</v>
      </c>
      <c r="AF153" s="21">
        <v>8.528941979522188E-2</v>
      </c>
      <c r="AG153" s="6">
        <v>37.415791499999997</v>
      </c>
      <c r="AH153" s="6">
        <v>2.631165773948676</v>
      </c>
      <c r="AI153" s="6">
        <v>2</v>
      </c>
      <c r="AJ153" s="6">
        <v>60.567040000000006</v>
      </c>
      <c r="AK153" s="6">
        <v>5.041302992518701</v>
      </c>
      <c r="AL153" s="6">
        <v>2</v>
      </c>
      <c r="AM153" s="21">
        <f>245.559516548351+AM154</f>
        <v>241.78689921501743</v>
      </c>
      <c r="AN153" s="21">
        <v>0.27</v>
      </c>
      <c r="AO153" s="21">
        <v>3.5750000000000002</v>
      </c>
      <c r="AP153" s="21">
        <v>13.24074074074074</v>
      </c>
      <c r="AQ153" s="21">
        <v>0.26500000000000001</v>
      </c>
      <c r="AR153" s="21">
        <v>3.35</v>
      </c>
      <c r="AS153" s="21">
        <v>12.641509433962264</v>
      </c>
      <c r="AT153" s="6" t="s">
        <v>87</v>
      </c>
      <c r="AU153" s="6">
        <v>8.2265812650120367</v>
      </c>
      <c r="AV153" s="6">
        <v>7.3593073593073255</v>
      </c>
      <c r="AW153" s="6">
        <v>134.12031139419673</v>
      </c>
      <c r="AX153" s="6" t="s">
        <v>74</v>
      </c>
      <c r="AY153" s="6">
        <v>17.03055997460142</v>
      </c>
      <c r="AZ153" s="6">
        <v>5.8432851593571193</v>
      </c>
      <c r="BA153" s="6">
        <v>16.537998909230918</v>
      </c>
      <c r="BB153" s="6">
        <v>5.3251765045376311</v>
      </c>
      <c r="BC153" s="6">
        <v>20.123581431001671</v>
      </c>
      <c r="BD153" s="6">
        <v>18.467108113125732</v>
      </c>
      <c r="BE153" s="21">
        <v>60.826767332381074</v>
      </c>
      <c r="BF153" s="21">
        <v>330.68857932967933</v>
      </c>
      <c r="BG153" s="21">
        <v>44.628515635828776</v>
      </c>
      <c r="BH153" s="21">
        <v>297.46042137193871</v>
      </c>
      <c r="BI153" s="21" t="s">
        <v>74</v>
      </c>
      <c r="BJ153" s="21" t="s">
        <v>74</v>
      </c>
      <c r="BK153" s="21" t="s">
        <v>74</v>
      </c>
      <c r="BL153" s="21" t="s">
        <v>74</v>
      </c>
      <c r="BM153" s="6" t="s">
        <v>74</v>
      </c>
      <c r="BN153" s="6" t="s">
        <v>74</v>
      </c>
      <c r="BO153" s="6" t="s">
        <v>74</v>
      </c>
      <c r="BP153" s="6" t="s">
        <v>74</v>
      </c>
      <c r="BQ153" s="6" t="s">
        <v>74</v>
      </c>
      <c r="BR153" s="6" t="s">
        <v>74</v>
      </c>
      <c r="BS153" s="6" t="s">
        <v>74</v>
      </c>
      <c r="BT153" s="6" t="s">
        <v>74</v>
      </c>
    </row>
    <row r="154" spans="1:72" ht="15" x14ac:dyDescent="0.2">
      <c r="A154" s="5" t="s">
        <v>79</v>
      </c>
      <c r="B154" s="13">
        <v>43657</v>
      </c>
      <c r="C154" s="5" t="s">
        <v>105</v>
      </c>
      <c r="D154" s="9">
        <f t="shared" si="29"/>
        <v>7</v>
      </c>
      <c r="E154" s="9">
        <f t="shared" si="30"/>
        <v>11</v>
      </c>
      <c r="F154" s="9">
        <f t="shared" si="31"/>
        <v>2019</v>
      </c>
      <c r="G154" s="19">
        <v>41.77975</v>
      </c>
      <c r="H154" s="19">
        <v>-71.379679999999993</v>
      </c>
      <c r="I154" s="12">
        <v>2.2000000000000002</v>
      </c>
      <c r="J154" s="9" t="s">
        <v>93</v>
      </c>
      <c r="K154" s="25"/>
      <c r="L154" s="25"/>
      <c r="M154" s="25">
        <v>0</v>
      </c>
      <c r="N154" s="25">
        <v>0</v>
      </c>
      <c r="O154" s="25">
        <v>0</v>
      </c>
      <c r="P154" s="25">
        <f t="shared" si="27"/>
        <v>0</v>
      </c>
      <c r="Q154" s="25">
        <v>0</v>
      </c>
      <c r="R154" s="25">
        <f t="shared" si="28"/>
        <v>0</v>
      </c>
      <c r="S154" s="5">
        <v>0.14766799999999997</v>
      </c>
      <c r="T154" t="s">
        <v>104</v>
      </c>
      <c r="U154" t="s">
        <v>104</v>
      </c>
      <c r="V154" s="6">
        <v>1.7207349999999999</v>
      </c>
      <c r="W154" s="6">
        <v>9.8445333333333329E-2</v>
      </c>
      <c r="X154" t="s">
        <v>104</v>
      </c>
      <c r="Y154" t="s">
        <v>104</v>
      </c>
      <c r="Z154" s="6">
        <v>1.6542183333333331</v>
      </c>
      <c r="AA154" s="6" t="s">
        <v>88</v>
      </c>
      <c r="AB154" s="21" t="s">
        <v>89</v>
      </c>
      <c r="AC154" s="21">
        <v>-1.7061793207547165</v>
      </c>
      <c r="AD154" s="21" t="s">
        <v>74</v>
      </c>
      <c r="AE154" s="21" t="s">
        <v>74</v>
      </c>
      <c r="AF154" s="21">
        <v>-2.2011320754716894E-3</v>
      </c>
      <c r="AG154" s="6">
        <v>37.415791499999997</v>
      </c>
      <c r="AH154" s="6">
        <v>2.631165773948676</v>
      </c>
      <c r="AI154" s="6">
        <v>2</v>
      </c>
      <c r="AJ154" s="6">
        <v>60.567040000000006</v>
      </c>
      <c r="AK154" s="6">
        <v>5.041302992518701</v>
      </c>
      <c r="AL154" s="6">
        <v>2</v>
      </c>
      <c r="AM154" s="21">
        <v>-3.7726173333335806</v>
      </c>
      <c r="AN154" s="21" t="s">
        <v>74</v>
      </c>
      <c r="AO154" s="21" t="s">
        <v>74</v>
      </c>
      <c r="AP154" s="21" t="s">
        <v>74</v>
      </c>
      <c r="AQ154" s="21" t="s">
        <v>74</v>
      </c>
      <c r="AR154" s="21" t="s">
        <v>74</v>
      </c>
      <c r="AS154" s="21" t="s">
        <v>74</v>
      </c>
      <c r="AT154" s="6" t="s">
        <v>74</v>
      </c>
      <c r="AU154" s="6" t="s">
        <v>74</v>
      </c>
      <c r="AV154" s="6" t="s">
        <v>74</v>
      </c>
      <c r="AW154" s="6" t="s">
        <v>74</v>
      </c>
      <c r="AX154" s="6" t="s">
        <v>74</v>
      </c>
      <c r="AY154" s="6">
        <v>17.03055997460142</v>
      </c>
      <c r="AZ154" s="6">
        <v>5.8432851593571193</v>
      </c>
      <c r="BA154" s="6">
        <v>16.537998909230918</v>
      </c>
      <c r="BB154" s="6">
        <v>5.3251765045376311</v>
      </c>
      <c r="BC154" s="6">
        <v>20.123581431001671</v>
      </c>
      <c r="BD154" s="6">
        <v>18.467108113125732</v>
      </c>
      <c r="BE154" s="21" t="s">
        <v>74</v>
      </c>
      <c r="BF154" s="21" t="s">
        <v>74</v>
      </c>
      <c r="BG154" s="21" t="s">
        <v>74</v>
      </c>
      <c r="BH154" s="21" t="s">
        <v>74</v>
      </c>
      <c r="BI154" s="21" t="s">
        <v>74</v>
      </c>
      <c r="BJ154" s="21" t="s">
        <v>74</v>
      </c>
      <c r="BK154" s="21" t="s">
        <v>74</v>
      </c>
      <c r="BL154" s="21" t="s">
        <v>74</v>
      </c>
      <c r="BM154" s="6" t="s">
        <v>74</v>
      </c>
      <c r="BN154" s="6" t="s">
        <v>74</v>
      </c>
      <c r="BO154" s="6" t="s">
        <v>74</v>
      </c>
      <c r="BP154" s="6" t="s">
        <v>74</v>
      </c>
      <c r="BQ154" s="6" t="s">
        <v>74</v>
      </c>
      <c r="BR154" s="6" t="s">
        <v>74</v>
      </c>
      <c r="BS154" s="6" t="s">
        <v>74</v>
      </c>
      <c r="BT154" s="6" t="s">
        <v>74</v>
      </c>
    </row>
    <row r="155" spans="1:72" x14ac:dyDescent="0.15">
      <c r="A155" s="7" t="s">
        <v>72</v>
      </c>
      <c r="B155" s="13">
        <v>43692</v>
      </c>
      <c r="C155" s="5">
        <v>40</v>
      </c>
      <c r="D155" s="9">
        <f t="shared" si="29"/>
        <v>8</v>
      </c>
      <c r="E155" s="9">
        <f t="shared" si="30"/>
        <v>15</v>
      </c>
      <c r="F155" s="9">
        <f t="shared" si="31"/>
        <v>2019</v>
      </c>
      <c r="G155" s="19">
        <v>41.578139999999998</v>
      </c>
      <c r="H155" s="19">
        <v>-71.355639999999994</v>
      </c>
      <c r="I155" s="9">
        <v>15</v>
      </c>
      <c r="J155" s="9" t="s">
        <v>93</v>
      </c>
      <c r="K155" s="25">
        <v>30.8</v>
      </c>
      <c r="L155" s="25">
        <v>21</v>
      </c>
      <c r="M155" s="21">
        <v>562.23832232925099</v>
      </c>
      <c r="N155" s="21">
        <v>19.4160549955593</v>
      </c>
      <c r="O155" s="25">
        <v>15.726807995078193</v>
      </c>
      <c r="P155" s="25">
        <f t="shared" si="27"/>
        <v>1.5726807995078192E-2</v>
      </c>
      <c r="Q155" s="25">
        <v>139.48151447822704</v>
      </c>
      <c r="R155" s="25">
        <f t="shared" si="28"/>
        <v>0.13948151447822704</v>
      </c>
      <c r="S155" s="5">
        <v>0.52313959999999993</v>
      </c>
      <c r="T155" s="6">
        <v>9.9500000000000005E-2</v>
      </c>
      <c r="U155" s="6">
        <v>8.8020000000000008E-3</v>
      </c>
      <c r="V155" s="6">
        <v>0.98094079999999995</v>
      </c>
      <c r="W155" s="6">
        <v>2.2365843999999999</v>
      </c>
      <c r="X155" s="6">
        <v>1.0645</v>
      </c>
      <c r="Y155" s="6">
        <v>0.126162</v>
      </c>
      <c r="Z155" s="6">
        <v>0.99948799999999993</v>
      </c>
      <c r="AA155" s="6" t="s">
        <v>88</v>
      </c>
      <c r="AB155" s="21" t="s">
        <v>89</v>
      </c>
      <c r="AC155" s="21">
        <v>-7.5599067496664309</v>
      </c>
      <c r="AD155" s="21">
        <v>0.78794614227174065</v>
      </c>
      <c r="AE155" s="21">
        <v>10.938656101243389</v>
      </c>
      <c r="AF155" s="21">
        <v>1.6637677154601318E-2</v>
      </c>
      <c r="AG155" s="6">
        <v>16.570469500000002</v>
      </c>
      <c r="AH155" s="6">
        <v>0.36743376522915944</v>
      </c>
      <c r="AI155" s="6">
        <v>2</v>
      </c>
      <c r="AJ155" s="6">
        <v>16.390524499999998</v>
      </c>
      <c r="AK155" s="6">
        <v>1.5294843066187376</v>
      </c>
      <c r="AL155" s="6">
        <v>2</v>
      </c>
      <c r="AM155" s="21">
        <f>194.433701456991+AM159</f>
        <v>174.01070302325607</v>
      </c>
      <c r="AN155" s="21" t="s">
        <v>74</v>
      </c>
      <c r="AO155" s="21" t="s">
        <v>74</v>
      </c>
      <c r="AP155" s="21" t="s">
        <v>74</v>
      </c>
      <c r="AQ155" s="21">
        <v>0.155</v>
      </c>
      <c r="AR155" s="21">
        <v>1.59</v>
      </c>
      <c r="AS155" s="21">
        <v>10.258064516129032</v>
      </c>
      <c r="AT155" s="6" t="s">
        <v>87</v>
      </c>
      <c r="AU155" s="6" t="s">
        <v>74</v>
      </c>
      <c r="AV155" s="6">
        <v>3.9613526570048219</v>
      </c>
      <c r="AW155" s="6" t="s">
        <v>74</v>
      </c>
      <c r="AX155" s="6">
        <v>2.578101304215954</v>
      </c>
      <c r="AY155" s="6">
        <v>1.4344040349260196</v>
      </c>
      <c r="AZ155" s="6">
        <v>1.3957923870113942</v>
      </c>
      <c r="BA155" s="6">
        <v>6.1101844342544878</v>
      </c>
      <c r="BB155" s="6">
        <v>2.9777119584353362</v>
      </c>
      <c r="BC155" s="6">
        <v>6.2246663934054078</v>
      </c>
      <c r="BD155" s="6">
        <v>3.7351005376175523</v>
      </c>
      <c r="BE155" s="21">
        <v>80.48917861288146</v>
      </c>
      <c r="BF155" s="21">
        <v>232.13874151112569</v>
      </c>
      <c r="BG155" s="21">
        <v>30.233579400233413</v>
      </c>
      <c r="BH155" s="21">
        <v>224.1520805333347</v>
      </c>
      <c r="BI155" s="21" t="s">
        <v>74</v>
      </c>
      <c r="BJ155" s="21" t="s">
        <v>74</v>
      </c>
      <c r="BK155" s="21" t="s">
        <v>74</v>
      </c>
      <c r="BL155" s="21" t="s">
        <v>74</v>
      </c>
      <c r="BM155" s="6">
        <v>1.6499000000000024</v>
      </c>
      <c r="BN155" s="6">
        <v>1.6115000000000066</v>
      </c>
      <c r="BO155" s="6" t="s">
        <v>74</v>
      </c>
      <c r="BP155" s="6" t="s">
        <v>74</v>
      </c>
      <c r="BQ155" s="6">
        <v>0.76815506843706249</v>
      </c>
      <c r="BR155" s="6">
        <v>0.71235984893330162</v>
      </c>
      <c r="BS155" s="6" t="s">
        <v>74</v>
      </c>
      <c r="BT155" s="6" t="s">
        <v>74</v>
      </c>
    </row>
    <row r="156" spans="1:72" x14ac:dyDescent="0.15">
      <c r="A156" s="7" t="s">
        <v>72</v>
      </c>
      <c r="B156" s="13">
        <v>43692</v>
      </c>
      <c r="C156" s="5">
        <v>17</v>
      </c>
      <c r="D156" s="9">
        <f t="shared" si="29"/>
        <v>8</v>
      </c>
      <c r="E156" s="9">
        <f t="shared" si="30"/>
        <v>15</v>
      </c>
      <c r="F156" s="9">
        <f t="shared" si="31"/>
        <v>2019</v>
      </c>
      <c r="G156" s="19">
        <v>41.578139999999998</v>
      </c>
      <c r="H156" s="19">
        <v>-71.355639999999994</v>
      </c>
      <c r="I156" s="9">
        <v>15</v>
      </c>
      <c r="J156" s="9" t="s">
        <v>93</v>
      </c>
      <c r="K156" s="25">
        <v>30.8</v>
      </c>
      <c r="L156" s="25">
        <v>21</v>
      </c>
      <c r="M156" s="21">
        <v>715.733240098024</v>
      </c>
      <c r="N156" s="21">
        <v>0</v>
      </c>
      <c r="O156" s="25">
        <v>0</v>
      </c>
      <c r="P156" s="25">
        <f t="shared" si="27"/>
        <v>0</v>
      </c>
      <c r="Q156" s="25">
        <v>0</v>
      </c>
      <c r="R156" s="25">
        <f t="shared" si="28"/>
        <v>0</v>
      </c>
      <c r="S156" s="5">
        <v>0.52313959999999993</v>
      </c>
      <c r="T156" s="6">
        <v>9.9500000000000005E-2</v>
      </c>
      <c r="U156" s="6">
        <v>8.8020000000000008E-3</v>
      </c>
      <c r="V156" s="6">
        <v>0.98094079999999995</v>
      </c>
      <c r="W156" s="6">
        <v>2.2365843999999999</v>
      </c>
      <c r="X156" s="6">
        <v>1.0645</v>
      </c>
      <c r="Y156" s="6">
        <v>0.126162</v>
      </c>
      <c r="Z156" s="6">
        <v>0.99948799999999993</v>
      </c>
      <c r="AA156" s="6" t="s">
        <v>88</v>
      </c>
      <c r="AB156" s="21" t="s">
        <v>89</v>
      </c>
      <c r="AC156" s="21">
        <v>-6.1714296831723834</v>
      </c>
      <c r="AD156" s="21">
        <v>0.42609207920820175</v>
      </c>
      <c r="AE156" s="21">
        <v>2.0891127722786034</v>
      </c>
      <c r="AF156" s="21">
        <v>-1.1047219236216608E-2</v>
      </c>
      <c r="AG156" s="6">
        <v>16.570469500000002</v>
      </c>
      <c r="AH156" s="6">
        <v>0.36743376522915944</v>
      </c>
      <c r="AI156" s="6">
        <v>2</v>
      </c>
      <c r="AJ156" s="6">
        <v>16.390524499999998</v>
      </c>
      <c r="AK156" s="6">
        <v>1.5294843066187376</v>
      </c>
      <c r="AL156" s="6">
        <v>2</v>
      </c>
      <c r="AM156" s="21">
        <f>168.494621007992+AM159</f>
        <v>148.07162257425708</v>
      </c>
      <c r="AN156" s="21">
        <v>0.155</v>
      </c>
      <c r="AO156" s="21">
        <v>1.6400000000000001</v>
      </c>
      <c r="AP156" s="21">
        <v>10.580645161290324</v>
      </c>
      <c r="AQ156" s="21">
        <v>0.16</v>
      </c>
      <c r="AR156" s="21">
        <v>1.63</v>
      </c>
      <c r="AS156" s="21">
        <v>10.1875</v>
      </c>
      <c r="AT156" s="6" t="s">
        <v>87</v>
      </c>
      <c r="AU156" s="6">
        <v>4.4710578842314881</v>
      </c>
      <c r="AV156" s="6">
        <v>4.2487446890691016</v>
      </c>
      <c r="AW156" s="6" t="s">
        <v>74</v>
      </c>
      <c r="AX156" s="6">
        <v>2.7752502274795257</v>
      </c>
      <c r="AY156" s="6">
        <v>1.4344040349260196</v>
      </c>
      <c r="AZ156" s="6">
        <v>1.3957923870113942</v>
      </c>
      <c r="BA156" s="6">
        <v>6.1101844342544878</v>
      </c>
      <c r="BB156" s="6">
        <v>2.9777119584353362</v>
      </c>
      <c r="BC156" s="6">
        <v>6.2246663934054078</v>
      </c>
      <c r="BD156" s="6">
        <v>3.7351005376175523</v>
      </c>
      <c r="BE156" s="21">
        <v>34.546349295872758</v>
      </c>
      <c r="BF156" s="21">
        <v>182.5925861020944</v>
      </c>
      <c r="BG156" s="21">
        <v>27.123295345883552</v>
      </c>
      <c r="BH156" s="21">
        <v>210.81873457056736</v>
      </c>
      <c r="BI156" s="21" t="s">
        <v>74</v>
      </c>
      <c r="BJ156" s="21" t="s">
        <v>74</v>
      </c>
      <c r="BK156" s="21" t="s">
        <v>74</v>
      </c>
      <c r="BL156" s="21" t="s">
        <v>74</v>
      </c>
      <c r="BM156" s="6">
        <v>1.3305000000000007</v>
      </c>
      <c r="BN156" s="6">
        <v>1.298111111111113</v>
      </c>
      <c r="BO156" s="6" t="s">
        <v>74</v>
      </c>
      <c r="BP156" s="6" t="s">
        <v>74</v>
      </c>
      <c r="BQ156" s="6">
        <v>0.64465357933088263</v>
      </c>
      <c r="BR156" s="6">
        <v>0.60475559871119744</v>
      </c>
      <c r="BS156" s="6" t="s">
        <v>74</v>
      </c>
      <c r="BT156" s="6" t="s">
        <v>74</v>
      </c>
    </row>
    <row r="157" spans="1:72" x14ac:dyDescent="0.15">
      <c r="A157" s="7" t="s">
        <v>72</v>
      </c>
      <c r="B157" s="13">
        <v>43692</v>
      </c>
      <c r="C157" s="5">
        <v>35</v>
      </c>
      <c r="D157" s="9">
        <f t="shared" si="29"/>
        <v>8</v>
      </c>
      <c r="E157" s="9">
        <f t="shared" si="30"/>
        <v>15</v>
      </c>
      <c r="F157" s="9">
        <f t="shared" si="31"/>
        <v>2019</v>
      </c>
      <c r="G157" s="19">
        <v>41.578139999999998</v>
      </c>
      <c r="H157" s="19">
        <v>-71.355639999999994</v>
      </c>
      <c r="I157" s="9">
        <v>15</v>
      </c>
      <c r="J157" s="9" t="s">
        <v>93</v>
      </c>
      <c r="K157" s="25">
        <v>30.8</v>
      </c>
      <c r="L157" s="25">
        <v>21</v>
      </c>
      <c r="M157" s="21">
        <v>952.81383713671903</v>
      </c>
      <c r="N157" s="21">
        <v>8.5124919940754999</v>
      </c>
      <c r="O157" s="25">
        <v>0</v>
      </c>
      <c r="P157" s="25">
        <f t="shared" si="27"/>
        <v>0</v>
      </c>
      <c r="Q157" s="25">
        <v>92.155969213741912</v>
      </c>
      <c r="R157" s="25">
        <f t="shared" si="28"/>
        <v>9.2155969213741917E-2</v>
      </c>
      <c r="S157" s="5">
        <v>0.52313959999999993</v>
      </c>
      <c r="T157" s="6">
        <v>9.9500000000000005E-2</v>
      </c>
      <c r="U157" s="6">
        <v>8.8020000000000008E-3</v>
      </c>
      <c r="V157" s="6">
        <v>0.98094079999999995</v>
      </c>
      <c r="W157" s="6">
        <v>2.2365843999999999</v>
      </c>
      <c r="X157" s="6">
        <v>1.0645</v>
      </c>
      <c r="Y157" s="6">
        <v>0.126162</v>
      </c>
      <c r="Z157" s="6">
        <v>0.99948799999999993</v>
      </c>
      <c r="AA157" s="6" t="s">
        <v>88</v>
      </c>
      <c r="AB157" s="21" t="s">
        <v>89</v>
      </c>
      <c r="AC157" s="21">
        <v>3.9686004420111036</v>
      </c>
      <c r="AD157" s="21">
        <v>1.5505976838765516</v>
      </c>
      <c r="AE157" s="21">
        <v>7.7738637729895634</v>
      </c>
      <c r="AF157" s="21">
        <v>-1.284155021217253E-2</v>
      </c>
      <c r="AG157" s="6">
        <v>16.570469500000002</v>
      </c>
      <c r="AH157" s="6">
        <v>0.36743376522915944</v>
      </c>
      <c r="AI157" s="6">
        <v>2</v>
      </c>
      <c r="AJ157" s="6">
        <v>16.390524499999998</v>
      </c>
      <c r="AK157" s="6">
        <v>1.5294843066187376</v>
      </c>
      <c r="AL157" s="6">
        <v>2</v>
      </c>
      <c r="AM157" s="21">
        <f>211.935128605234+AM159</f>
        <v>191.51213017149908</v>
      </c>
      <c r="AN157" s="21">
        <v>0.17</v>
      </c>
      <c r="AO157" s="21">
        <v>1.645</v>
      </c>
      <c r="AP157" s="21">
        <v>9.6764705882352935</v>
      </c>
      <c r="AQ157" s="21">
        <v>0.15</v>
      </c>
      <c r="AR157" s="21">
        <v>1.5350000000000001</v>
      </c>
      <c r="AS157" s="21">
        <v>10.233333333333334</v>
      </c>
      <c r="AT157" s="6" t="s">
        <v>87</v>
      </c>
      <c r="AU157" s="6">
        <v>4.5647343970915291</v>
      </c>
      <c r="AV157" s="6">
        <v>4.4776119402984618</v>
      </c>
      <c r="AW157" s="6" t="s">
        <v>74</v>
      </c>
      <c r="AX157" s="6">
        <v>1.0508790419893399</v>
      </c>
      <c r="AY157" s="6">
        <v>1.4344040349260196</v>
      </c>
      <c r="AZ157" s="6">
        <v>1.3957923870113942</v>
      </c>
      <c r="BA157" s="6">
        <v>6.1101844342544878</v>
      </c>
      <c r="BB157" s="6">
        <v>2.9777119584353362</v>
      </c>
      <c r="BC157" s="6">
        <v>6.2246663934054078</v>
      </c>
      <c r="BD157" s="6">
        <v>3.7351005376175523</v>
      </c>
      <c r="BE157" s="21">
        <v>39.522691071522942</v>
      </c>
      <c r="BF157" s="21">
        <v>199.90223213224823</v>
      </c>
      <c r="BG157" s="21">
        <v>31.731707525912974</v>
      </c>
      <c r="BH157" s="21">
        <v>193.76893924180416</v>
      </c>
      <c r="BI157" s="21" t="s">
        <v>74</v>
      </c>
      <c r="BJ157" s="21" t="s">
        <v>74</v>
      </c>
      <c r="BK157" s="21" t="s">
        <v>74</v>
      </c>
      <c r="BL157" s="21" t="s">
        <v>74</v>
      </c>
      <c r="BM157" s="6">
        <v>1.4093000000000018</v>
      </c>
      <c r="BN157" s="6">
        <v>1.5180199999999999</v>
      </c>
      <c r="BO157" s="6" t="s">
        <v>74</v>
      </c>
      <c r="BP157" s="6" t="s">
        <v>74</v>
      </c>
      <c r="BQ157" s="6">
        <v>0.67495219893066383</v>
      </c>
      <c r="BR157" s="6">
        <v>0.63360713451904971</v>
      </c>
      <c r="BS157" s="6" t="s">
        <v>74</v>
      </c>
      <c r="BT157" s="6" t="s">
        <v>74</v>
      </c>
    </row>
    <row r="158" spans="1:72" x14ac:dyDescent="0.15">
      <c r="A158" s="7" t="s">
        <v>72</v>
      </c>
      <c r="B158" s="13">
        <v>43692</v>
      </c>
      <c r="C158" s="5">
        <v>4</v>
      </c>
      <c r="D158" s="9">
        <f t="shared" si="29"/>
        <v>8</v>
      </c>
      <c r="E158" s="9">
        <f t="shared" si="30"/>
        <v>15</v>
      </c>
      <c r="F158" s="9">
        <f t="shared" si="31"/>
        <v>2019</v>
      </c>
      <c r="G158" s="19">
        <v>41.578139999999998</v>
      </c>
      <c r="H158" s="19">
        <v>-71.355639999999994</v>
      </c>
      <c r="I158" s="9">
        <v>15</v>
      </c>
      <c r="J158" s="9" t="s">
        <v>93</v>
      </c>
      <c r="K158" s="25">
        <v>30.8</v>
      </c>
      <c r="L158" s="25">
        <v>21</v>
      </c>
      <c r="M158" s="21">
        <v>767.08710161638498</v>
      </c>
      <c r="N158" s="21">
        <v>22.797655376923501</v>
      </c>
      <c r="O158" s="25">
        <v>0</v>
      </c>
      <c r="P158" s="25">
        <f t="shared" si="27"/>
        <v>0</v>
      </c>
      <c r="Q158" s="25">
        <v>74.736347705086075</v>
      </c>
      <c r="R158" s="25">
        <f t="shared" si="28"/>
        <v>7.4736347705086081E-2</v>
      </c>
      <c r="S158" s="5">
        <v>0.52313959999999993</v>
      </c>
      <c r="T158" s="6">
        <v>9.9500000000000005E-2</v>
      </c>
      <c r="U158" s="6">
        <v>8.8020000000000008E-3</v>
      </c>
      <c r="V158" s="6">
        <v>0.98094079999999995</v>
      </c>
      <c r="W158" s="6">
        <v>2.2365843999999999</v>
      </c>
      <c r="X158" s="6">
        <v>1.0645</v>
      </c>
      <c r="Y158" s="6">
        <v>0.126162</v>
      </c>
      <c r="Z158" s="6">
        <v>0.99948799999999993</v>
      </c>
      <c r="AA158" s="6" t="s">
        <v>88</v>
      </c>
      <c r="AB158" s="21" t="s">
        <v>89</v>
      </c>
      <c r="AC158" s="21">
        <v>2.0154842586688524</v>
      </c>
      <c r="AD158" s="21">
        <v>0.81602330035805648</v>
      </c>
      <c r="AE158" s="21">
        <v>8.1125418445696909</v>
      </c>
      <c r="AF158" s="21">
        <v>-7.2559717314905486E-3</v>
      </c>
      <c r="AG158" s="6">
        <v>16.570469500000002</v>
      </c>
      <c r="AH158" s="6">
        <v>0.36743376522915944</v>
      </c>
      <c r="AI158" s="6">
        <v>2</v>
      </c>
      <c r="AJ158" s="6">
        <v>16.390524499999998</v>
      </c>
      <c r="AK158" s="6">
        <v>1.5294843066187376</v>
      </c>
      <c r="AL158" s="6">
        <v>2</v>
      </c>
      <c r="AM158" s="21">
        <f>130.417738790625+AM159</f>
        <v>109.99474035689008</v>
      </c>
      <c r="AN158" s="21">
        <v>0.15</v>
      </c>
      <c r="AO158" s="21">
        <v>1.5549999999999999</v>
      </c>
      <c r="AP158" s="21">
        <v>10.366666666666667</v>
      </c>
      <c r="AQ158" s="21">
        <v>0.15</v>
      </c>
      <c r="AR158" s="21">
        <v>1.4950000000000001</v>
      </c>
      <c r="AS158" s="21">
        <v>9.9666666666666686</v>
      </c>
      <c r="AT158" s="6" t="s">
        <v>87</v>
      </c>
      <c r="AU158" s="6">
        <v>4.5791114575214076</v>
      </c>
      <c r="AV158" s="6">
        <v>4.3668993020937243</v>
      </c>
      <c r="AW158" s="6" t="s">
        <v>74</v>
      </c>
      <c r="AX158" s="6">
        <v>9.7220371505476653</v>
      </c>
      <c r="AY158" s="6">
        <v>1.4344040349260196</v>
      </c>
      <c r="AZ158" s="6">
        <v>1.3957923870113942</v>
      </c>
      <c r="BA158" s="6">
        <v>6.1101844342544878</v>
      </c>
      <c r="BB158" s="6">
        <v>2.9777119584353362</v>
      </c>
      <c r="BC158" s="6">
        <v>6.2246663934054078</v>
      </c>
      <c r="BD158" s="6">
        <v>3.7351005376175523</v>
      </c>
      <c r="BE158" s="21">
        <v>99.577564845407338</v>
      </c>
      <c r="BF158" s="21">
        <v>274.98537096215478</v>
      </c>
      <c r="BG158" s="21">
        <v>30.242756295337138</v>
      </c>
      <c r="BH158" s="21">
        <v>223.4344863915552</v>
      </c>
      <c r="BI158" s="21" t="s">
        <v>74</v>
      </c>
      <c r="BJ158" s="21" t="s">
        <v>74</v>
      </c>
      <c r="BK158" s="21" t="s">
        <v>74</v>
      </c>
      <c r="BL158" s="21" t="s">
        <v>74</v>
      </c>
      <c r="BM158" s="6">
        <v>0.87950000000000017</v>
      </c>
      <c r="BN158" s="6">
        <v>1.2933333333333346</v>
      </c>
      <c r="BO158" s="6" t="s">
        <v>74</v>
      </c>
      <c r="BP158" s="6" t="s">
        <v>74</v>
      </c>
      <c r="BQ158" s="6">
        <v>0.50473295861437273</v>
      </c>
      <c r="BR158" s="6">
        <v>0.55822610819007157</v>
      </c>
      <c r="BS158" s="6" t="s">
        <v>74</v>
      </c>
      <c r="BT158" s="6" t="s">
        <v>74</v>
      </c>
    </row>
    <row r="159" spans="1:72" x14ac:dyDescent="0.15">
      <c r="A159" s="7" t="s">
        <v>72</v>
      </c>
      <c r="B159" s="13">
        <v>43692</v>
      </c>
      <c r="C159" s="5" t="s">
        <v>106</v>
      </c>
      <c r="D159" s="9">
        <f t="shared" si="29"/>
        <v>8</v>
      </c>
      <c r="E159" s="9">
        <f t="shared" si="30"/>
        <v>15</v>
      </c>
      <c r="F159" s="9">
        <f t="shared" si="31"/>
        <v>2019</v>
      </c>
      <c r="G159" s="19">
        <v>41.578139999999998</v>
      </c>
      <c r="H159" s="19">
        <v>-71.355639999999994</v>
      </c>
      <c r="I159" s="9">
        <v>15</v>
      </c>
      <c r="J159" s="9" t="s">
        <v>93</v>
      </c>
      <c r="K159" s="25">
        <v>30.8</v>
      </c>
      <c r="L159" s="25">
        <v>21</v>
      </c>
      <c r="M159" s="21">
        <v>0</v>
      </c>
      <c r="N159" s="21">
        <v>18.718526377868301</v>
      </c>
      <c r="O159" s="25">
        <v>0</v>
      </c>
      <c r="P159" s="25">
        <f t="shared" si="27"/>
        <v>0</v>
      </c>
      <c r="Q159" s="25">
        <v>200.45691800613304</v>
      </c>
      <c r="R159" s="25">
        <f t="shared" si="28"/>
        <v>0.20045691800613305</v>
      </c>
      <c r="S159" s="5">
        <v>0.52313959999999993</v>
      </c>
      <c r="T159" s="6">
        <v>9.9500000000000005E-2</v>
      </c>
      <c r="U159" s="6">
        <v>8.8020000000000008E-3</v>
      </c>
      <c r="V159" s="6">
        <v>0.98094079999999995</v>
      </c>
      <c r="W159" s="6">
        <v>2.2365843999999999</v>
      </c>
      <c r="X159" s="6">
        <v>1.0645</v>
      </c>
      <c r="Y159" s="6">
        <v>0.126162</v>
      </c>
      <c r="Z159" s="6">
        <v>0.99948799999999993</v>
      </c>
      <c r="AA159" s="6" t="s">
        <v>88</v>
      </c>
      <c r="AB159" s="21" t="s">
        <v>89</v>
      </c>
      <c r="AC159" s="21">
        <v>-4.9526814344444761</v>
      </c>
      <c r="AD159" s="21">
        <v>-1.9054259390506333E-2</v>
      </c>
      <c r="AE159" s="21">
        <v>0.28482548547134495</v>
      </c>
      <c r="AF159" s="21">
        <v>-7.2700099220423028E-3</v>
      </c>
      <c r="AG159" s="6">
        <v>16.570469500000002</v>
      </c>
      <c r="AH159" s="6">
        <v>0.36743376522915944</v>
      </c>
      <c r="AI159" s="6">
        <v>2</v>
      </c>
      <c r="AJ159" s="6">
        <v>16.390524499999998</v>
      </c>
      <c r="AK159" s="6">
        <v>1.5294843066187376</v>
      </c>
      <c r="AL159" s="6">
        <v>2</v>
      </c>
      <c r="AM159" s="21">
        <v>-20.422998433734936</v>
      </c>
      <c r="AN159" s="21" t="s">
        <v>74</v>
      </c>
      <c r="AO159" s="21" t="s">
        <v>74</v>
      </c>
      <c r="AP159" s="21" t="s">
        <v>74</v>
      </c>
      <c r="AQ159" s="21" t="s">
        <v>74</v>
      </c>
      <c r="AR159" s="21" t="s">
        <v>74</v>
      </c>
      <c r="AS159" s="21" t="s">
        <v>74</v>
      </c>
      <c r="AT159" s="6" t="s">
        <v>74</v>
      </c>
      <c r="AU159" s="6" t="s">
        <v>74</v>
      </c>
      <c r="AV159" s="6" t="s">
        <v>74</v>
      </c>
      <c r="AW159" s="6" t="s">
        <v>74</v>
      </c>
      <c r="AX159" s="6" t="s">
        <v>74</v>
      </c>
      <c r="AY159" s="6">
        <v>1.4344040349260196</v>
      </c>
      <c r="AZ159" s="6">
        <v>1.3957923870113942</v>
      </c>
      <c r="BA159" s="6">
        <v>6.1101844342544878</v>
      </c>
      <c r="BB159" s="6">
        <v>2.9777119584353362</v>
      </c>
      <c r="BC159" s="6">
        <v>6.2246663934054078</v>
      </c>
      <c r="BD159" s="6">
        <v>3.7351005376175523</v>
      </c>
      <c r="BE159" s="21" t="s">
        <v>74</v>
      </c>
      <c r="BF159" s="21" t="s">
        <v>74</v>
      </c>
      <c r="BG159" s="21" t="s">
        <v>74</v>
      </c>
      <c r="BH159" s="21" t="s">
        <v>74</v>
      </c>
      <c r="BI159" s="21" t="s">
        <v>74</v>
      </c>
      <c r="BJ159" s="21" t="s">
        <v>74</v>
      </c>
      <c r="BK159" s="21" t="s">
        <v>74</v>
      </c>
      <c r="BL159" s="21" t="s">
        <v>74</v>
      </c>
      <c r="BM159" s="6" t="s">
        <v>74</v>
      </c>
      <c r="BN159" s="6" t="s">
        <v>74</v>
      </c>
      <c r="BO159" s="6" t="s">
        <v>74</v>
      </c>
      <c r="BP159" s="6" t="s">
        <v>74</v>
      </c>
      <c r="BQ159" s="6" t="s">
        <v>74</v>
      </c>
      <c r="BR159" s="6" t="s">
        <v>74</v>
      </c>
      <c r="BS159" s="6" t="s">
        <v>74</v>
      </c>
      <c r="BT159" s="6" t="s">
        <v>74</v>
      </c>
    </row>
    <row r="160" spans="1:72" x14ac:dyDescent="0.15">
      <c r="A160" s="7" t="s">
        <v>79</v>
      </c>
      <c r="B160" s="13">
        <v>43692</v>
      </c>
      <c r="C160" s="5">
        <v>75</v>
      </c>
      <c r="D160" s="9">
        <f t="shared" si="29"/>
        <v>8</v>
      </c>
      <c r="E160" s="9">
        <f t="shared" si="30"/>
        <v>15</v>
      </c>
      <c r="F160" s="9">
        <f t="shared" si="31"/>
        <v>2019</v>
      </c>
      <c r="G160" s="19">
        <v>41.778579999999998</v>
      </c>
      <c r="H160" s="19">
        <v>-71.379549999999995</v>
      </c>
      <c r="I160" s="12">
        <v>4.2</v>
      </c>
      <c r="J160" s="9" t="s">
        <v>93</v>
      </c>
      <c r="K160" s="25">
        <v>27.3</v>
      </c>
      <c r="L160" s="25">
        <v>21</v>
      </c>
      <c r="M160" s="25">
        <v>2358.6298287506102</v>
      </c>
      <c r="N160" s="25">
        <v>-78.794017489496795</v>
      </c>
      <c r="O160" s="25">
        <v>93.210675431712403</v>
      </c>
      <c r="P160" s="25">
        <f t="shared" ref="P160:P173" si="32">O160/1000</f>
        <v>9.3210675431712409E-2</v>
      </c>
      <c r="Q160" s="25">
        <v>-1541.7379188007721</v>
      </c>
      <c r="R160" s="25">
        <f t="shared" si="28"/>
        <v>-1.541737918800772</v>
      </c>
      <c r="S160" s="5">
        <v>2.0501809333333334</v>
      </c>
      <c r="T160" s="6">
        <v>2.7392823333333332</v>
      </c>
      <c r="U160" s="6">
        <v>0.24093899999999999</v>
      </c>
      <c r="V160" s="6">
        <v>3.5879436666666664</v>
      </c>
      <c r="W160" s="6">
        <v>2.5910742000000004</v>
      </c>
      <c r="X160" s="6">
        <v>0.28400000000000003</v>
      </c>
      <c r="Y160" s="6">
        <v>6.1124999999999999E-2</v>
      </c>
      <c r="Z160" s="6">
        <v>2.4765664000000003</v>
      </c>
      <c r="AA160" s="6" t="s">
        <v>88</v>
      </c>
      <c r="AB160" s="21" t="s">
        <v>89</v>
      </c>
      <c r="AC160" s="21">
        <v>141.0871072056737</v>
      </c>
      <c r="AD160" s="21">
        <v>6.32076817966903</v>
      </c>
      <c r="AE160" s="21">
        <v>26.159703215130023</v>
      </c>
      <c r="AF160" s="21">
        <v>1.84602269503546E-2</v>
      </c>
      <c r="AG160" s="6">
        <v>41.499753999999996</v>
      </c>
      <c r="AH160" s="6">
        <v>0.39321437905390977</v>
      </c>
      <c r="AI160" s="6">
        <v>2</v>
      </c>
      <c r="AJ160" s="6">
        <v>45.219251999999997</v>
      </c>
      <c r="AK160" s="6">
        <v>0.54121195989708681</v>
      </c>
      <c r="AL160" s="6">
        <v>2</v>
      </c>
      <c r="AM160" s="21">
        <f>359.825414696649+AM163</f>
        <v>287.87451801418433</v>
      </c>
      <c r="AN160" s="21" t="s">
        <v>74</v>
      </c>
      <c r="AO160" s="21" t="s">
        <v>74</v>
      </c>
      <c r="AP160" s="21" t="s">
        <v>74</v>
      </c>
      <c r="AQ160" s="21" t="s">
        <v>74</v>
      </c>
      <c r="AR160" s="21" t="s">
        <v>74</v>
      </c>
      <c r="AS160" s="21" t="s">
        <v>74</v>
      </c>
      <c r="AT160" s="6" t="s">
        <v>74</v>
      </c>
      <c r="AU160" s="6" t="s">
        <v>74</v>
      </c>
      <c r="AV160" s="6" t="s">
        <v>74</v>
      </c>
      <c r="AW160" s="6">
        <v>0.54001661589587191</v>
      </c>
      <c r="AX160" s="6" t="s">
        <v>74</v>
      </c>
      <c r="AY160" s="6">
        <v>11.562927382505114</v>
      </c>
      <c r="AZ160" s="6">
        <v>5.9132748940022051</v>
      </c>
      <c r="BA160" s="6">
        <v>11.959477379770828</v>
      </c>
      <c r="BB160" s="6">
        <v>4.8254666837962734</v>
      </c>
      <c r="BC160" s="6">
        <v>18.390423816780363</v>
      </c>
      <c r="BD160" s="6">
        <v>10.907881236372745</v>
      </c>
      <c r="BE160" s="21" t="s">
        <v>74</v>
      </c>
      <c r="BF160" s="21" t="s">
        <v>74</v>
      </c>
      <c r="BG160" s="21" t="s">
        <v>74</v>
      </c>
      <c r="BH160" s="21" t="s">
        <v>74</v>
      </c>
      <c r="BI160" s="21" t="s">
        <v>74</v>
      </c>
      <c r="BJ160" s="21" t="s">
        <v>74</v>
      </c>
      <c r="BK160" s="21" t="s">
        <v>74</v>
      </c>
      <c r="BL160" s="21" t="s">
        <v>74</v>
      </c>
      <c r="BM160" s="6" t="s">
        <v>74</v>
      </c>
      <c r="BN160" s="6" t="s">
        <v>74</v>
      </c>
      <c r="BO160" s="6" t="s">
        <v>74</v>
      </c>
      <c r="BP160" s="6" t="s">
        <v>74</v>
      </c>
      <c r="BQ160" s="6" t="s">
        <v>74</v>
      </c>
      <c r="BR160" s="6" t="s">
        <v>74</v>
      </c>
      <c r="BS160" s="6" t="s">
        <v>74</v>
      </c>
      <c r="BT160" s="6" t="s">
        <v>74</v>
      </c>
    </row>
    <row r="161" spans="1:72" x14ac:dyDescent="0.15">
      <c r="A161" s="7" t="s">
        <v>79</v>
      </c>
      <c r="B161" s="13">
        <v>43692</v>
      </c>
      <c r="C161" s="5">
        <v>34</v>
      </c>
      <c r="D161" s="9">
        <f t="shared" si="29"/>
        <v>8</v>
      </c>
      <c r="E161" s="9">
        <f t="shared" si="30"/>
        <v>15</v>
      </c>
      <c r="F161" s="9">
        <f t="shared" si="31"/>
        <v>2019</v>
      </c>
      <c r="G161" s="19">
        <v>41.778579999999998</v>
      </c>
      <c r="H161" s="19">
        <v>-71.379549999999995</v>
      </c>
      <c r="I161" s="12">
        <v>4.2</v>
      </c>
      <c r="J161" s="9" t="s">
        <v>93</v>
      </c>
      <c r="K161" s="25">
        <v>27.3</v>
      </c>
      <c r="L161" s="25">
        <v>21</v>
      </c>
      <c r="M161" s="25">
        <v>1745.99437609131</v>
      </c>
      <c r="N161" s="25">
        <v>-49.3481763241669</v>
      </c>
      <c r="O161" s="25">
        <v>49.010141584459966</v>
      </c>
      <c r="P161" s="25">
        <f t="shared" si="32"/>
        <v>4.9010141584459967E-2</v>
      </c>
      <c r="Q161" s="25">
        <v>0</v>
      </c>
      <c r="R161" s="25">
        <f t="shared" si="28"/>
        <v>0</v>
      </c>
      <c r="S161" s="5">
        <v>2.0501809333333334</v>
      </c>
      <c r="T161" s="6">
        <v>2.7392823333333332</v>
      </c>
      <c r="U161" s="6">
        <v>0.24093899999999999</v>
      </c>
      <c r="V161" s="6">
        <v>3.5879436666666664</v>
      </c>
      <c r="W161" s="6">
        <v>2.5910742000000004</v>
      </c>
      <c r="X161" s="6">
        <v>0.28400000000000003</v>
      </c>
      <c r="Y161" s="6">
        <v>6.1124999999999999E-2</v>
      </c>
      <c r="Z161" s="6">
        <v>2.4765664000000003</v>
      </c>
      <c r="AA161" s="6" t="s">
        <v>88</v>
      </c>
      <c r="AB161" s="21" t="s">
        <v>89</v>
      </c>
      <c r="AC161" s="21">
        <v>-46.289688585365873</v>
      </c>
      <c r="AD161" s="21">
        <v>-1.4345483536585355</v>
      </c>
      <c r="AE161" s="21">
        <v>-0.86800031707317127</v>
      </c>
      <c r="AF161" s="21">
        <v>3.3977073170730946E-3</v>
      </c>
      <c r="AG161" s="6">
        <v>41.499753999999996</v>
      </c>
      <c r="AH161" s="6">
        <v>0.39321437905390977</v>
      </c>
      <c r="AI161" s="6">
        <v>2</v>
      </c>
      <c r="AJ161" s="6">
        <v>45.219251999999997</v>
      </c>
      <c r="AK161" s="6">
        <v>0.54121195989708681</v>
      </c>
      <c r="AL161" s="6">
        <v>2</v>
      </c>
      <c r="AM161" s="21">
        <f>156.804022314995+AM163</f>
        <v>84.853125632530364</v>
      </c>
      <c r="AN161" s="21">
        <v>0.21000000000000002</v>
      </c>
      <c r="AO161" s="21">
        <v>2.585</v>
      </c>
      <c r="AP161" s="21">
        <v>12.309523809523808</v>
      </c>
      <c r="AQ161" s="21">
        <v>0.22500000000000001</v>
      </c>
      <c r="AR161" s="21">
        <v>3.2750000000000004</v>
      </c>
      <c r="AS161" s="21">
        <v>14.555555555555557</v>
      </c>
      <c r="AT161" s="6" t="s">
        <v>87</v>
      </c>
      <c r="AU161" s="6">
        <v>16.642547033285133</v>
      </c>
      <c r="AV161" s="6">
        <v>6.9631363370391721</v>
      </c>
      <c r="AW161" s="6" t="s">
        <v>74</v>
      </c>
      <c r="AX161" s="6">
        <v>179.34706713215886</v>
      </c>
      <c r="AY161" s="6">
        <v>11.562927382505114</v>
      </c>
      <c r="AZ161" s="6">
        <v>5.9132748940022051</v>
      </c>
      <c r="BA161" s="6">
        <v>11.959477379770828</v>
      </c>
      <c r="BB161" s="6">
        <v>4.8254666837962734</v>
      </c>
      <c r="BC161" s="6">
        <v>18.390423816780363</v>
      </c>
      <c r="BD161" s="6">
        <v>10.907881236372745</v>
      </c>
      <c r="BE161" s="21" t="s">
        <v>74</v>
      </c>
      <c r="BF161" s="21" t="s">
        <v>74</v>
      </c>
      <c r="BG161" s="21" t="s">
        <v>74</v>
      </c>
      <c r="BH161" s="21" t="s">
        <v>74</v>
      </c>
      <c r="BI161" s="21" t="s">
        <v>74</v>
      </c>
      <c r="BJ161" s="21" t="s">
        <v>74</v>
      </c>
      <c r="BK161" s="21" t="s">
        <v>74</v>
      </c>
      <c r="BL161" s="21" t="s">
        <v>74</v>
      </c>
      <c r="BM161" s="6" t="s">
        <v>74</v>
      </c>
      <c r="BN161" s="6" t="s">
        <v>74</v>
      </c>
      <c r="BO161" s="6" t="s">
        <v>74</v>
      </c>
      <c r="BP161" s="6" t="s">
        <v>74</v>
      </c>
      <c r="BQ161" s="6" t="s">
        <v>74</v>
      </c>
      <c r="BR161" s="6" t="s">
        <v>74</v>
      </c>
      <c r="BS161" s="6" t="s">
        <v>74</v>
      </c>
      <c r="BT161" s="6" t="s">
        <v>74</v>
      </c>
    </row>
    <row r="162" spans="1:72" x14ac:dyDescent="0.15">
      <c r="A162" s="7" t="s">
        <v>79</v>
      </c>
      <c r="B162" s="13">
        <v>43692</v>
      </c>
      <c r="C162" s="5">
        <v>33</v>
      </c>
      <c r="D162" s="9">
        <f t="shared" si="29"/>
        <v>8</v>
      </c>
      <c r="E162" s="9">
        <f t="shared" si="30"/>
        <v>15</v>
      </c>
      <c r="F162" s="9">
        <f t="shared" si="31"/>
        <v>2019</v>
      </c>
      <c r="G162" s="19">
        <v>41.778579999999998</v>
      </c>
      <c r="H162" s="19">
        <v>-71.379549999999995</v>
      </c>
      <c r="I162" s="12">
        <v>4.2</v>
      </c>
      <c r="J162" s="9" t="s">
        <v>93</v>
      </c>
      <c r="K162" s="25">
        <v>27.3</v>
      </c>
      <c r="L162" s="25">
        <v>21</v>
      </c>
      <c r="M162" s="21">
        <v>2953.8839026159999</v>
      </c>
      <c r="N162" s="21">
        <v>0</v>
      </c>
      <c r="O162" s="25">
        <v>54.000049174537999</v>
      </c>
      <c r="P162" s="25">
        <f t="shared" si="32"/>
        <v>5.4000049174537997E-2</v>
      </c>
      <c r="Q162" s="25">
        <v>0</v>
      </c>
      <c r="R162" s="25">
        <f t="shared" si="28"/>
        <v>0</v>
      </c>
      <c r="S162" s="5">
        <v>2.0501809333333334</v>
      </c>
      <c r="T162" s="6">
        <v>2.7392823333333332</v>
      </c>
      <c r="U162" s="6">
        <v>0.24093899999999999</v>
      </c>
      <c r="V162" s="6">
        <v>3.5879436666666664</v>
      </c>
      <c r="W162" s="6">
        <v>2.5910742000000004</v>
      </c>
      <c r="X162" s="6">
        <v>0.28400000000000003</v>
      </c>
      <c r="Y162" s="6">
        <v>6.1124999999999999E-2</v>
      </c>
      <c r="Z162" s="6">
        <v>2.4765664000000003</v>
      </c>
      <c r="AA162" s="6" t="s">
        <v>88</v>
      </c>
      <c r="AB162" s="21" t="s">
        <v>89</v>
      </c>
      <c r="AC162" s="21">
        <v>124.98352054929573</v>
      </c>
      <c r="AD162" s="21">
        <v>4.3277253521126759</v>
      </c>
      <c r="AE162" s="21">
        <v>18.318455821596245</v>
      </c>
      <c r="AF162" s="21">
        <v>-1.3927389671361558E-2</v>
      </c>
      <c r="AG162" s="6">
        <v>41.499753999999996</v>
      </c>
      <c r="AH162" s="6">
        <v>0.39321437905390977</v>
      </c>
      <c r="AI162" s="6">
        <v>2</v>
      </c>
      <c r="AJ162" s="6">
        <v>45.219251999999997</v>
      </c>
      <c r="AK162" s="6">
        <v>0.54121195989708681</v>
      </c>
      <c r="AL162" s="6">
        <v>2</v>
      </c>
      <c r="AM162" s="21">
        <f>230.577083795141+AM163</f>
        <v>158.62618711267635</v>
      </c>
      <c r="AN162" s="21" t="s">
        <v>74</v>
      </c>
      <c r="AO162" s="21" t="s">
        <v>74</v>
      </c>
      <c r="AP162" s="21" t="s">
        <v>74</v>
      </c>
      <c r="AQ162" s="21" t="s">
        <v>74</v>
      </c>
      <c r="AR162" s="21" t="s">
        <v>74</v>
      </c>
      <c r="AS162" s="21" t="s">
        <v>74</v>
      </c>
      <c r="AT162" s="6" t="s">
        <v>74</v>
      </c>
      <c r="AU162" s="6" t="s">
        <v>74</v>
      </c>
      <c r="AV162" s="6" t="s">
        <v>74</v>
      </c>
      <c r="AW162" s="6" t="s">
        <v>74</v>
      </c>
      <c r="AX162" s="6">
        <v>16.451685177479753</v>
      </c>
      <c r="AY162" s="6">
        <v>11.562927382505114</v>
      </c>
      <c r="AZ162" s="6">
        <v>5.9132748940022051</v>
      </c>
      <c r="BA162" s="6">
        <v>11.959477379770828</v>
      </c>
      <c r="BB162" s="6">
        <v>4.8254666837962734</v>
      </c>
      <c r="BC162" s="6">
        <v>18.390423816780363</v>
      </c>
      <c r="BD162" s="6">
        <v>10.907881236372745</v>
      </c>
      <c r="BE162" s="21" t="s">
        <v>74</v>
      </c>
      <c r="BF162" s="21" t="s">
        <v>74</v>
      </c>
      <c r="BG162" s="21" t="s">
        <v>74</v>
      </c>
      <c r="BH162" s="21" t="s">
        <v>74</v>
      </c>
      <c r="BI162" s="21" t="s">
        <v>74</v>
      </c>
      <c r="BJ162" s="21" t="s">
        <v>74</v>
      </c>
      <c r="BK162" s="21" t="s">
        <v>74</v>
      </c>
      <c r="BL162" s="21" t="s">
        <v>74</v>
      </c>
      <c r="BM162" s="6" t="s">
        <v>74</v>
      </c>
      <c r="BN162" s="6" t="s">
        <v>74</v>
      </c>
      <c r="BO162" s="6" t="s">
        <v>74</v>
      </c>
      <c r="BP162" s="6" t="s">
        <v>74</v>
      </c>
      <c r="BQ162" s="6" t="s">
        <v>74</v>
      </c>
      <c r="BR162" s="6" t="s">
        <v>74</v>
      </c>
      <c r="BS162" s="6" t="s">
        <v>74</v>
      </c>
      <c r="BT162" s="6" t="s">
        <v>74</v>
      </c>
    </row>
    <row r="163" spans="1:72" x14ac:dyDescent="0.15">
      <c r="A163" s="7" t="s">
        <v>79</v>
      </c>
      <c r="B163" s="13">
        <v>43692</v>
      </c>
      <c r="C163" s="5" t="s">
        <v>107</v>
      </c>
      <c r="D163" s="9">
        <f t="shared" si="29"/>
        <v>8</v>
      </c>
      <c r="E163" s="9">
        <f t="shared" si="30"/>
        <v>15</v>
      </c>
      <c r="F163" s="9">
        <f t="shared" si="31"/>
        <v>2019</v>
      </c>
      <c r="G163" s="19">
        <v>41.778579999999998</v>
      </c>
      <c r="H163" s="19">
        <v>-71.379549999999995</v>
      </c>
      <c r="I163" s="12">
        <v>4.2</v>
      </c>
      <c r="J163" s="9" t="s">
        <v>93</v>
      </c>
      <c r="K163" s="25">
        <v>27.3</v>
      </c>
      <c r="L163" s="25">
        <v>21</v>
      </c>
      <c r="M163" s="21">
        <v>0</v>
      </c>
      <c r="N163" s="21">
        <v>72.716587457123694</v>
      </c>
      <c r="O163" s="25">
        <v>0</v>
      </c>
      <c r="P163" s="25">
        <f t="shared" si="32"/>
        <v>0</v>
      </c>
      <c r="Q163" s="25">
        <v>-1842.1900437239883</v>
      </c>
      <c r="R163" s="25">
        <f t="shared" si="28"/>
        <v>-1.8421900437239882</v>
      </c>
      <c r="S163" s="5">
        <v>2.0501809333333334</v>
      </c>
      <c r="T163" s="6">
        <v>2.7392823333333332</v>
      </c>
      <c r="U163" s="6">
        <v>0.24093899999999999</v>
      </c>
      <c r="V163" s="6">
        <v>3.5879436666666664</v>
      </c>
      <c r="W163" s="6">
        <v>2.5910742000000004</v>
      </c>
      <c r="X163" s="6">
        <v>0.28400000000000003</v>
      </c>
      <c r="Y163" s="6">
        <v>6.1124999999999999E-2</v>
      </c>
      <c r="Z163" s="6">
        <v>2.4765664000000003</v>
      </c>
      <c r="AA163" s="6" t="s">
        <v>88</v>
      </c>
      <c r="AB163" s="21" t="s">
        <v>89</v>
      </c>
      <c r="AC163" s="21">
        <v>5.2921622274881512</v>
      </c>
      <c r="AD163" s="21">
        <v>2.0721592417061614</v>
      </c>
      <c r="AE163" s="21">
        <v>14.33940691943128</v>
      </c>
      <c r="AF163" s="21">
        <v>-0.13552890995260664</v>
      </c>
      <c r="AG163" s="6">
        <v>41.499753999999996</v>
      </c>
      <c r="AH163" s="6">
        <v>0.39321437905390977</v>
      </c>
      <c r="AI163" s="6">
        <v>2</v>
      </c>
      <c r="AJ163" s="6">
        <v>45.219251999999997</v>
      </c>
      <c r="AK163" s="6">
        <v>0.54121195989708681</v>
      </c>
      <c r="AL163" s="6">
        <v>2</v>
      </c>
      <c r="AM163" s="21">
        <v>-71.950896682464631</v>
      </c>
      <c r="AN163" s="21" t="s">
        <v>74</v>
      </c>
      <c r="AO163" s="21" t="s">
        <v>74</v>
      </c>
      <c r="AP163" s="21" t="s">
        <v>74</v>
      </c>
      <c r="AQ163" s="21" t="s">
        <v>74</v>
      </c>
      <c r="AR163" s="21" t="s">
        <v>74</v>
      </c>
      <c r="AS163" s="21" t="s">
        <v>74</v>
      </c>
      <c r="AT163" s="6" t="s">
        <v>74</v>
      </c>
      <c r="AU163" s="6" t="s">
        <v>74</v>
      </c>
      <c r="AV163" s="6" t="s">
        <v>74</v>
      </c>
      <c r="AW163" s="6" t="s">
        <v>74</v>
      </c>
      <c r="AX163" s="6" t="s">
        <v>74</v>
      </c>
      <c r="AY163" s="6">
        <v>11.562927382505114</v>
      </c>
      <c r="AZ163" s="6">
        <v>5.9132748940022051</v>
      </c>
      <c r="BA163" s="6">
        <v>11.959477379770828</v>
      </c>
      <c r="BB163" s="6">
        <v>4.8254666837962734</v>
      </c>
      <c r="BC163" s="6">
        <v>18.390423816780363</v>
      </c>
      <c r="BD163" s="6">
        <v>10.907881236372745</v>
      </c>
      <c r="BE163" s="21" t="s">
        <v>74</v>
      </c>
      <c r="BF163" s="21" t="s">
        <v>74</v>
      </c>
      <c r="BG163" s="21" t="s">
        <v>74</v>
      </c>
      <c r="BH163" s="21" t="s">
        <v>74</v>
      </c>
      <c r="BI163" s="21" t="s">
        <v>74</v>
      </c>
      <c r="BJ163" s="21" t="s">
        <v>74</v>
      </c>
      <c r="BK163" s="21" t="s">
        <v>74</v>
      </c>
      <c r="BL163" s="21" t="s">
        <v>74</v>
      </c>
      <c r="BM163" s="6" t="s">
        <v>74</v>
      </c>
      <c r="BN163" s="6" t="s">
        <v>74</v>
      </c>
      <c r="BO163" s="6" t="s">
        <v>74</v>
      </c>
      <c r="BP163" s="6" t="s">
        <v>74</v>
      </c>
      <c r="BQ163" s="6" t="s">
        <v>74</v>
      </c>
      <c r="BR163" s="6" t="s">
        <v>74</v>
      </c>
      <c r="BS163" s="6" t="s">
        <v>74</v>
      </c>
      <c r="BT163" s="6" t="s">
        <v>74</v>
      </c>
    </row>
    <row r="164" spans="1:72" ht="15" x14ac:dyDescent="0.2">
      <c r="A164" s="7" t="s">
        <v>72</v>
      </c>
      <c r="B164" s="13">
        <v>43726</v>
      </c>
      <c r="C164" s="5">
        <v>21</v>
      </c>
      <c r="D164" s="9">
        <f t="shared" si="29"/>
        <v>9</v>
      </c>
      <c r="E164" s="9">
        <f t="shared" si="30"/>
        <v>18</v>
      </c>
      <c r="F164" s="9">
        <f t="shared" si="31"/>
        <v>2019</v>
      </c>
      <c r="G164" s="19">
        <v>41.578809999999997</v>
      </c>
      <c r="H164" s="19">
        <v>-71.355500000000006</v>
      </c>
      <c r="I164" s="12">
        <v>9.6</v>
      </c>
      <c r="J164" s="9" t="s">
        <v>93</v>
      </c>
      <c r="K164" s="25">
        <v>30.9</v>
      </c>
      <c r="L164" s="25">
        <v>19</v>
      </c>
      <c r="M164" s="21">
        <v>613.42624085767295</v>
      </c>
      <c r="N164" s="21">
        <v>35.2914328689792</v>
      </c>
      <c r="O164" s="25">
        <v>0</v>
      </c>
      <c r="P164" s="25">
        <f t="shared" si="32"/>
        <v>0</v>
      </c>
      <c r="Q164" s="25">
        <v>73.451824442808785</v>
      </c>
      <c r="R164" s="25">
        <f t="shared" si="28"/>
        <v>7.3451824442808789E-2</v>
      </c>
      <c r="S164" s="5">
        <v>0.37400299999999997</v>
      </c>
      <c r="T164" t="s">
        <v>74</v>
      </c>
      <c r="U164" t="s">
        <v>74</v>
      </c>
      <c r="V164" s="6">
        <v>0.72591680000000003</v>
      </c>
      <c r="W164" s="6">
        <v>0.46460000000000001</v>
      </c>
      <c r="X164" s="6">
        <v>0.43800000000000006</v>
      </c>
      <c r="Y164" s="6">
        <v>8.7041999999999994E-2</v>
      </c>
      <c r="Z164" s="6">
        <v>0.96909120000000004</v>
      </c>
      <c r="AA164" s="6" t="s">
        <v>88</v>
      </c>
      <c r="AB164" s="21" t="s">
        <v>89</v>
      </c>
      <c r="AC164" s="21">
        <v>3.5995788046076957</v>
      </c>
      <c r="AD164" s="21">
        <v>0.33533609828203687</v>
      </c>
      <c r="AE164" s="21">
        <v>1.8134047069219263</v>
      </c>
      <c r="AF164" s="21">
        <v>2.9773447009978925E-2</v>
      </c>
      <c r="AG164" s="6">
        <v>9.8124050000000018</v>
      </c>
      <c r="AH164" s="6">
        <v>1.7557673169829431</v>
      </c>
      <c r="AI164" s="6">
        <v>2</v>
      </c>
      <c r="AJ164" s="6">
        <v>6.2512399999999992</v>
      </c>
      <c r="AK164" s="6">
        <v>3.2492113564668785</v>
      </c>
      <c r="AL164" s="6">
        <v>2</v>
      </c>
      <c r="AM164" s="21">
        <f>164.133185173903+AM168</f>
        <v>165.70727383658956</v>
      </c>
      <c r="AN164" s="21">
        <v>0.16</v>
      </c>
      <c r="AO164" s="21">
        <v>1.5699999999999998</v>
      </c>
      <c r="AP164" s="21">
        <v>9.8124999999999982</v>
      </c>
      <c r="AQ164" s="21">
        <v>0.16</v>
      </c>
      <c r="AR164" s="21">
        <v>1.64</v>
      </c>
      <c r="AS164" s="21">
        <v>10.25</v>
      </c>
      <c r="AT164" s="6" t="s">
        <v>87</v>
      </c>
      <c r="AU164" s="6">
        <v>3.7484885126964387</v>
      </c>
      <c r="AV164" s="6">
        <v>4.3582759173208903</v>
      </c>
      <c r="AW164" s="6">
        <v>7.2891199792018702</v>
      </c>
      <c r="AX164" s="6">
        <v>1.4350708436240736</v>
      </c>
      <c r="AY164" s="6">
        <v>10.563586042801177</v>
      </c>
      <c r="AZ164" s="6">
        <v>8.8393412967536982</v>
      </c>
      <c r="BA164" s="6">
        <v>8.3585768616953899</v>
      </c>
      <c r="BB164" s="6">
        <v>3.6478416993913192</v>
      </c>
      <c r="BC164" s="6">
        <v>36.768205616373258</v>
      </c>
      <c r="BD164" s="6">
        <v>1.6856502017392287</v>
      </c>
      <c r="BE164" s="21">
        <v>59.20215726290683</v>
      </c>
      <c r="BF164" s="21">
        <v>246.2546142569029</v>
      </c>
      <c r="BG164" s="21" t="s">
        <v>74</v>
      </c>
      <c r="BH164" s="21" t="s">
        <v>74</v>
      </c>
      <c r="BI164" s="21" t="s">
        <v>74</v>
      </c>
      <c r="BJ164" s="21" t="s">
        <v>74</v>
      </c>
      <c r="BK164" s="21" t="s">
        <v>74</v>
      </c>
      <c r="BL164" s="21" t="s">
        <v>74</v>
      </c>
      <c r="BM164" s="6">
        <v>1.7010000000000005</v>
      </c>
      <c r="BN164" s="6">
        <v>1.4676666666666602</v>
      </c>
      <c r="BO164" s="6" t="s">
        <v>74</v>
      </c>
      <c r="BP164" s="6" t="s">
        <v>74</v>
      </c>
      <c r="BQ164" s="6">
        <v>0.74274640987786877</v>
      </c>
      <c r="BR164" s="6">
        <v>0.54817177376088233</v>
      </c>
      <c r="BS164" s="6" t="s">
        <v>74</v>
      </c>
      <c r="BT164" s="6" t="s">
        <v>74</v>
      </c>
    </row>
    <row r="165" spans="1:72" ht="15" x14ac:dyDescent="0.2">
      <c r="A165" s="7" t="s">
        <v>72</v>
      </c>
      <c r="B165" s="13">
        <v>43726</v>
      </c>
      <c r="C165" s="5">
        <v>50</v>
      </c>
      <c r="D165" s="9">
        <f t="shared" si="29"/>
        <v>9</v>
      </c>
      <c r="E165" s="9">
        <f t="shared" si="30"/>
        <v>18</v>
      </c>
      <c r="F165" s="9">
        <f t="shared" si="31"/>
        <v>2019</v>
      </c>
      <c r="G165" s="19">
        <v>41.578809999999997</v>
      </c>
      <c r="H165" s="19">
        <v>-71.355500000000006</v>
      </c>
      <c r="I165" s="12">
        <v>9.6</v>
      </c>
      <c r="J165" s="9" t="s">
        <v>93</v>
      </c>
      <c r="K165" s="25">
        <v>30.9</v>
      </c>
      <c r="L165" s="25">
        <v>19</v>
      </c>
      <c r="M165" s="21">
        <v>692.77795894629401</v>
      </c>
      <c r="N165" s="21">
        <v>22.6986511986835</v>
      </c>
      <c r="O165" s="25">
        <v>-5.4581889059173285</v>
      </c>
      <c r="P165" s="25">
        <f t="shared" si="32"/>
        <v>-5.4581889059173282E-3</v>
      </c>
      <c r="Q165" s="25">
        <v>100.1473757839307</v>
      </c>
      <c r="R165" s="25">
        <f t="shared" si="28"/>
        <v>0.10014737578393069</v>
      </c>
      <c r="S165" s="5">
        <v>0.37400299999999997</v>
      </c>
      <c r="T165" t="s">
        <v>74</v>
      </c>
      <c r="U165" t="s">
        <v>74</v>
      </c>
      <c r="V165" s="6">
        <v>0.72591680000000003</v>
      </c>
      <c r="W165" s="6">
        <v>0.46460000000000001</v>
      </c>
      <c r="X165" s="6">
        <v>0.43800000000000006</v>
      </c>
      <c r="Y165" s="6">
        <v>8.7041999999999994E-2</v>
      </c>
      <c r="Z165" s="6">
        <v>0.96909120000000004</v>
      </c>
      <c r="AA165" s="6" t="s">
        <v>88</v>
      </c>
      <c r="AB165" s="21" t="s">
        <v>89</v>
      </c>
      <c r="AC165" s="21">
        <v>2.7848378028146175</v>
      </c>
      <c r="AD165" s="21">
        <v>0.40858521126727065</v>
      </c>
      <c r="AE165" s="21">
        <v>2.3583161502328083</v>
      </c>
      <c r="AF165" s="21">
        <v>-1.0890140845061479E-3</v>
      </c>
      <c r="AG165" s="6">
        <v>9.8124050000000018</v>
      </c>
      <c r="AH165" s="6">
        <v>1.7557673169829431</v>
      </c>
      <c r="AI165" s="6">
        <v>2</v>
      </c>
      <c r="AJ165" s="6">
        <v>6.2512399999999992</v>
      </c>
      <c r="AK165" s="6">
        <v>3.2492113564668785</v>
      </c>
      <c r="AL165" s="6">
        <v>2</v>
      </c>
      <c r="AM165" s="21">
        <f>155.870946830271+AM168</f>
        <v>157.44503549295757</v>
      </c>
      <c r="AN165" s="21">
        <v>0.15</v>
      </c>
      <c r="AO165" s="21">
        <v>1.63</v>
      </c>
      <c r="AP165" s="21">
        <v>10.866666666666667</v>
      </c>
      <c r="AQ165" s="21">
        <v>0.16500000000000001</v>
      </c>
      <c r="AR165" s="21">
        <v>1.6600000000000001</v>
      </c>
      <c r="AS165" s="21">
        <v>10.060606060606061</v>
      </c>
      <c r="AT165" s="6" t="s">
        <v>87</v>
      </c>
      <c r="AU165" s="6">
        <v>4.4767210505371979</v>
      </c>
      <c r="AV165" s="6">
        <v>4.4320223597524881</v>
      </c>
      <c r="AW165" s="6">
        <v>17.881142990708813</v>
      </c>
      <c r="AX165" s="6">
        <v>12.458364985683398</v>
      </c>
      <c r="AY165" s="6">
        <v>10.563586042801177</v>
      </c>
      <c r="AZ165" s="6">
        <v>8.8393412967536982</v>
      </c>
      <c r="BA165" s="6">
        <v>8.3585768616953899</v>
      </c>
      <c r="BB165" s="6">
        <v>3.6478416993913192</v>
      </c>
      <c r="BC165" s="6">
        <v>36.768205616373258</v>
      </c>
      <c r="BD165" s="6">
        <v>1.6856502017392287</v>
      </c>
      <c r="BE165" s="21">
        <v>44.472051800634141</v>
      </c>
      <c r="BF165" s="21">
        <v>253.99862100564798</v>
      </c>
      <c r="BG165" s="21" t="s">
        <v>74</v>
      </c>
      <c r="BH165" s="21" t="s">
        <v>74</v>
      </c>
      <c r="BI165" s="21" t="s">
        <v>74</v>
      </c>
      <c r="BJ165" s="21" t="s">
        <v>74</v>
      </c>
      <c r="BK165" s="21" t="s">
        <v>74</v>
      </c>
      <c r="BL165" s="21" t="s">
        <v>74</v>
      </c>
      <c r="BM165" s="6">
        <v>1.1407777777777752</v>
      </c>
      <c r="BN165" s="6">
        <v>1.4089999999999989</v>
      </c>
      <c r="BO165" s="6" t="s">
        <v>74</v>
      </c>
      <c r="BP165" s="6" t="s">
        <v>74</v>
      </c>
      <c r="BQ165" s="6">
        <v>0.56677895748073737</v>
      </c>
      <c r="BR165" s="6">
        <v>0.60998084481945336</v>
      </c>
      <c r="BS165" s="6" t="s">
        <v>74</v>
      </c>
      <c r="BT165" s="6" t="s">
        <v>74</v>
      </c>
    </row>
    <row r="166" spans="1:72" ht="15" x14ac:dyDescent="0.2">
      <c r="A166" s="7" t="s">
        <v>72</v>
      </c>
      <c r="B166" s="13">
        <v>43726</v>
      </c>
      <c r="C166" s="5">
        <v>33</v>
      </c>
      <c r="D166" s="9">
        <f t="shared" si="29"/>
        <v>9</v>
      </c>
      <c r="E166" s="9">
        <f t="shared" si="30"/>
        <v>18</v>
      </c>
      <c r="F166" s="9">
        <f t="shared" si="31"/>
        <v>2019</v>
      </c>
      <c r="G166" s="19">
        <v>41.578809999999997</v>
      </c>
      <c r="H166" s="19">
        <v>-71.355500000000006</v>
      </c>
      <c r="I166" s="12">
        <v>9.6</v>
      </c>
      <c r="J166" s="9" t="s">
        <v>93</v>
      </c>
      <c r="K166" s="25">
        <v>30.9</v>
      </c>
      <c r="L166" s="25">
        <v>19</v>
      </c>
      <c r="M166" s="21">
        <v>721.01954218857202</v>
      </c>
      <c r="N166" s="21">
        <v>20.9035320781433</v>
      </c>
      <c r="O166" s="25">
        <v>0</v>
      </c>
      <c r="P166" s="25">
        <f t="shared" si="32"/>
        <v>0</v>
      </c>
      <c r="Q166" s="25">
        <v>254.92784653477622</v>
      </c>
      <c r="R166" s="25">
        <f t="shared" si="28"/>
        <v>0.25492784653477624</v>
      </c>
      <c r="S166" s="5">
        <v>0.37400299999999997</v>
      </c>
      <c r="T166" t="s">
        <v>74</v>
      </c>
      <c r="U166" t="s">
        <v>74</v>
      </c>
      <c r="V166" s="6">
        <v>0.72591680000000003</v>
      </c>
      <c r="W166" s="6">
        <v>0.46460000000000001</v>
      </c>
      <c r="X166" s="6">
        <v>0.43800000000000006</v>
      </c>
      <c r="Y166" s="6">
        <v>8.7041999999999994E-2</v>
      </c>
      <c r="Z166" s="6">
        <v>0.96909120000000004</v>
      </c>
      <c r="AA166" s="6" t="s">
        <v>88</v>
      </c>
      <c r="AB166" s="21" t="s">
        <v>89</v>
      </c>
      <c r="AC166" s="21">
        <v>0.43317634854813669</v>
      </c>
      <c r="AD166" s="21">
        <v>0.30542894190900882</v>
      </c>
      <c r="AE166" s="21">
        <v>1.9443169087155716</v>
      </c>
      <c r="AF166" s="21">
        <v>-1.0167274451699217E-2</v>
      </c>
      <c r="AG166" s="6">
        <v>9.8124050000000018</v>
      </c>
      <c r="AH166" s="6">
        <v>1.7557673169829431</v>
      </c>
      <c r="AI166" s="6">
        <v>2</v>
      </c>
      <c r="AJ166" s="6">
        <v>6.2512399999999992</v>
      </c>
      <c r="AK166" s="6">
        <v>3.2492113564668785</v>
      </c>
      <c r="AL166" s="6">
        <v>2</v>
      </c>
      <c r="AM166" s="21">
        <f>134.917581389089+AM168</f>
        <v>136.49167005177557</v>
      </c>
      <c r="AN166" s="21">
        <v>0.17499999999999999</v>
      </c>
      <c r="AO166" s="21">
        <v>1.8399999999999999</v>
      </c>
      <c r="AP166" s="21">
        <v>10.514285714285714</v>
      </c>
      <c r="AQ166" s="21">
        <v>0.17499999999999999</v>
      </c>
      <c r="AR166" s="21">
        <v>1.7749999999999999</v>
      </c>
      <c r="AS166" s="21">
        <v>10.142857142857142</v>
      </c>
      <c r="AT166" s="6" t="s">
        <v>87</v>
      </c>
      <c r="AU166" s="6">
        <v>4.9278620948098162</v>
      </c>
      <c r="AV166" s="6">
        <v>4.7449086710056143</v>
      </c>
      <c r="AW166" s="6">
        <v>10.983576723996478</v>
      </c>
      <c r="AX166" s="6">
        <v>8.1948716418800984</v>
      </c>
      <c r="AY166" s="6">
        <v>10.563586042801177</v>
      </c>
      <c r="AZ166" s="6">
        <v>8.8393412967536982</v>
      </c>
      <c r="BA166" s="6">
        <v>8.3585768616953899</v>
      </c>
      <c r="BB166" s="6">
        <v>3.6478416993913192</v>
      </c>
      <c r="BC166" s="6">
        <v>36.768205616373258</v>
      </c>
      <c r="BD166" s="6">
        <v>1.6856502017392287</v>
      </c>
      <c r="BE166" s="21">
        <v>-33.867726752459916</v>
      </c>
      <c r="BF166" s="21">
        <v>355.18376816372722</v>
      </c>
      <c r="BG166" s="21" t="s">
        <v>74</v>
      </c>
      <c r="BH166" s="21" t="s">
        <v>74</v>
      </c>
      <c r="BI166" s="21" t="s">
        <v>74</v>
      </c>
      <c r="BJ166" s="21" t="s">
        <v>74</v>
      </c>
      <c r="BK166" s="21" t="s">
        <v>74</v>
      </c>
      <c r="BL166" s="21" t="s">
        <v>74</v>
      </c>
      <c r="BM166" s="6">
        <v>1.5378181818181833</v>
      </c>
      <c r="BN166" s="6">
        <v>1.6233333333333335</v>
      </c>
      <c r="BO166" s="6" t="s">
        <v>74</v>
      </c>
      <c r="BP166" s="6" t="s">
        <v>74</v>
      </c>
      <c r="BQ166" s="6">
        <v>0.75282375273548208</v>
      </c>
      <c r="BR166" s="6">
        <v>0.82286387885972945</v>
      </c>
      <c r="BS166" s="6" t="s">
        <v>74</v>
      </c>
      <c r="BT166" s="6" t="s">
        <v>74</v>
      </c>
    </row>
    <row r="167" spans="1:72" ht="15" x14ac:dyDescent="0.2">
      <c r="A167" s="7" t="s">
        <v>72</v>
      </c>
      <c r="B167" s="13">
        <v>43726</v>
      </c>
      <c r="C167" s="5">
        <v>35</v>
      </c>
      <c r="D167" s="9">
        <f t="shared" si="29"/>
        <v>9</v>
      </c>
      <c r="E167" s="9">
        <f t="shared" si="30"/>
        <v>18</v>
      </c>
      <c r="F167" s="9">
        <f t="shared" si="31"/>
        <v>2019</v>
      </c>
      <c r="G167" s="19">
        <v>41.578809999999997</v>
      </c>
      <c r="H167" s="19">
        <v>-71.355500000000006</v>
      </c>
      <c r="I167" s="12">
        <v>9.6</v>
      </c>
      <c r="J167" s="9" t="s">
        <v>93</v>
      </c>
      <c r="K167" s="25">
        <v>30.9</v>
      </c>
      <c r="L167" s="25">
        <v>19</v>
      </c>
      <c r="M167" s="21">
        <v>691.50578119885699</v>
      </c>
      <c r="N167" s="21">
        <v>40.567629888109501</v>
      </c>
      <c r="O167" s="25">
        <v>10.075118354844555</v>
      </c>
      <c r="P167" s="25">
        <f t="shared" si="32"/>
        <v>1.0075118354844556E-2</v>
      </c>
      <c r="Q167" s="25">
        <v>39.752046941907317</v>
      </c>
      <c r="R167" s="25">
        <f t="shared" si="28"/>
        <v>3.9752046941907315E-2</v>
      </c>
      <c r="S167" s="5">
        <v>0.37400299999999997</v>
      </c>
      <c r="T167" t="s">
        <v>74</v>
      </c>
      <c r="U167" t="s">
        <v>74</v>
      </c>
      <c r="V167" s="6">
        <v>0.72591680000000003</v>
      </c>
      <c r="W167" s="6">
        <v>0.46460000000000001</v>
      </c>
      <c r="X167" s="6">
        <v>0.43800000000000006</v>
      </c>
      <c r="Y167" s="6">
        <v>8.7041999999999994E-2</v>
      </c>
      <c r="Z167" s="6">
        <v>0.96909120000000004</v>
      </c>
      <c r="AA167" s="6" t="s">
        <v>88</v>
      </c>
      <c r="AB167" s="21" t="s">
        <v>89</v>
      </c>
      <c r="AC167" s="21" t="s">
        <v>74</v>
      </c>
      <c r="AD167" s="21">
        <v>-4.8557156398057397E-2</v>
      </c>
      <c r="AE167" s="21">
        <v>-0.25414436018932807</v>
      </c>
      <c r="AF167" s="21">
        <v>-6.1788436018897714E-3</v>
      </c>
      <c r="AG167" s="6">
        <v>9.8124050000000018</v>
      </c>
      <c r="AH167" s="6">
        <v>1.7557673169829431</v>
      </c>
      <c r="AI167" s="6">
        <v>2</v>
      </c>
      <c r="AJ167" s="6">
        <v>6.2512399999999992</v>
      </c>
      <c r="AK167" s="6">
        <v>3.2492113564668785</v>
      </c>
      <c r="AL167" s="6">
        <v>2</v>
      </c>
      <c r="AM167" s="21">
        <f>103.599899811839+AM168</f>
        <v>105.17398847452557</v>
      </c>
      <c r="AN167" s="21">
        <v>0.15</v>
      </c>
      <c r="AO167" s="21">
        <v>1.5950000000000002</v>
      </c>
      <c r="AP167" s="21">
        <v>10.633333333333335</v>
      </c>
      <c r="AQ167" s="21">
        <v>0.17</v>
      </c>
      <c r="AR167" s="21">
        <v>1.7749999999999999</v>
      </c>
      <c r="AS167" s="21">
        <v>10.441176470588234</v>
      </c>
      <c r="AT167" s="6" t="s">
        <v>87</v>
      </c>
      <c r="AU167" s="6">
        <v>4.5069257804423835</v>
      </c>
      <c r="AV167" s="6">
        <v>4.5281506712081221</v>
      </c>
      <c r="AW167" s="6">
        <v>9.2133329525006378</v>
      </c>
      <c r="AX167" s="6">
        <v>2.195195795607094</v>
      </c>
      <c r="AY167" s="6">
        <v>10.563586042801177</v>
      </c>
      <c r="AZ167" s="6">
        <v>8.8393412967536982</v>
      </c>
      <c r="BA167" s="6">
        <v>8.3585768616953899</v>
      </c>
      <c r="BB167" s="6">
        <v>3.6478416993913192</v>
      </c>
      <c r="BC167" s="6">
        <v>36.768205616373258</v>
      </c>
      <c r="BD167" s="6">
        <v>1.6856502017392287</v>
      </c>
      <c r="BE167" s="21">
        <v>130.39406478474768</v>
      </c>
      <c r="BF167" s="21">
        <v>132.19047703645467</v>
      </c>
      <c r="BG167" s="21" t="s">
        <v>74</v>
      </c>
      <c r="BH167" s="21" t="s">
        <v>74</v>
      </c>
      <c r="BI167" s="21" t="s">
        <v>74</v>
      </c>
      <c r="BJ167" s="21" t="s">
        <v>74</v>
      </c>
      <c r="BK167" s="21" t="s">
        <v>74</v>
      </c>
      <c r="BL167" s="21" t="s">
        <v>74</v>
      </c>
      <c r="BM167" s="6">
        <v>1.1578888888888861</v>
      </c>
      <c r="BN167" s="6">
        <v>1.5206666666666668</v>
      </c>
      <c r="BO167" s="6" t="s">
        <v>74</v>
      </c>
      <c r="BP167" s="6" t="s">
        <v>74</v>
      </c>
      <c r="BQ167" s="6">
        <v>0.58814129756401856</v>
      </c>
      <c r="BR167" s="6">
        <v>0.63894237938012555</v>
      </c>
      <c r="BS167" s="6" t="s">
        <v>74</v>
      </c>
      <c r="BT167" s="6" t="s">
        <v>74</v>
      </c>
    </row>
    <row r="168" spans="1:72" ht="15" x14ac:dyDescent="0.2">
      <c r="A168" s="7" t="s">
        <v>72</v>
      </c>
      <c r="B168" s="13">
        <v>43726</v>
      </c>
      <c r="C168" s="5" t="s">
        <v>101</v>
      </c>
      <c r="D168" s="9">
        <f t="shared" si="29"/>
        <v>9</v>
      </c>
      <c r="E168" s="9">
        <f t="shared" si="30"/>
        <v>18</v>
      </c>
      <c r="F168" s="9">
        <f t="shared" si="31"/>
        <v>2019</v>
      </c>
      <c r="G168" s="19">
        <v>41.578809999999997</v>
      </c>
      <c r="H168" s="19">
        <v>-71.355500000000006</v>
      </c>
      <c r="I168" s="12">
        <v>9.6</v>
      </c>
      <c r="J168" s="9" t="s">
        <v>93</v>
      </c>
      <c r="K168" s="25">
        <v>30.9</v>
      </c>
      <c r="L168" s="25">
        <v>19</v>
      </c>
      <c r="M168" s="21">
        <v>0</v>
      </c>
      <c r="N168" s="21">
        <v>25.562078965444002</v>
      </c>
      <c r="O168" s="25">
        <v>0</v>
      </c>
      <c r="P168" s="25">
        <f t="shared" si="32"/>
        <v>0</v>
      </c>
      <c r="Q168" s="25">
        <v>0</v>
      </c>
      <c r="R168" s="25">
        <f t="shared" si="28"/>
        <v>0</v>
      </c>
      <c r="S168" s="5">
        <v>0.37400299999999997</v>
      </c>
      <c r="T168" t="s">
        <v>74</v>
      </c>
      <c r="U168" t="s">
        <v>74</v>
      </c>
      <c r="V168" s="6">
        <v>0.72591680000000003</v>
      </c>
      <c r="W168" s="6">
        <v>0.46460000000000001</v>
      </c>
      <c r="X168" s="6">
        <v>0.43800000000000006</v>
      </c>
      <c r="Y168" s="6">
        <v>8.7041999999999994E-2</v>
      </c>
      <c r="Z168" s="6">
        <v>0.96909120000000004</v>
      </c>
      <c r="AA168" s="6" t="s">
        <v>88</v>
      </c>
      <c r="AB168" s="21" t="s">
        <v>89</v>
      </c>
      <c r="AC168" s="21">
        <v>-0.78359019940244035</v>
      </c>
      <c r="AD168" s="21">
        <v>9.2691343283517798E-3</v>
      </c>
      <c r="AE168" s="21" t="s">
        <v>74</v>
      </c>
      <c r="AF168" s="21">
        <v>3.3099768358185948E-2</v>
      </c>
      <c r="AG168" s="6">
        <v>9.8124050000000018</v>
      </c>
      <c r="AH168" s="6">
        <v>1.7557673169829431</v>
      </c>
      <c r="AI168" s="6">
        <v>2</v>
      </c>
      <c r="AJ168" s="6">
        <v>6.2512399999999992</v>
      </c>
      <c r="AK168" s="6">
        <v>3.2492113564668785</v>
      </c>
      <c r="AL168" s="6">
        <v>2</v>
      </c>
      <c r="AM168" s="21">
        <v>1.5740886626865711</v>
      </c>
      <c r="AN168" s="21" t="s">
        <v>74</v>
      </c>
      <c r="AO168" s="21" t="s">
        <v>74</v>
      </c>
      <c r="AP168" s="21" t="s">
        <v>74</v>
      </c>
      <c r="AQ168" s="21" t="s">
        <v>74</v>
      </c>
      <c r="AR168" s="21" t="s">
        <v>74</v>
      </c>
      <c r="AS168" s="21" t="s">
        <v>74</v>
      </c>
      <c r="AT168" s="6" t="s">
        <v>74</v>
      </c>
      <c r="AU168" s="6" t="s">
        <v>74</v>
      </c>
      <c r="AV168" s="6" t="s">
        <v>74</v>
      </c>
      <c r="AW168" s="6" t="s">
        <v>74</v>
      </c>
      <c r="AX168" s="6" t="s">
        <v>74</v>
      </c>
      <c r="AY168" s="6">
        <v>10.563586042801177</v>
      </c>
      <c r="AZ168" s="6">
        <v>8.8393412967536982</v>
      </c>
      <c r="BA168" s="6">
        <v>8.3585768616953899</v>
      </c>
      <c r="BB168" s="6">
        <v>3.6478416993913192</v>
      </c>
      <c r="BC168" s="6">
        <v>36.768205616373258</v>
      </c>
      <c r="BD168" s="6">
        <v>1.6856502017392287</v>
      </c>
      <c r="BE168" s="21" t="s">
        <v>74</v>
      </c>
      <c r="BF168" s="21" t="s">
        <v>74</v>
      </c>
      <c r="BG168" s="21" t="s">
        <v>74</v>
      </c>
      <c r="BH168" s="21" t="s">
        <v>74</v>
      </c>
      <c r="BI168" s="21" t="s">
        <v>74</v>
      </c>
      <c r="BJ168" s="21" t="s">
        <v>74</v>
      </c>
      <c r="BK168" s="21" t="s">
        <v>74</v>
      </c>
      <c r="BL168" s="21" t="s">
        <v>74</v>
      </c>
      <c r="BM168" s="6" t="s">
        <v>74</v>
      </c>
      <c r="BN168" s="6" t="s">
        <v>74</v>
      </c>
      <c r="BO168" s="6" t="s">
        <v>74</v>
      </c>
      <c r="BP168" s="6" t="s">
        <v>74</v>
      </c>
      <c r="BQ168" s="6" t="s">
        <v>74</v>
      </c>
      <c r="BR168" s="6" t="s">
        <v>74</v>
      </c>
      <c r="BS168" s="6" t="s">
        <v>74</v>
      </c>
      <c r="BT168" s="6" t="s">
        <v>74</v>
      </c>
    </row>
    <row r="169" spans="1:72" x14ac:dyDescent="0.15">
      <c r="A169" s="7" t="s">
        <v>79</v>
      </c>
      <c r="B169" s="13">
        <v>43726</v>
      </c>
      <c r="C169" s="5">
        <v>17</v>
      </c>
      <c r="D169" s="9">
        <f t="shared" si="29"/>
        <v>9</v>
      </c>
      <c r="E169" s="9">
        <f t="shared" si="30"/>
        <v>18</v>
      </c>
      <c r="F169" s="9">
        <f t="shared" si="31"/>
        <v>2019</v>
      </c>
      <c r="G169" s="19">
        <v>41.77861</v>
      </c>
      <c r="H169" s="19">
        <v>-71.379519999999999</v>
      </c>
      <c r="I169" s="12">
        <v>3.2</v>
      </c>
      <c r="J169" s="9" t="s">
        <v>93</v>
      </c>
      <c r="K169" s="25">
        <v>27.8</v>
      </c>
      <c r="L169" s="25">
        <v>19</v>
      </c>
      <c r="M169" s="21">
        <v>1761.65449594044</v>
      </c>
      <c r="N169" s="21">
        <v>58.894588305346502</v>
      </c>
      <c r="O169" s="25">
        <v>0</v>
      </c>
      <c r="P169" s="25">
        <f t="shared" si="32"/>
        <v>0</v>
      </c>
      <c r="Q169" s="25">
        <v>0</v>
      </c>
      <c r="R169" s="25">
        <f t="shared" si="28"/>
        <v>0</v>
      </c>
      <c r="S169" s="5" t="s">
        <v>74</v>
      </c>
      <c r="T169" s="6" t="s">
        <v>74</v>
      </c>
      <c r="U169" s="6" t="s">
        <v>74</v>
      </c>
      <c r="V169" s="5" t="s">
        <v>74</v>
      </c>
      <c r="W169" s="6" t="s">
        <v>74</v>
      </c>
      <c r="X169" s="6" t="s">
        <v>74</v>
      </c>
      <c r="Y169" s="6" t="s">
        <v>74</v>
      </c>
      <c r="Z169" s="6" t="s">
        <v>74</v>
      </c>
      <c r="AA169" s="6" t="s">
        <v>88</v>
      </c>
      <c r="AB169" s="21" t="s">
        <v>89</v>
      </c>
      <c r="AC169" s="21">
        <v>54.184831003339539</v>
      </c>
      <c r="AD169" s="21">
        <v>1.5472242677583115</v>
      </c>
      <c r="AE169" s="21">
        <v>-1.7119995815632707</v>
      </c>
      <c r="AF169" s="21">
        <v>-4.7372887028550227E-2</v>
      </c>
      <c r="AG169" s="6">
        <v>26.994215000000001</v>
      </c>
      <c r="AH169" s="6">
        <v>0.99716920829148081</v>
      </c>
      <c r="AI169" s="6">
        <v>2</v>
      </c>
      <c r="AJ169" s="6">
        <v>28.742639499999996</v>
      </c>
      <c r="AK169" s="6">
        <v>0.66293320068951811</v>
      </c>
      <c r="AL169" s="6">
        <v>2</v>
      </c>
      <c r="AM169" s="21">
        <f>156.030767929645+AM173</f>
        <v>89.567064225941394</v>
      </c>
      <c r="AN169" s="21">
        <v>0.26500000000000001</v>
      </c>
      <c r="AO169" s="21">
        <v>3.4649999999999999</v>
      </c>
      <c r="AP169" s="21">
        <v>13.075471698113207</v>
      </c>
      <c r="AQ169" s="21">
        <v>0.22</v>
      </c>
      <c r="AR169" s="21">
        <v>2.9050000000000002</v>
      </c>
      <c r="AS169" s="21">
        <v>13.204545454545455</v>
      </c>
      <c r="AT169" s="6" t="s">
        <v>87</v>
      </c>
      <c r="AU169" s="6">
        <v>8.0364212193190774</v>
      </c>
      <c r="AV169" s="6">
        <v>7.1883343602382661</v>
      </c>
      <c r="AW169" s="6">
        <v>92.114748432330998</v>
      </c>
      <c r="AX169" s="6">
        <v>147.40203097483499</v>
      </c>
      <c r="AY169" s="6">
        <v>11.005760680890049</v>
      </c>
      <c r="AZ169" s="6">
        <v>3.9829929751928574</v>
      </c>
      <c r="BA169" s="6">
        <v>9.0953429172823306</v>
      </c>
      <c r="BB169" s="6">
        <v>3.512062405589981</v>
      </c>
      <c r="BC169" s="6">
        <v>37.320889008258781</v>
      </c>
      <c r="BD169" s="6">
        <v>34.856642062469895</v>
      </c>
      <c r="BE169" s="21">
        <v>44.135679964209579</v>
      </c>
      <c r="BF169" s="21">
        <v>342.52906188670943</v>
      </c>
      <c r="BG169" s="21" t="s">
        <v>74</v>
      </c>
      <c r="BH169" s="21" t="s">
        <v>74</v>
      </c>
      <c r="BI169" s="21" t="s">
        <v>74</v>
      </c>
      <c r="BJ169" s="21" t="s">
        <v>74</v>
      </c>
      <c r="BK169" s="21" t="s">
        <v>74</v>
      </c>
      <c r="BL169" s="21" t="s">
        <v>74</v>
      </c>
      <c r="BM169" s="6">
        <v>1.5063999999999993</v>
      </c>
      <c r="BN169" s="6">
        <v>1.195333333333334</v>
      </c>
      <c r="BO169" s="6" t="s">
        <v>74</v>
      </c>
      <c r="BP169" s="6" t="s">
        <v>74</v>
      </c>
      <c r="BQ169" s="6">
        <v>0.69086649064986583</v>
      </c>
      <c r="BR169" s="6">
        <v>0.51005798151839143</v>
      </c>
      <c r="BS169" s="6" t="s">
        <v>74</v>
      </c>
      <c r="BT169" s="6" t="s">
        <v>74</v>
      </c>
    </row>
    <row r="170" spans="1:72" x14ac:dyDescent="0.15">
      <c r="A170" s="7" t="s">
        <v>79</v>
      </c>
      <c r="B170" s="13">
        <v>43726</v>
      </c>
      <c r="C170" s="5">
        <v>18</v>
      </c>
      <c r="D170" s="9">
        <f t="shared" si="29"/>
        <v>9</v>
      </c>
      <c r="E170" s="9">
        <f t="shared" si="30"/>
        <v>18</v>
      </c>
      <c r="F170" s="9">
        <f t="shared" si="31"/>
        <v>2019</v>
      </c>
      <c r="G170" s="19">
        <v>41.77861</v>
      </c>
      <c r="H170" s="19">
        <v>-71.379519999999999</v>
      </c>
      <c r="I170" s="12">
        <v>3.2</v>
      </c>
      <c r="J170" s="9" t="s">
        <v>93</v>
      </c>
      <c r="K170" s="25">
        <v>27.8</v>
      </c>
      <c r="L170" s="25">
        <v>19</v>
      </c>
      <c r="M170" s="21">
        <v>3728.0181148726401</v>
      </c>
      <c r="N170" s="21">
        <v>0</v>
      </c>
      <c r="O170" s="25">
        <v>0</v>
      </c>
      <c r="P170" s="25">
        <f t="shared" si="32"/>
        <v>0</v>
      </c>
      <c r="Q170" s="25">
        <v>-251.69707142565395</v>
      </c>
      <c r="R170" s="25">
        <f t="shared" si="28"/>
        <v>-0.25169707142565395</v>
      </c>
      <c r="S170" s="5" t="s">
        <v>74</v>
      </c>
      <c r="T170" s="6" t="s">
        <v>74</v>
      </c>
      <c r="U170" s="6" t="s">
        <v>74</v>
      </c>
      <c r="V170" s="5" t="s">
        <v>74</v>
      </c>
      <c r="W170" s="6" t="s">
        <v>74</v>
      </c>
      <c r="X170" s="6" t="s">
        <v>74</v>
      </c>
      <c r="Y170" s="6" t="s">
        <v>74</v>
      </c>
      <c r="Z170" s="6" t="s">
        <v>74</v>
      </c>
      <c r="AA170" s="6" t="s">
        <v>88</v>
      </c>
      <c r="AB170" s="21" t="s">
        <v>89</v>
      </c>
      <c r="AC170" s="21">
        <v>163.98933072711964</v>
      </c>
      <c r="AD170" s="21">
        <v>1.2594994736903853</v>
      </c>
      <c r="AE170" s="21">
        <v>-9.2442494210979422</v>
      </c>
      <c r="AF170" s="21">
        <v>0.13164517052696104</v>
      </c>
      <c r="AG170" s="6">
        <v>26.994215000000001</v>
      </c>
      <c r="AH170" s="6">
        <v>0.99716920829148081</v>
      </c>
      <c r="AI170" s="6">
        <v>2</v>
      </c>
      <c r="AJ170" s="6">
        <v>28.742639499999996</v>
      </c>
      <c r="AK170" s="6">
        <v>0.66293320068951811</v>
      </c>
      <c r="AL170" s="6">
        <v>2</v>
      </c>
      <c r="AM170" s="21">
        <f>434.184982756335+AM173</f>
        <v>367.72127905263136</v>
      </c>
      <c r="AN170" s="21" t="s">
        <v>74</v>
      </c>
      <c r="AO170" s="21" t="s">
        <v>74</v>
      </c>
      <c r="AP170" s="21" t="s">
        <v>74</v>
      </c>
      <c r="AQ170" s="21" t="s">
        <v>74</v>
      </c>
      <c r="AR170" s="21" t="s">
        <v>74</v>
      </c>
      <c r="AS170" s="21" t="s">
        <v>74</v>
      </c>
      <c r="AT170" s="6" t="s">
        <v>74</v>
      </c>
      <c r="AU170" s="6" t="s">
        <v>74</v>
      </c>
      <c r="AV170" s="6" t="s">
        <v>74</v>
      </c>
      <c r="AW170" s="6">
        <v>97.489093691065023</v>
      </c>
      <c r="AX170" s="6" t="s">
        <v>74</v>
      </c>
      <c r="AY170" s="6">
        <v>11.005760680890049</v>
      </c>
      <c r="AZ170" s="6">
        <v>3.9829929751928574</v>
      </c>
      <c r="BA170" s="6">
        <v>9.0953429172823306</v>
      </c>
      <c r="BB170" s="6">
        <v>3.512062405589981</v>
      </c>
      <c r="BC170" s="6">
        <v>37.320889008258781</v>
      </c>
      <c r="BD170" s="6">
        <v>34.856642062469895</v>
      </c>
      <c r="BE170" s="21">
        <v>60.274600155410518</v>
      </c>
      <c r="BF170" s="21">
        <v>301.16227464198749</v>
      </c>
      <c r="BG170" s="21" t="s">
        <v>74</v>
      </c>
      <c r="BH170" s="21" t="s">
        <v>74</v>
      </c>
      <c r="BI170" s="21" t="s">
        <v>74</v>
      </c>
      <c r="BJ170" s="21" t="s">
        <v>74</v>
      </c>
      <c r="BK170" s="21" t="s">
        <v>74</v>
      </c>
      <c r="BL170" s="21" t="s">
        <v>74</v>
      </c>
      <c r="BM170" s="6" t="s">
        <v>74</v>
      </c>
      <c r="BN170" s="6" t="s">
        <v>74</v>
      </c>
      <c r="BO170" s="6" t="s">
        <v>74</v>
      </c>
      <c r="BP170" s="6" t="s">
        <v>74</v>
      </c>
      <c r="BQ170" s="6" t="s">
        <v>74</v>
      </c>
      <c r="BR170" s="6" t="s">
        <v>74</v>
      </c>
      <c r="BS170" s="6" t="s">
        <v>74</v>
      </c>
      <c r="BT170" s="6" t="s">
        <v>74</v>
      </c>
    </row>
    <row r="171" spans="1:72" x14ac:dyDescent="0.15">
      <c r="A171" s="7" t="s">
        <v>79</v>
      </c>
      <c r="B171" s="13">
        <v>43726</v>
      </c>
      <c r="C171" s="5">
        <v>34</v>
      </c>
      <c r="D171" s="9">
        <f t="shared" si="29"/>
        <v>9</v>
      </c>
      <c r="E171" s="9">
        <f t="shared" si="30"/>
        <v>18</v>
      </c>
      <c r="F171" s="9">
        <f t="shared" si="31"/>
        <v>2019</v>
      </c>
      <c r="G171" s="19">
        <v>41.77861</v>
      </c>
      <c r="H171" s="19">
        <v>-71.379519999999999</v>
      </c>
      <c r="I171" s="12">
        <v>3.2</v>
      </c>
      <c r="J171" s="9" t="s">
        <v>93</v>
      </c>
      <c r="K171" s="25">
        <v>27.8</v>
      </c>
      <c r="L171" s="25">
        <v>19</v>
      </c>
      <c r="M171" s="21">
        <v>1784.6325626612099</v>
      </c>
      <c r="N171" s="21">
        <v>55.262952592144103</v>
      </c>
      <c r="O171" s="25">
        <v>0</v>
      </c>
      <c r="P171" s="25">
        <f t="shared" si="32"/>
        <v>0</v>
      </c>
      <c r="Q171" s="25">
        <v>0</v>
      </c>
      <c r="R171" s="25">
        <f t="shared" si="28"/>
        <v>0</v>
      </c>
      <c r="S171" s="5" t="s">
        <v>74</v>
      </c>
      <c r="T171" s="6" t="s">
        <v>74</v>
      </c>
      <c r="U171" s="6" t="s">
        <v>74</v>
      </c>
      <c r="V171" s="5" t="s">
        <v>74</v>
      </c>
      <c r="W171" s="6" t="s">
        <v>74</v>
      </c>
      <c r="X171" s="6" t="s">
        <v>74</v>
      </c>
      <c r="Y171" s="6" t="s">
        <v>74</v>
      </c>
      <c r="Z171" s="6" t="s">
        <v>74</v>
      </c>
      <c r="AA171" s="6" t="s">
        <v>88</v>
      </c>
      <c r="AB171" s="21" t="s">
        <v>89</v>
      </c>
      <c r="AC171" s="21">
        <v>10.197771528212282</v>
      </c>
      <c r="AD171" s="21">
        <v>-0.12266716981024268</v>
      </c>
      <c r="AE171" s="21">
        <v>-9.174132264070348</v>
      </c>
      <c r="AF171" s="21">
        <v>9.8516805030580981E-2</v>
      </c>
      <c r="AG171" s="6">
        <v>26.994215000000001</v>
      </c>
      <c r="AH171" s="6">
        <v>0.99716920829148081</v>
      </c>
      <c r="AI171" s="6">
        <v>2</v>
      </c>
      <c r="AJ171" s="6">
        <v>28.742639499999996</v>
      </c>
      <c r="AK171" s="6">
        <v>0.66293320068951811</v>
      </c>
      <c r="AL171" s="6">
        <v>2</v>
      </c>
      <c r="AM171" s="21">
        <f>315.908355496156+AM173</f>
        <v>249.44465179245236</v>
      </c>
      <c r="AN171" s="21">
        <v>0.24</v>
      </c>
      <c r="AO171" s="21">
        <v>3.4950000000000001</v>
      </c>
      <c r="AP171" s="21">
        <v>14.562500000000002</v>
      </c>
      <c r="AQ171" s="21">
        <v>0.215</v>
      </c>
      <c r="AR171" s="21">
        <v>3.105</v>
      </c>
      <c r="AS171" s="21">
        <v>14.44186046511628</v>
      </c>
      <c r="AT171" s="6" t="s">
        <v>87</v>
      </c>
      <c r="AU171" s="6">
        <v>6.8384740259740342</v>
      </c>
      <c r="AV171" s="6">
        <v>6.5362114181964834</v>
      </c>
      <c r="AW171" s="6">
        <v>160.99330807062805</v>
      </c>
      <c r="AX171" s="6">
        <v>2.0280039775323164</v>
      </c>
      <c r="AY171" s="6">
        <v>11.005760680890049</v>
      </c>
      <c r="AZ171" s="6">
        <v>3.9829929751928574</v>
      </c>
      <c r="BA171" s="6">
        <v>9.0953429172823306</v>
      </c>
      <c r="BB171" s="6">
        <v>3.512062405589981</v>
      </c>
      <c r="BC171" s="6">
        <v>37.320889008258781</v>
      </c>
      <c r="BD171" s="6">
        <v>34.856642062469895</v>
      </c>
      <c r="BE171" s="21">
        <v>342.01485932073706</v>
      </c>
      <c r="BF171" s="21">
        <v>480.06073902307548</v>
      </c>
      <c r="BG171" s="21" t="s">
        <v>74</v>
      </c>
      <c r="BH171" s="21" t="s">
        <v>74</v>
      </c>
      <c r="BI171" s="21" t="s">
        <v>74</v>
      </c>
      <c r="BJ171" s="21" t="s">
        <v>74</v>
      </c>
      <c r="BK171" s="21" t="s">
        <v>74</v>
      </c>
      <c r="BL171" s="21" t="s">
        <v>74</v>
      </c>
      <c r="BM171" s="6">
        <v>1.3596000000000004</v>
      </c>
      <c r="BN171" s="6">
        <v>1.2522222222222243</v>
      </c>
      <c r="BO171" s="6" t="s">
        <v>74</v>
      </c>
      <c r="BP171" s="6" t="s">
        <v>74</v>
      </c>
      <c r="BQ171" s="6">
        <v>0.79968542849418778</v>
      </c>
      <c r="BR171" s="6">
        <v>0.66785185185185303</v>
      </c>
      <c r="BS171" s="6" t="s">
        <v>74</v>
      </c>
      <c r="BT171" s="6" t="s">
        <v>74</v>
      </c>
    </row>
    <row r="172" spans="1:72" x14ac:dyDescent="0.15">
      <c r="A172" s="7" t="s">
        <v>79</v>
      </c>
      <c r="B172" s="13">
        <v>43726</v>
      </c>
      <c r="C172" s="5">
        <v>40</v>
      </c>
      <c r="D172" s="9">
        <f t="shared" si="29"/>
        <v>9</v>
      </c>
      <c r="E172" s="9">
        <f t="shared" si="30"/>
        <v>18</v>
      </c>
      <c r="F172" s="9">
        <f t="shared" si="31"/>
        <v>2019</v>
      </c>
      <c r="G172" s="19">
        <v>41.77861</v>
      </c>
      <c r="H172" s="19">
        <v>-71.379519999999999</v>
      </c>
      <c r="I172" s="12">
        <v>3.2</v>
      </c>
      <c r="J172" s="9" t="s">
        <v>93</v>
      </c>
      <c r="K172" s="25">
        <v>27.8</v>
      </c>
      <c r="L172" s="25">
        <v>19</v>
      </c>
      <c r="M172" s="21">
        <v>2372.7770706732099</v>
      </c>
      <c r="N172" s="21">
        <v>0</v>
      </c>
      <c r="O172" s="25">
        <v>0</v>
      </c>
      <c r="P172" s="25">
        <f t="shared" si="32"/>
        <v>0</v>
      </c>
      <c r="Q172" s="25">
        <v>-134.906632583944</v>
      </c>
      <c r="R172" s="25">
        <f t="shared" si="28"/>
        <v>-0.134906632583944</v>
      </c>
      <c r="S172" s="5" t="s">
        <v>74</v>
      </c>
      <c r="T172" s="6" t="s">
        <v>74</v>
      </c>
      <c r="U172" s="6" t="s">
        <v>74</v>
      </c>
      <c r="V172" s="5" t="s">
        <v>74</v>
      </c>
      <c r="W172" s="6" t="s">
        <v>74</v>
      </c>
      <c r="X172" s="6" t="s">
        <v>74</v>
      </c>
      <c r="Y172" s="6" t="s">
        <v>74</v>
      </c>
      <c r="Z172" s="6" t="s">
        <v>74</v>
      </c>
      <c r="AA172" s="6" t="s">
        <v>88</v>
      </c>
      <c r="AB172" s="21" t="s">
        <v>89</v>
      </c>
      <c r="AC172" s="21">
        <v>66.404330540141856</v>
      </c>
      <c r="AD172" s="21">
        <v>0.9833102812428467</v>
      </c>
      <c r="AE172" s="21">
        <v>-5.7334083124582875</v>
      </c>
      <c r="AF172" s="21">
        <v>-6.7671599999507559E-2</v>
      </c>
      <c r="AG172" s="6">
        <v>26.994215000000001</v>
      </c>
      <c r="AH172" s="6">
        <v>0.99716920829148081</v>
      </c>
      <c r="AI172" s="6">
        <v>2</v>
      </c>
      <c r="AJ172" s="6">
        <v>28.742639499999996</v>
      </c>
      <c r="AK172" s="6">
        <v>0.66293320068951811</v>
      </c>
      <c r="AL172" s="6">
        <v>2</v>
      </c>
      <c r="AM172" s="21">
        <f>284.035904188079+AM173</f>
        <v>217.57220048437534</v>
      </c>
      <c r="AN172" s="21">
        <v>0.26500000000000001</v>
      </c>
      <c r="AO172" s="21">
        <v>3.6550000000000002</v>
      </c>
      <c r="AP172" s="21">
        <v>13.79245283018868</v>
      </c>
      <c r="AQ172" s="21">
        <v>0.25</v>
      </c>
      <c r="AR172" s="21">
        <v>3.36</v>
      </c>
      <c r="AS172" s="21">
        <v>13.44</v>
      </c>
      <c r="AT172" s="6" t="s">
        <v>87</v>
      </c>
      <c r="AU172" s="6">
        <v>7.4679802955665062</v>
      </c>
      <c r="AV172" s="6">
        <v>7.2943803498325455</v>
      </c>
      <c r="AW172" s="6">
        <v>54.95920448138952</v>
      </c>
      <c r="AX172" s="6">
        <v>21.514508138711957</v>
      </c>
      <c r="AY172" s="6">
        <v>11.005760680890049</v>
      </c>
      <c r="AZ172" s="6">
        <v>3.9829929751928574</v>
      </c>
      <c r="BA172" s="6">
        <v>9.0953429172823306</v>
      </c>
      <c r="BB172" s="6">
        <v>3.512062405589981</v>
      </c>
      <c r="BC172" s="6">
        <v>37.320889008258781</v>
      </c>
      <c r="BD172" s="6">
        <v>34.856642062469895</v>
      </c>
      <c r="BE172" s="21">
        <v>14.57742868789178</v>
      </c>
      <c r="BF172" s="21">
        <v>115.88932418659054</v>
      </c>
      <c r="BG172" s="21" t="s">
        <v>74</v>
      </c>
      <c r="BH172" s="21" t="s">
        <v>74</v>
      </c>
      <c r="BI172" s="21" t="s">
        <v>74</v>
      </c>
      <c r="BJ172" s="21" t="s">
        <v>74</v>
      </c>
      <c r="BK172" s="21" t="s">
        <v>74</v>
      </c>
      <c r="BL172" s="21" t="s">
        <v>74</v>
      </c>
      <c r="BM172" s="6">
        <v>1.4799000000000007</v>
      </c>
      <c r="BN172" s="6">
        <v>1.5866999999999933</v>
      </c>
      <c r="BO172" s="6" t="s">
        <v>74</v>
      </c>
      <c r="BP172" s="6" t="s">
        <v>74</v>
      </c>
      <c r="BQ172" s="6">
        <v>0.80472217385519063</v>
      </c>
      <c r="BR172" s="6">
        <v>0.52727000065771323</v>
      </c>
      <c r="BS172" s="6" t="s">
        <v>74</v>
      </c>
      <c r="BT172" s="6" t="s">
        <v>74</v>
      </c>
    </row>
    <row r="173" spans="1:72" x14ac:dyDescent="0.15">
      <c r="A173" s="7" t="s">
        <v>79</v>
      </c>
      <c r="B173" s="13">
        <v>43726</v>
      </c>
      <c r="C173" s="5" t="s">
        <v>108</v>
      </c>
      <c r="D173" s="9">
        <f t="shared" si="29"/>
        <v>9</v>
      </c>
      <c r="E173" s="9">
        <f t="shared" si="30"/>
        <v>18</v>
      </c>
      <c r="F173" s="9">
        <f t="shared" si="31"/>
        <v>2019</v>
      </c>
      <c r="G173" s="19">
        <v>41.77861</v>
      </c>
      <c r="H173" s="19">
        <v>-71.379519999999999</v>
      </c>
      <c r="I173" s="12">
        <v>3.2</v>
      </c>
      <c r="J173" s="9" t="s">
        <v>93</v>
      </c>
      <c r="K173" s="25">
        <v>27.8</v>
      </c>
      <c r="L173" s="25">
        <v>19</v>
      </c>
      <c r="M173" s="21">
        <v>218.835224499715</v>
      </c>
      <c r="N173" s="21">
        <v>0</v>
      </c>
      <c r="O173" s="25">
        <v>0</v>
      </c>
      <c r="P173" s="25">
        <f t="shared" si="32"/>
        <v>0</v>
      </c>
      <c r="Q173" s="25">
        <v>-332.17259819947355</v>
      </c>
      <c r="R173" s="25">
        <f t="shared" si="28"/>
        <v>-0.33217259819947353</v>
      </c>
      <c r="S173" s="5" t="s">
        <v>74</v>
      </c>
      <c r="T173" s="6" t="s">
        <v>74</v>
      </c>
      <c r="U173" s="6" t="s">
        <v>74</v>
      </c>
      <c r="V173" s="5" t="s">
        <v>74</v>
      </c>
      <c r="W173" s="6" t="s">
        <v>74</v>
      </c>
      <c r="X173" s="6" t="s">
        <v>74</v>
      </c>
      <c r="Y173" s="6" t="s">
        <v>74</v>
      </c>
      <c r="Z173" s="6" t="s">
        <v>74</v>
      </c>
      <c r="AA173" s="6" t="s">
        <v>88</v>
      </c>
      <c r="AB173" s="21" t="s">
        <v>89</v>
      </c>
      <c r="AC173" s="21">
        <v>-16.299213012626769</v>
      </c>
      <c r="AD173" s="21">
        <v>-0.53680469136728348</v>
      </c>
      <c r="AE173" s="21">
        <v>-11.385059341760138</v>
      </c>
      <c r="AF173" s="21">
        <v>-1.988537448593965E-2</v>
      </c>
      <c r="AG173" s="6">
        <v>26.994215000000001</v>
      </c>
      <c r="AH173" s="6">
        <v>0.99716920829148081</v>
      </c>
      <c r="AI173" s="6">
        <v>2</v>
      </c>
      <c r="AJ173" s="6">
        <v>28.742639499999996</v>
      </c>
      <c r="AK173" s="6">
        <v>0.66293320068951811</v>
      </c>
      <c r="AL173" s="6">
        <v>2</v>
      </c>
      <c r="AM173" s="21">
        <v>-66.463703703703615</v>
      </c>
      <c r="AN173" s="21" t="s">
        <v>74</v>
      </c>
      <c r="AO173" s="21" t="s">
        <v>74</v>
      </c>
      <c r="AP173" s="21" t="s">
        <v>74</v>
      </c>
      <c r="AQ173" s="21" t="s">
        <v>74</v>
      </c>
      <c r="AR173" s="21" t="s">
        <v>74</v>
      </c>
      <c r="AS173" s="21" t="s">
        <v>74</v>
      </c>
      <c r="AT173" s="6" t="s">
        <v>74</v>
      </c>
      <c r="AU173" s="6" t="s">
        <v>74</v>
      </c>
      <c r="AV173" s="6" t="s">
        <v>74</v>
      </c>
      <c r="AW173" s="6" t="s">
        <v>74</v>
      </c>
      <c r="AX173" s="6" t="s">
        <v>74</v>
      </c>
      <c r="AY173" s="6">
        <v>11.005760680890049</v>
      </c>
      <c r="AZ173" s="6">
        <v>3.9829929751928574</v>
      </c>
      <c r="BA173" s="6">
        <v>9.0953429172823306</v>
      </c>
      <c r="BB173" s="6">
        <v>3.512062405589981</v>
      </c>
      <c r="BC173" s="6">
        <v>37.320889008258781</v>
      </c>
      <c r="BD173" s="6">
        <v>34.856642062469895</v>
      </c>
      <c r="BE173" s="21" t="s">
        <v>74</v>
      </c>
      <c r="BF173" s="21" t="s">
        <v>74</v>
      </c>
      <c r="BG173" s="21" t="s">
        <v>74</v>
      </c>
      <c r="BH173" s="21" t="s">
        <v>74</v>
      </c>
      <c r="BI173" s="21" t="s">
        <v>74</v>
      </c>
      <c r="BJ173" s="21" t="s">
        <v>74</v>
      </c>
      <c r="BK173" s="21" t="s">
        <v>74</v>
      </c>
      <c r="BL173" s="21" t="s">
        <v>74</v>
      </c>
      <c r="BM173" s="6" t="s">
        <v>74</v>
      </c>
      <c r="BN173" s="6" t="s">
        <v>74</v>
      </c>
      <c r="BO173" s="6" t="s">
        <v>74</v>
      </c>
      <c r="BP173" s="6" t="s">
        <v>74</v>
      </c>
      <c r="BQ173" s="6" t="s">
        <v>74</v>
      </c>
      <c r="BR173" s="6" t="s">
        <v>74</v>
      </c>
      <c r="BS173" s="6" t="s">
        <v>74</v>
      </c>
      <c r="BT173" s="6" t="s">
        <v>74</v>
      </c>
    </row>
  </sheetData>
  <sortState xmlns:xlrd2="http://schemas.microsoft.com/office/spreadsheetml/2017/richdata2" ref="A2:BT173">
    <sortCondition ref="B2:B173"/>
    <sortCondition ref="A2:A173"/>
  </sortState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C770-E1F8-4157-8420-8B009B94CBC2}">
  <dimension ref="A1:F26"/>
  <sheetViews>
    <sheetView topLeftCell="A11" workbookViewId="0">
      <selection activeCell="D26" sqref="D26"/>
    </sheetView>
  </sheetViews>
  <sheetFormatPr baseColWidth="10" defaultColWidth="8.83203125" defaultRowHeight="15" x14ac:dyDescent="0.2"/>
  <cols>
    <col min="2" max="2" width="10.6640625" bestFit="1" customWidth="1"/>
    <col min="3" max="3" width="14.33203125" bestFit="1" customWidth="1"/>
    <col min="4" max="4" width="21.83203125" bestFit="1" customWidth="1"/>
    <col min="5" max="5" width="17.33203125" bestFit="1" customWidth="1"/>
  </cols>
  <sheetData>
    <row r="1" spans="1:6" x14ac:dyDescent="0.2">
      <c r="A1" t="s">
        <v>109</v>
      </c>
    </row>
    <row r="4" spans="1:6" x14ac:dyDescent="0.2">
      <c r="E4" t="s">
        <v>110</v>
      </c>
      <c r="F4" t="s">
        <v>111</v>
      </c>
    </row>
    <row r="5" spans="1:6" x14ac:dyDescent="0.2">
      <c r="D5" t="s">
        <v>112</v>
      </c>
      <c r="E5" t="s">
        <v>113</v>
      </c>
    </row>
    <row r="6" spans="1:6" x14ac:dyDescent="0.2">
      <c r="D6" t="s">
        <v>114</v>
      </c>
      <c r="E6" t="s">
        <v>113</v>
      </c>
    </row>
    <row r="7" spans="1:6" x14ac:dyDescent="0.2">
      <c r="D7" t="s">
        <v>115</v>
      </c>
      <c r="E7" t="s">
        <v>113</v>
      </c>
    </row>
    <row r="8" spans="1:6" x14ac:dyDescent="0.2">
      <c r="D8" t="s">
        <v>116</v>
      </c>
      <c r="E8" t="s">
        <v>113</v>
      </c>
    </row>
    <row r="9" spans="1:6" x14ac:dyDescent="0.2">
      <c r="D9" t="s">
        <v>117</v>
      </c>
      <c r="E9" t="s">
        <v>113</v>
      </c>
      <c r="F9" t="s">
        <v>118</v>
      </c>
    </row>
    <row r="10" spans="1:6" x14ac:dyDescent="0.2">
      <c r="D10" t="s">
        <v>119</v>
      </c>
      <c r="E10" t="s">
        <v>113</v>
      </c>
      <c r="F10" t="s">
        <v>118</v>
      </c>
    </row>
    <row r="11" spans="1:6" x14ac:dyDescent="0.2">
      <c r="D11" t="s">
        <v>120</v>
      </c>
      <c r="E11" t="s">
        <v>113</v>
      </c>
    </row>
    <row r="14" spans="1:6" x14ac:dyDescent="0.2">
      <c r="D14" s="18" t="s">
        <v>111</v>
      </c>
    </row>
    <row r="15" spans="1:6" x14ac:dyDescent="0.2">
      <c r="D15" t="s">
        <v>121</v>
      </c>
    </row>
    <row r="16" spans="1:6" x14ac:dyDescent="0.2">
      <c r="D16" t="s">
        <v>122</v>
      </c>
    </row>
    <row r="18" spans="4:4" x14ac:dyDescent="0.2">
      <c r="D18" s="18" t="s">
        <v>123</v>
      </c>
    </row>
    <row r="19" spans="4:4" x14ac:dyDescent="0.2">
      <c r="D19" t="s">
        <v>124</v>
      </c>
    </row>
    <row r="20" spans="4:4" x14ac:dyDescent="0.2">
      <c r="D20" t="s">
        <v>125</v>
      </c>
    </row>
    <row r="21" spans="4:4" x14ac:dyDescent="0.2">
      <c r="D21" t="s">
        <v>126</v>
      </c>
    </row>
    <row r="22" spans="4:4" x14ac:dyDescent="0.2">
      <c r="D22" t="s">
        <v>127</v>
      </c>
    </row>
    <row r="23" spans="4:4" x14ac:dyDescent="0.2">
      <c r="D23" t="s">
        <v>128</v>
      </c>
    </row>
    <row r="24" spans="4:4" x14ac:dyDescent="0.2">
      <c r="D24" t="s">
        <v>129</v>
      </c>
    </row>
    <row r="26" spans="4:4" x14ac:dyDescent="0.2">
      <c r="D26" t="s">
        <v>130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Bay_gascompilation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Alia Al-Haj</dc:creator>
  <cp:keywords/>
  <dc:description/>
  <cp:lastModifiedBy>Erturk, Zoe</cp:lastModifiedBy>
  <cp:revision/>
  <dcterms:created xsi:type="dcterms:W3CDTF">2021-03-30T17:39:12Z</dcterms:created>
  <dcterms:modified xsi:type="dcterms:W3CDTF">2023-11-03T17:24:41Z</dcterms:modified>
  <cp:category/>
  <cp:contentStatus/>
</cp:coreProperties>
</file>